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i\Desktop\Month 7 ((30-6)-08-07\Week 32 ((23-29)-08-07\"/>
    </mc:Choice>
  </mc:AlternateContent>
  <bookViews>
    <workbookView xWindow="-810" yWindow="840" windowWidth="10035" windowHeight="6480" tabRatio="566" activeTab="2"/>
  </bookViews>
  <sheets>
    <sheet name="Form One" sheetId="34" r:id="rId1"/>
    <sheet name="Summary (2)" sheetId="33" r:id="rId2"/>
    <sheet name=" BOQ Rev" sheetId="35" r:id="rId3"/>
    <sheet name="D M S" sheetId="2" r:id="rId4"/>
    <sheet name="plan &amp; Unit price &amp; Direct cost" sheetId="6" state="hidden" r:id="rId5"/>
    <sheet name="Direct cost summary " sheetId="1" state="hidden" r:id="rId6"/>
    <sheet name="Weekly Machinery Ex" sheetId="5" r:id="rId7"/>
    <sheet name="Weekly Progress Report" sheetId="7" r:id="rId8"/>
    <sheet name="Summary" sheetId="27" r:id="rId9"/>
    <sheet name="Summary (new)2" sheetId="8" state="hidden" r:id="rId10"/>
    <sheet name="summery(new)2" sheetId="9" r:id="rId11"/>
    <sheet name="Weekly Ms" sheetId="10" r:id="rId12"/>
    <sheet name="Lab. Evalu." sheetId="12" r:id="rId13"/>
    <sheet name="Cons.Mat.Evalu." sheetId="13" r:id="rId14"/>
    <sheet name=" Weekly Surveying  Rep." sheetId="29" r:id="rId15"/>
    <sheet name="Weekly Store Balance Report" sheetId="30" r:id="rId16"/>
    <sheet name="Weekly Labratory Report" sheetId="32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\a">#N/A</definedName>
    <definedName name="\s">#N/A</definedName>
    <definedName name="\z">#N/A</definedName>
    <definedName name="___eac10" localSheetId="2">[50]장비!$M$132</definedName>
    <definedName name="___eac10">[13]장비!$M$132</definedName>
    <definedName name="___eah01" localSheetId="2">[50]장비!$M$188</definedName>
    <definedName name="___eah01">[13]장비!$M$188</definedName>
    <definedName name="___ebh07" localSheetId="2">[50]장비!$M$20</definedName>
    <definedName name="___ebh07">[13]장비!$M$20</definedName>
    <definedName name="___edt02" localSheetId="2">[50]장비!$M$240</definedName>
    <definedName name="___edt02">[13]장비!$M$240</definedName>
    <definedName name="___edt15" localSheetId="2">[50]장비!$M$16</definedName>
    <definedName name="___edt15">[13]장비!$M$16</definedName>
    <definedName name="___egn05" localSheetId="2">[50]장비!$M$176</definedName>
    <definedName name="___egn05">[13]장비!$M$176</definedName>
    <definedName name="___egp45" localSheetId="2">[50]장비!$M$236</definedName>
    <definedName name="___egp45">[13]장비!$M$236</definedName>
    <definedName name="___elg27" localSheetId="2">[50]장비!$M$144</definedName>
    <definedName name="___elg27">[13]장비!$M$144</definedName>
    <definedName name="___elm10" localSheetId="2">[50]장비!$M$164</definedName>
    <definedName name="___elm10">[13]장비!$M$164</definedName>
    <definedName name="___elt17" localSheetId="2">[50]장비!$M$32</definedName>
    <definedName name="___elt17">[13]장비!$M$32</definedName>
    <definedName name="___emd36" localSheetId="2">[50]장비!$M$36</definedName>
    <definedName name="___emd36">[13]장비!$M$36</definedName>
    <definedName name="___emr08" localSheetId="2">[50]장비!$M$44</definedName>
    <definedName name="___emr08">[13]장비!$M$44</definedName>
    <definedName name="___emr10" localSheetId="2">[50]장비!$M$40</definedName>
    <definedName name="___emr10">[13]장비!$M$40</definedName>
    <definedName name="___emx02" localSheetId="2">[50]장비!$M$220</definedName>
    <definedName name="___emx02">[13]장비!$M$220</definedName>
    <definedName name="___etc30" localSheetId="2">[50]장비!$M$84</definedName>
    <definedName name="___etc30">[13]장비!$M$84</definedName>
    <definedName name="___etd10" localSheetId="2">[50]장비!$M$48</definedName>
    <definedName name="___etd10">[13]장비!$M$48</definedName>
    <definedName name="___etr08" localSheetId="2">[50]장비!$M$56</definedName>
    <definedName name="___etr08">[13]장비!$M$56</definedName>
    <definedName name="___evr10" localSheetId="2">[50]장비!$M$52</definedName>
    <definedName name="___evr10">[13]장비!$M$52</definedName>
    <definedName name="___ewt55" localSheetId="2">[50]장비!$M$160</definedName>
    <definedName name="___ewt55">[13]장비!$M$160</definedName>
    <definedName name="___mac03" localSheetId="2">[50]장비!$M$125</definedName>
    <definedName name="___mac03">[13]장비!$M$125</definedName>
    <definedName name="___mac10" localSheetId="2">[50]장비!$M$133</definedName>
    <definedName name="___mac10">[13]장비!$M$133</definedName>
    <definedName name="___mbh07" localSheetId="2">[50]장비!$M$21</definedName>
    <definedName name="___mbh07">[13]장비!$M$21</definedName>
    <definedName name="___mdt02" localSheetId="2">[50]장비!$M$241</definedName>
    <definedName name="___mdt02">[13]장비!$M$241</definedName>
    <definedName name="___mdt15" localSheetId="2">[50]장비!$M$17</definedName>
    <definedName name="___mdt15">[13]장비!$M$17</definedName>
    <definedName name="___mgn05" localSheetId="2">[50]장비!$M$177</definedName>
    <definedName name="___mgn05">[13]장비!$M$177</definedName>
    <definedName name="___mgp45" localSheetId="2">[50]장비!$M$237</definedName>
    <definedName name="___mgp45">[13]장비!$M$237</definedName>
    <definedName name="___mlm10" localSheetId="2">[50]장비!$M$165</definedName>
    <definedName name="___mlm10">[13]장비!$M$165</definedName>
    <definedName name="___mlt17" localSheetId="2">[50]장비!$M$33</definedName>
    <definedName name="___mlt17">[13]장비!$M$33</definedName>
    <definedName name="___mmd36" localSheetId="2">[50]장비!$M$37</definedName>
    <definedName name="___mmd36">[13]장비!$M$37</definedName>
    <definedName name="___mmr08" localSheetId="2">[50]장비!$M$45</definedName>
    <definedName name="___mmr08">[13]장비!$M$45</definedName>
    <definedName name="___mmr10" localSheetId="2">[50]장비!$M$41</definedName>
    <definedName name="___mmr10">[13]장비!$M$41</definedName>
    <definedName name="___mmx02" localSheetId="2">[50]장비!$M$221</definedName>
    <definedName name="___mmx02">[13]장비!$M$221</definedName>
    <definedName name="___mtc30" localSheetId="2">[50]장비!$M$85</definedName>
    <definedName name="___mtc30">[13]장비!$M$85</definedName>
    <definedName name="___mtd10" localSheetId="2">[50]장비!$M$49</definedName>
    <definedName name="___mtd10">[13]장비!$M$49</definedName>
    <definedName name="___mtr08" localSheetId="2">[50]장비!$M$57</definedName>
    <definedName name="___mtr08">[13]장비!$M$57</definedName>
    <definedName name="___mvr10" localSheetId="2">[50]장비!$M$53</definedName>
    <definedName name="___mvr10">[13]장비!$M$53</definedName>
    <definedName name="___mwt55" localSheetId="2">[50]장비!$M$161</definedName>
    <definedName name="___mwt55">[13]장비!$M$161</definedName>
    <definedName name="__eac03" localSheetId="2">[50]장비!$M$124</definedName>
    <definedName name="__eac03">[13]장비!$M$124</definedName>
    <definedName name="__eac10" localSheetId="2">[50]장비!$M$132</definedName>
    <definedName name="__eac10">[13]장비!$M$132</definedName>
    <definedName name="__eah01" localSheetId="2">[50]장비!$M$188</definedName>
    <definedName name="__eah01">[13]장비!$M$188</definedName>
    <definedName name="__ebh07" localSheetId="2">[50]장비!$M$20</definedName>
    <definedName name="__ebh07">[13]장비!$M$20</definedName>
    <definedName name="__edt02" localSheetId="2">[50]장비!$M$240</definedName>
    <definedName name="__edt02">[13]장비!$M$240</definedName>
    <definedName name="__edt15" localSheetId="2">[50]장비!$M$16</definedName>
    <definedName name="__edt15">[13]장비!$M$16</definedName>
    <definedName name="__egn05" localSheetId="2">[50]장비!$M$176</definedName>
    <definedName name="__egn05">[13]장비!$M$176</definedName>
    <definedName name="__egp45" localSheetId="2">[50]장비!$M$236</definedName>
    <definedName name="__egp45">[13]장비!$M$236</definedName>
    <definedName name="__elg27" localSheetId="2">[50]장비!$M$144</definedName>
    <definedName name="__elg27">[13]장비!$M$144</definedName>
    <definedName name="__elm10" localSheetId="2">[50]장비!$M$164</definedName>
    <definedName name="__elm10">[13]장비!$M$164</definedName>
    <definedName name="__elt17" localSheetId="2">[50]장비!$M$32</definedName>
    <definedName name="__elt17">[13]장비!$M$32</definedName>
    <definedName name="__emd36" localSheetId="2">[50]장비!$M$36</definedName>
    <definedName name="__emd36">[13]장비!$M$36</definedName>
    <definedName name="__emr08" localSheetId="2">[50]장비!$M$44</definedName>
    <definedName name="__emr08">[13]장비!$M$44</definedName>
    <definedName name="__emr10" localSheetId="2">[50]장비!$M$40</definedName>
    <definedName name="__emr10">[13]장비!$M$40</definedName>
    <definedName name="__emx02" localSheetId="2">[50]장비!$M$220</definedName>
    <definedName name="__emx02">[13]장비!$M$220</definedName>
    <definedName name="__etc30" localSheetId="2">[50]장비!$M$84</definedName>
    <definedName name="__etc30">[13]장비!$M$84</definedName>
    <definedName name="__etd10" localSheetId="2">[50]장비!$M$48</definedName>
    <definedName name="__etd10">[13]장비!$M$48</definedName>
    <definedName name="__etr08" localSheetId="2">[50]장비!$M$56</definedName>
    <definedName name="__etr08">[13]장비!$M$56</definedName>
    <definedName name="__evr10" localSheetId="2">[50]장비!$M$52</definedName>
    <definedName name="__evr10">[13]장비!$M$52</definedName>
    <definedName name="__ewt55" localSheetId="2">[50]장비!$M$160</definedName>
    <definedName name="__ewt55">[13]장비!$M$160</definedName>
    <definedName name="__mac03" localSheetId="2">[50]장비!$M$125</definedName>
    <definedName name="__mac03">[13]장비!$M$125</definedName>
    <definedName name="__mac10" localSheetId="2">[50]장비!$M$133</definedName>
    <definedName name="__mac10">[13]장비!$M$133</definedName>
    <definedName name="__mbh07" localSheetId="2">[50]장비!$M$21</definedName>
    <definedName name="__mbh07">[13]장비!$M$21</definedName>
    <definedName name="__mdt02" localSheetId="2">[50]장비!$M$241</definedName>
    <definedName name="__mdt02">[13]장비!$M$241</definedName>
    <definedName name="__mdt15" localSheetId="2">[50]장비!$M$17</definedName>
    <definedName name="__mdt15">[13]장비!$M$17</definedName>
    <definedName name="__mgn05" localSheetId="2">[50]장비!$M$177</definedName>
    <definedName name="__mgn05">[13]장비!$M$177</definedName>
    <definedName name="__mgp45" localSheetId="2">[50]장비!$M$237</definedName>
    <definedName name="__mgp45">[13]장비!$M$237</definedName>
    <definedName name="__mlm10" localSheetId="2">[50]장비!$M$165</definedName>
    <definedName name="__mlm10">[13]장비!$M$165</definedName>
    <definedName name="__mlt17" localSheetId="2">[50]장비!$M$33</definedName>
    <definedName name="__mlt17">[13]장비!$M$33</definedName>
    <definedName name="__mmd36" localSheetId="2">[50]장비!$M$37</definedName>
    <definedName name="__mmd36">[13]장비!$M$37</definedName>
    <definedName name="__mmr08" localSheetId="2">[50]장비!$M$45</definedName>
    <definedName name="__mmr08">[13]장비!$M$45</definedName>
    <definedName name="__mmr10" localSheetId="2">[50]장비!$M$41</definedName>
    <definedName name="__mmr10">[13]장비!$M$41</definedName>
    <definedName name="__mmx02" localSheetId="2">[50]장비!$M$221</definedName>
    <definedName name="__mmx02">[13]장비!$M$221</definedName>
    <definedName name="__mtc30" localSheetId="2">[50]장비!$M$85</definedName>
    <definedName name="__mtc30">[13]장비!$M$85</definedName>
    <definedName name="__mtd10" localSheetId="2">[50]장비!$M$49</definedName>
    <definedName name="__mtd10">[13]장비!$M$49</definedName>
    <definedName name="__mtr08" localSheetId="2">[50]장비!$M$57</definedName>
    <definedName name="__mtr08">[13]장비!$M$57</definedName>
    <definedName name="__mvr10" localSheetId="2">[50]장비!$M$53</definedName>
    <definedName name="__mvr10">[13]장비!$M$53</definedName>
    <definedName name="__mwt55" localSheetId="2">[50]장비!$M$161</definedName>
    <definedName name="__mwt55">[13]장비!$M$161</definedName>
    <definedName name="__shared_1_0_0" localSheetId="14">#REF!+#REF!+#REF!</definedName>
    <definedName name="__shared_1_0_0" localSheetId="8">#REF!+#REF!+#REF!</definedName>
    <definedName name="__shared_1_0_0" localSheetId="16">#REF!+#REF!+#REF!</definedName>
    <definedName name="__shared_1_0_0" localSheetId="15">#REF!+#REF!+#REF!</definedName>
    <definedName name="__shared_1_0_0">#REF!+#REF!+#REF!</definedName>
    <definedName name="__shared_1_0_1" localSheetId="14">#REF!*8</definedName>
    <definedName name="__shared_1_0_1" localSheetId="8">#REF!*8</definedName>
    <definedName name="__shared_1_0_1" localSheetId="16">#REF!*8</definedName>
    <definedName name="__shared_1_0_1" localSheetId="15">#REF!*8</definedName>
    <definedName name="__shared_1_0_1">#REF!*8</definedName>
    <definedName name="__shared_1_0_11" localSheetId="14">#REF!/#REF!</definedName>
    <definedName name="__shared_1_0_11" localSheetId="8">#REF!/#REF!</definedName>
    <definedName name="__shared_1_0_11" localSheetId="16">#REF!/#REF!</definedName>
    <definedName name="__shared_1_0_11" localSheetId="15">#REF!/#REF!</definedName>
    <definedName name="__shared_1_0_11">#REF!/#REF!</definedName>
    <definedName name="__shared_1_0_15" localSheetId="14">#REF!/#REF!</definedName>
    <definedName name="__shared_1_0_15" localSheetId="8">#REF!/#REF!</definedName>
    <definedName name="__shared_1_0_15" localSheetId="16">#REF!/#REF!</definedName>
    <definedName name="__shared_1_0_15" localSheetId="15">#REF!/#REF!</definedName>
    <definedName name="__shared_1_0_15">#REF!/#REF!</definedName>
    <definedName name="__shared_1_0_2" localSheetId="16">#REF!*8</definedName>
    <definedName name="__shared_1_0_2" localSheetId="15">#REF!*8</definedName>
    <definedName name="__shared_1_0_2">#REF!*8</definedName>
    <definedName name="__shared_1_0_5" localSheetId="14">#REF!/#REF!</definedName>
    <definedName name="__shared_1_0_5" localSheetId="8">#REF!/#REF!</definedName>
    <definedName name="__shared_1_0_5" localSheetId="16">#REF!/#REF!</definedName>
    <definedName name="__shared_1_0_5" localSheetId="15">#REF!/#REF!</definedName>
    <definedName name="__shared_1_0_5">#REF!/#REF!</definedName>
    <definedName name="__shared_1_0_7" localSheetId="14">#REF!/#REF!</definedName>
    <definedName name="__shared_1_0_7" localSheetId="8">#REF!/#REF!</definedName>
    <definedName name="__shared_1_0_7" localSheetId="16">#REF!/#REF!</definedName>
    <definedName name="__shared_1_0_7" localSheetId="15">#REF!/#REF!</definedName>
    <definedName name="__shared_1_0_7">#REF!/#REF!</definedName>
    <definedName name="__shared_1_0_9" localSheetId="14">#REF!/#REF!</definedName>
    <definedName name="__shared_1_0_9" localSheetId="8">#REF!/#REF!</definedName>
    <definedName name="__shared_1_0_9" localSheetId="16">#REF!/#REF!</definedName>
    <definedName name="__shared_1_0_9" localSheetId="15">#REF!/#REF!</definedName>
    <definedName name="__shared_1_0_9">#REF!/#REF!</definedName>
    <definedName name="__shared_10_0_1" localSheetId="16">#REF!*#REF!</definedName>
    <definedName name="__shared_10_0_1" localSheetId="15">#REF!*#REF!</definedName>
    <definedName name="__shared_10_0_1">#REF!*#REF!</definedName>
    <definedName name="__shared_10_0_10" localSheetId="16">#REF!*#REF!</definedName>
    <definedName name="__shared_10_0_10" localSheetId="15">#REF!*#REF!</definedName>
    <definedName name="__shared_10_0_10">#REF!*#REF!</definedName>
    <definedName name="__shared_10_0_100" localSheetId="16">#REF!*#REF!</definedName>
    <definedName name="__shared_10_0_100" localSheetId="15">#REF!*#REF!</definedName>
    <definedName name="__shared_10_0_100">#REF!*#REF!</definedName>
    <definedName name="__shared_10_0_101" localSheetId="16">#REF!*#REF!</definedName>
    <definedName name="__shared_10_0_101" localSheetId="15">#REF!*#REF!</definedName>
    <definedName name="__shared_10_0_101">#REF!*#REF!</definedName>
    <definedName name="__shared_10_0_102" localSheetId="16">#REF!*#REF!</definedName>
    <definedName name="__shared_10_0_102" localSheetId="15">#REF!*#REF!</definedName>
    <definedName name="__shared_10_0_102">#REF!*#REF!</definedName>
    <definedName name="__shared_10_0_103" localSheetId="16">#REF!*#REF!</definedName>
    <definedName name="__shared_10_0_103" localSheetId="15">#REF!*#REF!</definedName>
    <definedName name="__shared_10_0_103">#REF!*#REF!</definedName>
    <definedName name="__shared_10_0_104" localSheetId="16">#REF!*#REF!</definedName>
    <definedName name="__shared_10_0_104" localSheetId="15">#REF!*#REF!</definedName>
    <definedName name="__shared_10_0_104">#REF!*#REF!</definedName>
    <definedName name="__shared_10_0_105" localSheetId="16">#REF!*#REF!</definedName>
    <definedName name="__shared_10_0_105" localSheetId="15">#REF!*#REF!</definedName>
    <definedName name="__shared_10_0_105">#REF!*#REF!</definedName>
    <definedName name="__shared_10_0_106" localSheetId="16">#REF!*#REF!</definedName>
    <definedName name="__shared_10_0_106" localSheetId="15">#REF!*#REF!</definedName>
    <definedName name="__shared_10_0_106">#REF!*#REF!</definedName>
    <definedName name="__shared_10_0_11" localSheetId="16">#REF!*#REF!</definedName>
    <definedName name="__shared_10_0_11" localSheetId="15">#REF!*#REF!</definedName>
    <definedName name="__shared_10_0_11">#REF!*#REF!</definedName>
    <definedName name="__shared_10_0_110" localSheetId="16">#REF!*#REF!</definedName>
    <definedName name="__shared_10_0_110" localSheetId="15">#REF!*#REF!</definedName>
    <definedName name="__shared_10_0_110">#REF!*#REF!</definedName>
    <definedName name="__shared_10_0_111" localSheetId="16">#REF!*#REF!</definedName>
    <definedName name="__shared_10_0_111" localSheetId="15">#REF!*#REF!</definedName>
    <definedName name="__shared_10_0_111">#REF!*#REF!</definedName>
    <definedName name="__shared_10_0_112" localSheetId="16">#REF!*#REF!</definedName>
    <definedName name="__shared_10_0_112" localSheetId="15">#REF!*#REF!</definedName>
    <definedName name="__shared_10_0_112">#REF!*#REF!</definedName>
    <definedName name="__shared_10_0_113" localSheetId="16">#REF!/(#REF!)</definedName>
    <definedName name="__shared_10_0_113" localSheetId="15">#REF!/(#REF!)</definedName>
    <definedName name="__shared_10_0_113">#REF!/(#REF!)</definedName>
    <definedName name="__shared_10_0_114" localSheetId="14">#REF!/(#REF!+#REF!)</definedName>
    <definedName name="__shared_10_0_114" localSheetId="8">#REF!/(#REF!+#REF!)</definedName>
    <definedName name="__shared_10_0_114" localSheetId="16">#REF!/(#REF!+#REF!)</definedName>
    <definedName name="__shared_10_0_114" localSheetId="15">#REF!/(#REF!+#REF!)</definedName>
    <definedName name="__shared_10_0_114">#REF!/(#REF!+#REF!)</definedName>
    <definedName name="__shared_10_0_116" localSheetId="16">#REF!*#REF!</definedName>
    <definedName name="__shared_10_0_116" localSheetId="15">#REF!*#REF!</definedName>
    <definedName name="__shared_10_0_116">#REF!*#REF!</definedName>
    <definedName name="__shared_10_0_117" localSheetId="16">#REF!*#REF!</definedName>
    <definedName name="__shared_10_0_117" localSheetId="15">#REF!*#REF!</definedName>
    <definedName name="__shared_10_0_117">#REF!*#REF!</definedName>
    <definedName name="__shared_10_0_118" localSheetId="16">#REF!*#REF!</definedName>
    <definedName name="__shared_10_0_118" localSheetId="15">#REF!*#REF!</definedName>
    <definedName name="__shared_10_0_118">#REF!*#REF!</definedName>
    <definedName name="__shared_10_0_119" localSheetId="16">#REF!/(#REF!)</definedName>
    <definedName name="__shared_10_0_119" localSheetId="15">#REF!/(#REF!)</definedName>
    <definedName name="__shared_10_0_119">#REF!/(#REF!)</definedName>
    <definedName name="__shared_10_0_120" localSheetId="14">#REF!/(#REF!+#REF!)</definedName>
    <definedName name="__shared_10_0_120" localSheetId="8">#REF!/(#REF!+#REF!)</definedName>
    <definedName name="__shared_10_0_120" localSheetId="16">#REF!/(#REF!+#REF!)</definedName>
    <definedName name="__shared_10_0_120" localSheetId="15">#REF!/(#REF!+#REF!)</definedName>
    <definedName name="__shared_10_0_120">#REF!/(#REF!+#REF!)</definedName>
    <definedName name="__shared_10_0_121" localSheetId="16">#REF!*#REF!</definedName>
    <definedName name="__shared_10_0_121" localSheetId="15">#REF!*#REF!</definedName>
    <definedName name="__shared_10_0_121">#REF!*#REF!</definedName>
    <definedName name="__shared_10_0_124" localSheetId="16">#REF!*#REF!</definedName>
    <definedName name="__shared_10_0_124" localSheetId="15">#REF!*#REF!</definedName>
    <definedName name="__shared_10_0_124">#REF!*#REF!</definedName>
    <definedName name="__shared_10_0_125" localSheetId="16">#REF!*#REF!</definedName>
    <definedName name="__shared_10_0_125" localSheetId="15">#REF!*#REF!</definedName>
    <definedName name="__shared_10_0_125">#REF!*#REF!</definedName>
    <definedName name="__shared_10_0_126" localSheetId="16">#REF!*#REF!</definedName>
    <definedName name="__shared_10_0_126" localSheetId="15">#REF!*#REF!</definedName>
    <definedName name="__shared_10_0_126">#REF!*#REF!</definedName>
    <definedName name="__shared_10_0_127" localSheetId="16">#REF!*#REF!</definedName>
    <definedName name="__shared_10_0_127" localSheetId="15">#REF!*#REF!</definedName>
    <definedName name="__shared_10_0_127">#REF!*#REF!</definedName>
    <definedName name="__shared_10_0_128" localSheetId="16">#REF!/(#REF!)</definedName>
    <definedName name="__shared_10_0_128" localSheetId="15">#REF!/(#REF!)</definedName>
    <definedName name="__shared_10_0_128">#REF!/(#REF!)</definedName>
    <definedName name="__shared_10_0_129" localSheetId="14">#REF!/(#REF!+#REF!)</definedName>
    <definedName name="__shared_10_0_129" localSheetId="8">#REF!/(#REF!+#REF!)</definedName>
    <definedName name="__shared_10_0_129" localSheetId="16">#REF!/(#REF!+#REF!)</definedName>
    <definedName name="__shared_10_0_129" localSheetId="15">#REF!/(#REF!+#REF!)</definedName>
    <definedName name="__shared_10_0_129">#REF!/(#REF!+#REF!)</definedName>
    <definedName name="__shared_10_0_13" localSheetId="16">#REF!*#REF!</definedName>
    <definedName name="__shared_10_0_13" localSheetId="15">#REF!*#REF!</definedName>
    <definedName name="__shared_10_0_13">#REF!*#REF!</definedName>
    <definedName name="__shared_10_0_131" localSheetId="16">#REF!*#REF!</definedName>
    <definedName name="__shared_10_0_131" localSheetId="15">#REF!*#REF!</definedName>
    <definedName name="__shared_10_0_131">#REF!*#REF!</definedName>
    <definedName name="__shared_10_0_132" localSheetId="16">#REF!*#REF!</definedName>
    <definedName name="__shared_10_0_132" localSheetId="15">#REF!*#REF!</definedName>
    <definedName name="__shared_10_0_132">#REF!*#REF!</definedName>
    <definedName name="__shared_10_0_133" localSheetId="16">#REF!*#REF!</definedName>
    <definedName name="__shared_10_0_133" localSheetId="15">#REF!*#REF!</definedName>
    <definedName name="__shared_10_0_133">#REF!*#REF!</definedName>
    <definedName name="__shared_10_0_134" localSheetId="16">#REF!*#REF!</definedName>
    <definedName name="__shared_10_0_134" localSheetId="15">#REF!*#REF!</definedName>
    <definedName name="__shared_10_0_134">#REF!*#REF!</definedName>
    <definedName name="__shared_10_0_135" localSheetId="16">#REF!*#REF!</definedName>
    <definedName name="__shared_10_0_135" localSheetId="15">#REF!*#REF!</definedName>
    <definedName name="__shared_10_0_135">#REF!*#REF!</definedName>
    <definedName name="__shared_10_0_136" localSheetId="16">#REF!*#REF!</definedName>
    <definedName name="__shared_10_0_136" localSheetId="15">#REF!*#REF!</definedName>
    <definedName name="__shared_10_0_136">#REF!*#REF!</definedName>
    <definedName name="__shared_10_0_137" localSheetId="16">#REF!/(#REF!)</definedName>
    <definedName name="__shared_10_0_137" localSheetId="15">#REF!/(#REF!)</definedName>
    <definedName name="__shared_10_0_137">#REF!/(#REF!)</definedName>
    <definedName name="__shared_10_0_138" localSheetId="14">#REF!/(#REF!+#REF!)</definedName>
    <definedName name="__shared_10_0_138" localSheetId="8">#REF!/(#REF!+#REF!)</definedName>
    <definedName name="__shared_10_0_138" localSheetId="16">#REF!/(#REF!+#REF!)</definedName>
    <definedName name="__shared_10_0_138" localSheetId="15">#REF!/(#REF!+#REF!)</definedName>
    <definedName name="__shared_10_0_138">#REF!/(#REF!+#REF!)</definedName>
    <definedName name="__shared_10_0_14" localSheetId="14">#REF!/(#REF!+#REF!)</definedName>
    <definedName name="__shared_10_0_14" localSheetId="8">#REF!/(#REF!+#REF!)</definedName>
    <definedName name="__shared_10_0_14" localSheetId="16">#REF!/(#REF!+#REF!)</definedName>
    <definedName name="__shared_10_0_14" localSheetId="15">#REF!/(#REF!+#REF!)</definedName>
    <definedName name="__shared_10_0_14">#REF!/(#REF!+#REF!)</definedName>
    <definedName name="__shared_10_0_16" localSheetId="16">#REF!*#REF!</definedName>
    <definedName name="__shared_10_0_16" localSheetId="15">#REF!*#REF!</definedName>
    <definedName name="__shared_10_0_16">#REF!*#REF!</definedName>
    <definedName name="__shared_10_0_17" localSheetId="16">#REF!*#REF!</definedName>
    <definedName name="__shared_10_0_17" localSheetId="15">#REF!*#REF!</definedName>
    <definedName name="__shared_10_0_17">#REF!*#REF!</definedName>
    <definedName name="__shared_10_0_19" localSheetId="16">#REF!*#REF!</definedName>
    <definedName name="__shared_10_0_19" localSheetId="15">#REF!*#REF!</definedName>
    <definedName name="__shared_10_0_19">#REF!*#REF!</definedName>
    <definedName name="__shared_10_0_2" localSheetId="16">#REF!*#REF!</definedName>
    <definedName name="__shared_10_0_2" localSheetId="15">#REF!*#REF!</definedName>
    <definedName name="__shared_10_0_2">#REF!*#REF!</definedName>
    <definedName name="__shared_10_0_20" localSheetId="16">#REF!/#REF!</definedName>
    <definedName name="__shared_10_0_20" localSheetId="15">#REF!/#REF!</definedName>
    <definedName name="__shared_10_0_20">#REF!/#REF!</definedName>
    <definedName name="__shared_10_0_22" localSheetId="16">#REF!/#REF!</definedName>
    <definedName name="__shared_10_0_22" localSheetId="15">#REF!/#REF!</definedName>
    <definedName name="__shared_10_0_22">#REF!/#REF!</definedName>
    <definedName name="__shared_10_0_23" localSheetId="14">#REF!/(#REF!+#REF!)</definedName>
    <definedName name="__shared_10_0_23" localSheetId="8">#REF!/(#REF!+#REF!)</definedName>
    <definedName name="__shared_10_0_23" localSheetId="16">#REF!/(#REF!+#REF!)</definedName>
    <definedName name="__shared_10_0_23" localSheetId="15">#REF!/(#REF!+#REF!)</definedName>
    <definedName name="__shared_10_0_23">#REF!/(#REF!+#REF!)</definedName>
    <definedName name="__shared_10_0_27" localSheetId="16">#REF!*#REF!</definedName>
    <definedName name="__shared_10_0_27" localSheetId="15">#REF!*#REF!</definedName>
    <definedName name="__shared_10_0_27">#REF!*#REF!</definedName>
    <definedName name="__shared_10_0_28" localSheetId="16">#REF!*#REF!</definedName>
    <definedName name="__shared_10_0_28" localSheetId="15">#REF!*#REF!</definedName>
    <definedName name="__shared_10_0_28">#REF!*#REF!</definedName>
    <definedName name="__shared_10_0_29" localSheetId="16">#REF!*#REF!*0.15</definedName>
    <definedName name="__shared_10_0_29" localSheetId="15">#REF!*#REF!*0.15</definedName>
    <definedName name="__shared_10_0_29">#REF!*#REF!*0.15</definedName>
    <definedName name="__shared_10_0_3" localSheetId="16">#REF!*#REF!*0.15</definedName>
    <definedName name="__shared_10_0_3" localSheetId="15">#REF!*#REF!*0.15</definedName>
    <definedName name="__shared_10_0_3">#REF!*#REF!*0.15</definedName>
    <definedName name="__shared_10_0_30" localSheetId="16">#REF!*#REF!</definedName>
    <definedName name="__shared_10_0_30" localSheetId="15">#REF!*#REF!</definedName>
    <definedName name="__shared_10_0_30">#REF!*#REF!</definedName>
    <definedName name="__shared_10_0_31" localSheetId="16">#REF!*#REF!</definedName>
    <definedName name="__shared_10_0_31" localSheetId="15">#REF!*#REF!</definedName>
    <definedName name="__shared_10_0_31">#REF!*#REF!</definedName>
    <definedName name="__shared_10_0_32" localSheetId="16">#REF!*#REF!</definedName>
    <definedName name="__shared_10_0_32" localSheetId="15">#REF!*#REF!</definedName>
    <definedName name="__shared_10_0_32">#REF!*#REF!</definedName>
    <definedName name="__shared_10_0_33" localSheetId="16">#REF!*#REF!*0.15</definedName>
    <definedName name="__shared_10_0_33" localSheetId="15">#REF!*#REF!*0.15</definedName>
    <definedName name="__shared_10_0_33">#REF!*#REF!*0.15</definedName>
    <definedName name="__shared_10_0_34" localSheetId="16">#REF!*#REF!</definedName>
    <definedName name="__shared_10_0_34" localSheetId="15">#REF!*#REF!</definedName>
    <definedName name="__shared_10_0_34">#REF!*#REF!</definedName>
    <definedName name="__shared_10_0_35" localSheetId="16">#REF!/(#REF!)</definedName>
    <definedName name="__shared_10_0_35" localSheetId="15">#REF!/(#REF!)</definedName>
    <definedName name="__shared_10_0_35">#REF!/(#REF!)</definedName>
    <definedName name="__shared_10_0_36" localSheetId="14">#REF!/(#REF!+#REF!)</definedName>
    <definedName name="__shared_10_0_36" localSheetId="8">#REF!/(#REF!+#REF!)</definedName>
    <definedName name="__shared_10_0_36" localSheetId="16">#REF!/(#REF!+#REF!)</definedName>
    <definedName name="__shared_10_0_36" localSheetId="15">#REF!/(#REF!+#REF!)</definedName>
    <definedName name="__shared_10_0_36">#REF!/(#REF!+#REF!)</definedName>
    <definedName name="__shared_10_0_38" localSheetId="16">#REF!*#REF!</definedName>
    <definedName name="__shared_10_0_38" localSheetId="15">#REF!*#REF!</definedName>
    <definedName name="__shared_10_0_38">#REF!*#REF!</definedName>
    <definedName name="__shared_10_0_39" localSheetId="16">#REF!*#REF!*0.15</definedName>
    <definedName name="__shared_10_0_39" localSheetId="15">#REF!*#REF!*0.15</definedName>
    <definedName name="__shared_10_0_39">#REF!*#REF!*0.15</definedName>
    <definedName name="__shared_10_0_4" localSheetId="16">#REF!*#REF!</definedName>
    <definedName name="__shared_10_0_4" localSheetId="15">#REF!*#REF!</definedName>
    <definedName name="__shared_10_0_4">#REF!*#REF!</definedName>
    <definedName name="__shared_10_0_40" localSheetId="16">#REF!*#REF!</definedName>
    <definedName name="__shared_10_0_40" localSheetId="15">#REF!*#REF!</definedName>
    <definedName name="__shared_10_0_40">#REF!*#REF!</definedName>
    <definedName name="__shared_10_0_41" localSheetId="16">#REF!/(#REF!)</definedName>
    <definedName name="__shared_10_0_41" localSheetId="15">#REF!/(#REF!)</definedName>
    <definedName name="__shared_10_0_41">#REF!/(#REF!)</definedName>
    <definedName name="__shared_10_0_42" localSheetId="14">#REF!/(#REF!+#REF!)</definedName>
    <definedName name="__shared_10_0_42" localSheetId="8">#REF!/(#REF!+#REF!)</definedName>
    <definedName name="__shared_10_0_42" localSheetId="16">#REF!/(#REF!+#REF!)</definedName>
    <definedName name="__shared_10_0_42" localSheetId="15">#REF!/(#REF!+#REF!)</definedName>
    <definedName name="__shared_10_0_42">#REF!/(#REF!+#REF!)</definedName>
    <definedName name="__shared_10_0_44" localSheetId="16">#REF!*#REF!</definedName>
    <definedName name="__shared_10_0_44" localSheetId="15">#REF!*#REF!</definedName>
    <definedName name="__shared_10_0_44">#REF!*#REF!</definedName>
    <definedName name="__shared_10_0_45" localSheetId="16">+#REF!*#REF!</definedName>
    <definedName name="__shared_10_0_45" localSheetId="15">+#REF!*#REF!</definedName>
    <definedName name="__shared_10_0_45">+#REF!*#REF!</definedName>
    <definedName name="__shared_10_0_46" localSheetId="14">#REF!*#REF!</definedName>
    <definedName name="__shared_10_0_46" localSheetId="8">#REF!*#REF!</definedName>
    <definedName name="__shared_10_0_46" localSheetId="16">#REF!*#REF!</definedName>
    <definedName name="__shared_10_0_46" localSheetId="15">#REF!*#REF!</definedName>
    <definedName name="__shared_10_0_46">#REF!*#REF!</definedName>
    <definedName name="__shared_10_0_47" localSheetId="14">#REF!*#REF!</definedName>
    <definedName name="__shared_10_0_47" localSheetId="8">#REF!*#REF!</definedName>
    <definedName name="__shared_10_0_47" localSheetId="16">#REF!*#REF!</definedName>
    <definedName name="__shared_10_0_47" localSheetId="15">#REF!*#REF!</definedName>
    <definedName name="__shared_10_0_47">#REF!*#REF!</definedName>
    <definedName name="__shared_10_0_48" localSheetId="14">#REF!*#REF!*0.15</definedName>
    <definedName name="__shared_10_0_48" localSheetId="8">#REF!*#REF!*0.15</definedName>
    <definedName name="__shared_10_0_48" localSheetId="16">#REF!*#REF!*0.15</definedName>
    <definedName name="__shared_10_0_48" localSheetId="15">#REF!*#REF!*0.15</definedName>
    <definedName name="__shared_10_0_48">#REF!*#REF!*0.15</definedName>
    <definedName name="__shared_10_0_49" localSheetId="16">#REF!/(#REF!)</definedName>
    <definedName name="__shared_10_0_49" localSheetId="15">#REF!/(#REF!)</definedName>
    <definedName name="__shared_10_0_49">#REF!/(#REF!)</definedName>
    <definedName name="__shared_10_0_5" localSheetId="16">#REF!/#REF!</definedName>
    <definedName name="__shared_10_0_5" localSheetId="15">#REF!/#REF!</definedName>
    <definedName name="__shared_10_0_5">#REF!/#REF!</definedName>
    <definedName name="__shared_10_0_51" localSheetId="14">#REF!/(#REF!+#REF!)</definedName>
    <definedName name="__shared_10_0_51" localSheetId="8">#REF!/(#REF!+#REF!)</definedName>
    <definedName name="__shared_10_0_51" localSheetId="16">#REF!/(#REF!+#REF!)</definedName>
    <definedName name="__shared_10_0_51" localSheetId="15">#REF!/(#REF!+#REF!)</definedName>
    <definedName name="__shared_10_0_51">#REF!/(#REF!+#REF!)</definedName>
    <definedName name="__shared_10_0_52" localSheetId="16">+#REF!*#REF!</definedName>
    <definedName name="__shared_10_0_52" localSheetId="15">+#REF!*#REF!</definedName>
    <definedName name="__shared_10_0_52">+#REF!*#REF!</definedName>
    <definedName name="__shared_10_0_53" localSheetId="14">#REF!*#REF!*0.15</definedName>
    <definedName name="__shared_10_0_53" localSheetId="8">#REF!*#REF!*0.15</definedName>
    <definedName name="__shared_10_0_53" localSheetId="16">#REF!*#REF!*0.15</definedName>
    <definedName name="__shared_10_0_53" localSheetId="15">#REF!*#REF!*0.15</definedName>
    <definedName name="__shared_10_0_53">#REF!*#REF!*0.15</definedName>
    <definedName name="__shared_10_0_54" localSheetId="14">#REF!*#REF!</definedName>
    <definedName name="__shared_10_0_54" localSheetId="8">#REF!*#REF!</definedName>
    <definedName name="__shared_10_0_54" localSheetId="16">#REF!*#REF!</definedName>
    <definedName name="__shared_10_0_54" localSheetId="15">#REF!*#REF!</definedName>
    <definedName name="__shared_10_0_54">#REF!*#REF!</definedName>
    <definedName name="__shared_10_0_55" localSheetId="14">#REF!/(#REF!)</definedName>
    <definedName name="__shared_10_0_55" localSheetId="8">#REF!/(#REF!)</definedName>
    <definedName name="__shared_10_0_55" localSheetId="16">#REF!/(#REF!)</definedName>
    <definedName name="__shared_10_0_55" localSheetId="15">#REF!/(#REF!)</definedName>
    <definedName name="__shared_10_0_55">#REF!/(#REF!)</definedName>
    <definedName name="__shared_10_0_56" localSheetId="14">#REF!/(#REF!+#REF!)</definedName>
    <definedName name="__shared_10_0_56" localSheetId="8">#REF!/(#REF!+#REF!)</definedName>
    <definedName name="__shared_10_0_56" localSheetId="16">#REF!/(#REF!+#REF!)</definedName>
    <definedName name="__shared_10_0_56" localSheetId="15">#REF!/(#REF!+#REF!)</definedName>
    <definedName name="__shared_10_0_56">#REF!/(#REF!+#REF!)</definedName>
    <definedName name="__shared_10_0_60" localSheetId="16">+#REF!*#REF!</definedName>
    <definedName name="__shared_10_0_60" localSheetId="15">+#REF!*#REF!</definedName>
    <definedName name="__shared_10_0_60">+#REF!*#REF!</definedName>
    <definedName name="__shared_10_0_61" localSheetId="14">#REF!*#REF!*0.15</definedName>
    <definedName name="__shared_10_0_61" localSheetId="8">#REF!*#REF!*0.15</definedName>
    <definedName name="__shared_10_0_61" localSheetId="16">#REF!*#REF!*0.15</definedName>
    <definedName name="__shared_10_0_61" localSheetId="15">#REF!*#REF!*0.15</definedName>
    <definedName name="__shared_10_0_61">#REF!*#REF!*0.15</definedName>
    <definedName name="__shared_10_0_62" localSheetId="14">#REF!*#REF!</definedName>
    <definedName name="__shared_10_0_62" localSheetId="8">#REF!*#REF!</definedName>
    <definedName name="__shared_10_0_62" localSheetId="16">#REF!*#REF!</definedName>
    <definedName name="__shared_10_0_62" localSheetId="15">#REF!*#REF!</definedName>
    <definedName name="__shared_10_0_62">#REF!*#REF!</definedName>
    <definedName name="__shared_10_0_63" localSheetId="14">#REF!/#REF!</definedName>
    <definedName name="__shared_10_0_63" localSheetId="8">#REF!/#REF!</definedName>
    <definedName name="__shared_10_0_63" localSheetId="16">#REF!/#REF!</definedName>
    <definedName name="__shared_10_0_63" localSheetId="15">#REF!/#REF!</definedName>
    <definedName name="__shared_10_0_63">#REF!/#REF!</definedName>
    <definedName name="__shared_10_0_64" localSheetId="14">#REF!/(#REF!+#REF!)</definedName>
    <definedName name="__shared_10_0_64" localSheetId="8">#REF!/(#REF!+#REF!)</definedName>
    <definedName name="__shared_10_0_64" localSheetId="16">#REF!/(#REF!+#REF!)</definedName>
    <definedName name="__shared_10_0_64" localSheetId="15">#REF!/(#REF!+#REF!)</definedName>
    <definedName name="__shared_10_0_64">#REF!/(#REF!+#REF!)</definedName>
    <definedName name="__shared_10_0_67" localSheetId="16">#REF!*#REF!</definedName>
    <definedName name="__shared_10_0_67" localSheetId="15">#REF!*#REF!</definedName>
    <definedName name="__shared_10_0_67">#REF!*#REF!</definedName>
    <definedName name="__shared_10_0_68" localSheetId="16">+#REF!*#REF!</definedName>
    <definedName name="__shared_10_0_68" localSheetId="15">+#REF!*#REF!</definedName>
    <definedName name="__shared_10_0_68">+#REF!*#REF!</definedName>
    <definedName name="__shared_10_0_69" localSheetId="14">#REF!*#REF!</definedName>
    <definedName name="__shared_10_0_69" localSheetId="8">#REF!*#REF!</definedName>
    <definedName name="__shared_10_0_69" localSheetId="16">#REF!*#REF!</definedName>
    <definedName name="__shared_10_0_69" localSheetId="15">#REF!*#REF!</definedName>
    <definedName name="__shared_10_0_69">#REF!*#REF!</definedName>
    <definedName name="__shared_10_0_7" localSheetId="14">#REF!/#REF!*100</definedName>
    <definedName name="__shared_10_0_7" localSheetId="8">#REF!/#REF!*100</definedName>
    <definedName name="__shared_10_0_7" localSheetId="16">#REF!/#REF!*100</definedName>
    <definedName name="__shared_10_0_7" localSheetId="15">#REF!/#REF!*100</definedName>
    <definedName name="__shared_10_0_7">#REF!/#REF!*100</definedName>
    <definedName name="__shared_10_0_70" localSheetId="14">#REF!/(#REF!+#REF!)</definedName>
    <definedName name="__shared_10_0_70" localSheetId="8">#REF!/(#REF!+#REF!)</definedName>
    <definedName name="__shared_10_0_70" localSheetId="16">#REF!/(#REF!+#REF!)</definedName>
    <definedName name="__shared_10_0_70" localSheetId="15">#REF!/(#REF!+#REF!)</definedName>
    <definedName name="__shared_10_0_70">#REF!/(#REF!+#REF!)</definedName>
    <definedName name="__shared_10_0_72" localSheetId="16">#REF!*#REF!*0.15</definedName>
    <definedName name="__shared_10_0_72" localSheetId="15">#REF!*#REF!*0.15</definedName>
    <definedName name="__shared_10_0_72">#REF!*#REF!*0.15</definedName>
    <definedName name="__shared_10_0_74" localSheetId="16">#REF!*#REF!</definedName>
    <definedName name="__shared_10_0_74" localSheetId="15">#REF!*#REF!</definedName>
    <definedName name="__shared_10_0_74">#REF!*#REF!</definedName>
    <definedName name="__shared_10_0_75" localSheetId="16">#REF!*#REF!</definedName>
    <definedName name="__shared_10_0_75" localSheetId="15">#REF!*#REF!</definedName>
    <definedName name="__shared_10_0_75">#REF!*#REF!</definedName>
    <definedName name="__shared_10_0_76" localSheetId="14">#REF!/(#REF!+#REF!)</definedName>
    <definedName name="__shared_10_0_76" localSheetId="8">#REF!/(#REF!+#REF!)</definedName>
    <definedName name="__shared_10_0_76" localSheetId="16">#REF!/(#REF!+#REF!)</definedName>
    <definedName name="__shared_10_0_76" localSheetId="15">#REF!/(#REF!+#REF!)</definedName>
    <definedName name="__shared_10_0_76">#REF!/(#REF!+#REF!)</definedName>
    <definedName name="__shared_10_0_78" localSheetId="16">#REF!*#REF!</definedName>
    <definedName name="__shared_10_0_78" localSheetId="15">#REF!*#REF!</definedName>
    <definedName name="__shared_10_0_78">#REF!*#REF!</definedName>
    <definedName name="__shared_10_0_79" localSheetId="16">#REF!*#REF!*0.15</definedName>
    <definedName name="__shared_10_0_79" localSheetId="15">#REF!*#REF!*0.15</definedName>
    <definedName name="__shared_10_0_79">#REF!*#REF!*0.15</definedName>
    <definedName name="__shared_10_0_8" localSheetId="14">#REF!/(#REF!+#REF!)</definedName>
    <definedName name="__shared_10_0_8" localSheetId="8">#REF!/(#REF!+#REF!)</definedName>
    <definedName name="__shared_10_0_8" localSheetId="16">#REF!/(#REF!+#REF!)</definedName>
    <definedName name="__shared_10_0_8" localSheetId="15">#REF!/(#REF!+#REF!)</definedName>
    <definedName name="__shared_10_0_8">#REF!/(#REF!+#REF!)</definedName>
    <definedName name="__shared_10_0_80" localSheetId="16">#REF!/(#REF!)</definedName>
    <definedName name="__shared_10_0_80" localSheetId="15">#REF!/(#REF!)</definedName>
    <definedName name="__shared_10_0_80">#REF!/(#REF!)</definedName>
    <definedName name="__shared_10_0_82" localSheetId="16">#REF!*#REF!</definedName>
    <definedName name="__shared_10_0_82" localSheetId="15">#REF!*#REF!</definedName>
    <definedName name="__shared_10_0_82">#REF!*#REF!</definedName>
    <definedName name="__shared_10_0_83" localSheetId="16">#REF!/(#REF!)</definedName>
    <definedName name="__shared_10_0_83" localSheetId="15">#REF!/(#REF!)</definedName>
    <definedName name="__shared_10_0_83">#REF!/(#REF!)</definedName>
    <definedName name="__shared_10_0_85" localSheetId="16">#REF!/(#REF!)</definedName>
    <definedName name="__shared_10_0_85" localSheetId="15">#REF!/(#REF!)</definedName>
    <definedName name="__shared_10_0_85">#REF!/(#REF!)</definedName>
    <definedName name="__shared_10_0_86" localSheetId="14">#REF!/(#REF!+#REF!)</definedName>
    <definedName name="__shared_10_0_86" localSheetId="8">#REF!/(#REF!+#REF!)</definedName>
    <definedName name="__shared_10_0_86" localSheetId="16">#REF!/(#REF!+#REF!)</definedName>
    <definedName name="__shared_10_0_86" localSheetId="15">#REF!/(#REF!+#REF!)</definedName>
    <definedName name="__shared_10_0_86">#REF!/(#REF!+#REF!)</definedName>
    <definedName name="__shared_10_0_88" localSheetId="16">#REF!*#REF!</definedName>
    <definedName name="__shared_10_0_88" localSheetId="15">#REF!*#REF!</definedName>
    <definedName name="__shared_10_0_88">#REF!*#REF!</definedName>
    <definedName name="__shared_10_0_89" localSheetId="16">#REF!*#REF!</definedName>
    <definedName name="__shared_10_0_89" localSheetId="15">#REF!*#REF!</definedName>
    <definedName name="__shared_10_0_89">#REF!*#REF!</definedName>
    <definedName name="__shared_10_0_90" localSheetId="16">#REF!*#REF!</definedName>
    <definedName name="__shared_10_0_90" localSheetId="15">#REF!*#REF!</definedName>
    <definedName name="__shared_10_0_90">#REF!*#REF!</definedName>
    <definedName name="__shared_10_0_91" localSheetId="16">#REF!*#REF!</definedName>
    <definedName name="__shared_10_0_91" localSheetId="15">#REF!*#REF!</definedName>
    <definedName name="__shared_10_0_91">#REF!*#REF!</definedName>
    <definedName name="__shared_10_0_93" localSheetId="16">#REF!*#REF!</definedName>
    <definedName name="__shared_10_0_93" localSheetId="15">#REF!*#REF!</definedName>
    <definedName name="__shared_10_0_93">#REF!*#REF!</definedName>
    <definedName name="__shared_10_0_95" localSheetId="16">#REF!*#REF!</definedName>
    <definedName name="__shared_10_0_95" localSheetId="15">#REF!*#REF!</definedName>
    <definedName name="__shared_10_0_95">#REF!*#REF!</definedName>
    <definedName name="__shared_10_0_96" localSheetId="16">#REF!/(#REF!)</definedName>
    <definedName name="__shared_10_0_96" localSheetId="15">#REF!/(#REF!)</definedName>
    <definedName name="__shared_10_0_96">#REF!/(#REF!)</definedName>
    <definedName name="__shared_10_0_97" localSheetId="14">#REF!/(#REF!+#REF!)</definedName>
    <definedName name="__shared_10_0_97" localSheetId="8">#REF!/(#REF!+#REF!)</definedName>
    <definedName name="__shared_10_0_97" localSheetId="16">#REF!/(#REF!+#REF!)</definedName>
    <definedName name="__shared_10_0_97" localSheetId="15">#REF!/(#REF!+#REF!)</definedName>
    <definedName name="__shared_10_0_97">#REF!/(#REF!+#REF!)</definedName>
    <definedName name="__shared_10_0_99" localSheetId="16">#REF!*#REF!</definedName>
    <definedName name="__shared_10_0_99" localSheetId="15">#REF!*#REF!</definedName>
    <definedName name="__shared_10_0_99">#REF!*#REF!</definedName>
    <definedName name="__shared_11_0_0" localSheetId="16">#REF!+#REF!</definedName>
    <definedName name="__shared_11_0_0" localSheetId="15">#REF!+#REF!</definedName>
    <definedName name="__shared_11_0_0">#REF!+#REF!</definedName>
    <definedName name="__shared_11_0_1" localSheetId="16">#REF!*#REF!</definedName>
    <definedName name="__shared_11_0_1" localSheetId="15">#REF!*#REF!</definedName>
    <definedName name="__shared_11_0_1">#REF!*#REF!</definedName>
    <definedName name="__shared_11_0_3" localSheetId="16">#REF!*#REF!</definedName>
    <definedName name="__shared_11_0_3" localSheetId="15">#REF!*#REF!</definedName>
    <definedName name="__shared_11_0_3">#REF!*#REF!</definedName>
    <definedName name="__shared_11_0_4" localSheetId="16">#REF!+#REF!</definedName>
    <definedName name="__shared_11_0_4" localSheetId="15">#REF!+#REF!</definedName>
    <definedName name="__shared_11_0_4">#REF!+#REF!</definedName>
    <definedName name="__shared_12_0_0" localSheetId="16">#REF!</definedName>
    <definedName name="__shared_12_0_0" localSheetId="15">#REF!</definedName>
    <definedName name="__shared_12_0_0">#REF!</definedName>
    <definedName name="__shared_12_0_1">(0)*20/10000</definedName>
    <definedName name="__shared_12_0_10" localSheetId="14">#REF!*#REF!</definedName>
    <definedName name="__shared_12_0_10" localSheetId="8">#REF!*#REF!</definedName>
    <definedName name="__shared_12_0_10" localSheetId="16">#REF!*#REF!</definedName>
    <definedName name="__shared_12_0_10" localSheetId="15">#REF!*#REF!</definedName>
    <definedName name="__shared_12_0_10">#REF!*#REF!</definedName>
    <definedName name="__shared_12_0_11" localSheetId="14">#REF!+#REF!+#REF!+#REF!+#REF!+#REF!+#REF!+#REF!</definedName>
    <definedName name="__shared_12_0_11" localSheetId="8">#REF!+#REF!+#REF!+#REF!+#REF!+#REF!+#REF!+#REF!</definedName>
    <definedName name="__shared_12_0_11" localSheetId="16">#REF!+#REF!+#REF!+#REF!+#REF!+#REF!+#REF!+#REF!</definedName>
    <definedName name="__shared_12_0_11" localSheetId="15">#REF!+#REF!+#REF!+#REF!+#REF!+#REF!+#REF!+#REF!</definedName>
    <definedName name="__shared_12_0_11">#REF!+#REF!+#REF!+#REF!+#REF!+#REF!+#REF!+#REF!</definedName>
    <definedName name="__shared_12_0_12" localSheetId="8">#REF!*#REF!</definedName>
    <definedName name="__shared_12_0_12" localSheetId="16">#REF!*#REF!</definedName>
    <definedName name="__shared_12_0_12" localSheetId="15">#REF!*#REF!</definedName>
    <definedName name="__shared_12_0_12">#REF!*#REF!</definedName>
    <definedName name="__shared_12_0_13">(0)*12*0.78</definedName>
    <definedName name="__shared_12_0_14">(0)*12*0.8</definedName>
    <definedName name="__shared_12_0_15">(0)*12*0.78</definedName>
    <definedName name="__shared_12_0_16">(0)*12*0.85</definedName>
    <definedName name="__shared_12_0_17">(0)*12*0.8</definedName>
    <definedName name="__shared_12_0_18" localSheetId="14">#REF!*#REF!</definedName>
    <definedName name="__shared_12_0_18" localSheetId="8">#REF!*#REF!</definedName>
    <definedName name="__shared_12_0_18" localSheetId="16">#REF!*#REF!</definedName>
    <definedName name="__shared_12_0_18" localSheetId="15">#REF!*#REF!</definedName>
    <definedName name="__shared_12_0_18">#REF!*#REF!</definedName>
    <definedName name="__shared_12_0_19" localSheetId="14">#REF!*#REF!</definedName>
    <definedName name="__shared_12_0_19" localSheetId="8">#REF!*#REF!</definedName>
    <definedName name="__shared_12_0_19" localSheetId="16">#REF!*#REF!</definedName>
    <definedName name="__shared_12_0_19" localSheetId="15">#REF!*#REF!</definedName>
    <definedName name="__shared_12_0_19">#REF!*#REF!</definedName>
    <definedName name="__shared_12_0_2" localSheetId="14">#REF!*#REF!</definedName>
    <definedName name="__shared_12_0_2" localSheetId="8">#REF!*#REF!</definedName>
    <definedName name="__shared_12_0_2" localSheetId="16">#REF!*#REF!</definedName>
    <definedName name="__shared_12_0_2" localSheetId="15">#REF!*#REF!</definedName>
    <definedName name="__shared_12_0_2">#REF!*#REF!</definedName>
    <definedName name="__shared_12_0_20" localSheetId="16">#REF!*#REF!</definedName>
    <definedName name="__shared_12_0_20" localSheetId="15">#REF!*#REF!</definedName>
    <definedName name="__shared_12_0_20">#REF!*#REF!</definedName>
    <definedName name="__shared_12_0_21" localSheetId="16">#REF!*#REF!</definedName>
    <definedName name="__shared_12_0_21" localSheetId="15">#REF!*#REF!</definedName>
    <definedName name="__shared_12_0_21">#REF!*#REF!</definedName>
    <definedName name="__shared_12_0_22">(0)*0.5</definedName>
    <definedName name="__shared_12_0_23" localSheetId="14">#REF!*#REF!</definedName>
    <definedName name="__shared_12_0_23" localSheetId="8">#REF!*#REF!</definedName>
    <definedName name="__shared_12_0_23" localSheetId="16">#REF!*#REF!</definedName>
    <definedName name="__shared_12_0_23" localSheetId="15">#REF!*#REF!</definedName>
    <definedName name="__shared_12_0_23">#REF!*#REF!</definedName>
    <definedName name="__shared_12_0_24" localSheetId="14">#REF!*#REF!</definedName>
    <definedName name="__shared_12_0_24" localSheetId="8">#REF!*#REF!</definedName>
    <definedName name="__shared_12_0_24" localSheetId="16">#REF!*#REF!</definedName>
    <definedName name="__shared_12_0_24" localSheetId="15">#REF!*#REF!</definedName>
    <definedName name="__shared_12_0_24">#REF!*#REF!</definedName>
    <definedName name="__shared_12_0_25">(0)*150</definedName>
    <definedName name="__shared_12_0_26" localSheetId="14">#REF!*#REF!</definedName>
    <definedName name="__shared_12_0_26" localSheetId="8">#REF!*#REF!</definedName>
    <definedName name="__shared_12_0_26" localSheetId="16">#REF!*#REF!</definedName>
    <definedName name="__shared_12_0_26" localSheetId="15">#REF!*#REF!</definedName>
    <definedName name="__shared_12_0_26">#REF!*#REF!</definedName>
    <definedName name="__shared_12_0_27">(0)*100</definedName>
    <definedName name="__shared_12_0_28" localSheetId="14">#REF!+#REF!+#REF!+#REF!+#REF!+#REF!+#REF!+#REF!</definedName>
    <definedName name="__shared_12_0_28" localSheetId="8">#REF!+#REF!+#REF!+#REF!+#REF!+#REF!+#REF!+#REF!</definedName>
    <definedName name="__shared_12_0_28" localSheetId="16">#REF!+#REF!+#REF!+#REF!+#REF!+#REF!+#REF!+#REF!</definedName>
    <definedName name="__shared_12_0_28" localSheetId="15">#REF!+#REF!+#REF!+#REF!+#REF!+#REF!+#REF!+#REF!</definedName>
    <definedName name="__shared_12_0_28">#REF!+#REF!+#REF!+#REF!+#REF!+#REF!+#REF!+#REF!</definedName>
    <definedName name="__shared_12_0_3" localSheetId="14">#REF!+#REF!+#REF!+#REF!+#REF!+#REF!+#REF!+#REF!</definedName>
    <definedName name="__shared_12_0_3" localSheetId="8">#REF!+#REF!+#REF!+#REF!+#REF!+#REF!+#REF!+#REF!</definedName>
    <definedName name="__shared_12_0_3" localSheetId="16">#REF!+#REF!+#REF!+#REF!+#REF!+#REF!+#REF!+#REF!</definedName>
    <definedName name="__shared_12_0_3" localSheetId="15">#REF!+#REF!+#REF!+#REF!+#REF!+#REF!+#REF!+#REF!</definedName>
    <definedName name="__shared_12_0_3">#REF!+#REF!+#REF!+#REF!+#REF!+#REF!+#REF!+#REF!</definedName>
    <definedName name="__shared_12_0_30">(0)*40</definedName>
    <definedName name="__shared_12_0_31">(0)*40</definedName>
    <definedName name="__shared_12_0_32">(0)*40</definedName>
    <definedName name="__shared_12_0_33">(0)*12*0.78</definedName>
    <definedName name="__shared_12_0_34" localSheetId="14">#REF!*#REF!</definedName>
    <definedName name="__shared_12_0_34" localSheetId="8">#REF!*#REF!</definedName>
    <definedName name="__shared_12_0_34" localSheetId="16">#REF!*#REF!</definedName>
    <definedName name="__shared_12_0_34" localSheetId="15">#REF!*#REF!</definedName>
    <definedName name="__shared_12_0_34">#REF!*#REF!</definedName>
    <definedName name="__shared_12_0_35">(0)*12*0.8</definedName>
    <definedName name="__shared_12_0_36" localSheetId="14">#REF!*#REF!</definedName>
    <definedName name="__shared_12_0_36" localSheetId="8">#REF!*#REF!</definedName>
    <definedName name="__shared_12_0_36" localSheetId="16">#REF!*#REF!</definedName>
    <definedName name="__shared_12_0_36" localSheetId="15">#REF!*#REF!</definedName>
    <definedName name="__shared_12_0_36">#REF!*#REF!</definedName>
    <definedName name="__shared_12_0_37">(0)*12*0.8</definedName>
    <definedName name="__shared_12_0_38">(0)*12*0.78</definedName>
    <definedName name="__shared_12_0_39">(0)*12*0.67</definedName>
    <definedName name="__shared_12_0_4" localSheetId="14">#REF!*#REF!</definedName>
    <definedName name="__shared_12_0_4" localSheetId="8">#REF!*#REF!</definedName>
    <definedName name="__shared_12_0_4" localSheetId="16">#REF!*#REF!</definedName>
    <definedName name="__shared_12_0_4" localSheetId="15">#REF!*#REF!</definedName>
    <definedName name="__shared_12_0_4">#REF!*#REF!</definedName>
    <definedName name="__shared_12_0_40">(0)*12*0.67</definedName>
    <definedName name="__shared_12_0_41">(0)*12*0.85</definedName>
    <definedName name="__shared_12_0_6">(0)*110</definedName>
    <definedName name="__shared_12_0_7">(0)*110</definedName>
    <definedName name="__shared_12_0_8">0*81.6</definedName>
    <definedName name="__shared_12_0_9">(0)*12*0.78</definedName>
    <definedName name="__shared_13_0_0" localSheetId="14">#REF!*#REF!</definedName>
    <definedName name="__shared_13_0_0" localSheetId="8">#REF!*#REF!</definedName>
    <definedName name="__shared_13_0_0" localSheetId="16">#REF!*#REF!</definedName>
    <definedName name="__shared_13_0_0" localSheetId="15">#REF!*#REF!</definedName>
    <definedName name="__shared_13_0_0">#REF!*#REF!</definedName>
    <definedName name="__shared_13_0_1" localSheetId="14">#REF!*#REF!</definedName>
    <definedName name="__shared_13_0_1" localSheetId="8">#REF!*#REF!</definedName>
    <definedName name="__shared_13_0_1" localSheetId="16">#REF!*#REF!</definedName>
    <definedName name="__shared_13_0_1" localSheetId="15">#REF!*#REF!</definedName>
    <definedName name="__shared_13_0_1">#REF!*#REF!</definedName>
    <definedName name="__shared_13_0_10" localSheetId="14">#REF!*#REF!</definedName>
    <definedName name="__shared_13_0_10" localSheetId="8">#REF!*#REF!</definedName>
    <definedName name="__shared_13_0_10" localSheetId="16">#REF!*#REF!</definedName>
    <definedName name="__shared_13_0_10" localSheetId="15">#REF!*#REF!</definedName>
    <definedName name="__shared_13_0_10">#REF!*#REF!</definedName>
    <definedName name="__shared_13_0_11" localSheetId="16">#REF!-#REF!</definedName>
    <definedName name="__shared_13_0_11" localSheetId="15">#REF!-#REF!</definedName>
    <definedName name="__shared_13_0_11">#REF!-#REF!</definedName>
    <definedName name="__shared_13_0_12" localSheetId="16">#REF!*#REF!</definedName>
    <definedName name="__shared_13_0_12" localSheetId="15">#REF!*#REF!</definedName>
    <definedName name="__shared_13_0_12">#REF!*#REF!</definedName>
    <definedName name="__shared_13_0_13" localSheetId="16">#REF!*#REF!</definedName>
    <definedName name="__shared_13_0_13" localSheetId="15">#REF!*#REF!</definedName>
    <definedName name="__shared_13_0_13">#REF!*#REF!</definedName>
    <definedName name="__shared_13_0_14" localSheetId="16">#REF!-#REF!</definedName>
    <definedName name="__shared_13_0_14" localSheetId="15">#REF!-#REF!</definedName>
    <definedName name="__shared_13_0_14">#REF!-#REF!</definedName>
    <definedName name="__shared_13_0_15" localSheetId="16">#REF!*#REF!</definedName>
    <definedName name="__shared_13_0_15" localSheetId="15">#REF!*#REF!</definedName>
    <definedName name="__shared_13_0_15">#REF!*#REF!</definedName>
    <definedName name="__shared_13_0_16" localSheetId="16">#REF!*#REF!</definedName>
    <definedName name="__shared_13_0_16" localSheetId="15">#REF!*#REF!</definedName>
    <definedName name="__shared_13_0_16">#REF!*#REF!</definedName>
    <definedName name="__shared_13_0_17" localSheetId="16">#REF!-#REF!</definedName>
    <definedName name="__shared_13_0_17" localSheetId="15">#REF!-#REF!</definedName>
    <definedName name="__shared_13_0_17">#REF!-#REF!</definedName>
    <definedName name="__shared_13_0_18" localSheetId="16">#REF!*#REF!</definedName>
    <definedName name="__shared_13_0_18" localSheetId="15">#REF!*#REF!</definedName>
    <definedName name="__shared_13_0_18">#REF!*#REF!</definedName>
    <definedName name="__shared_13_0_19" localSheetId="16">#REF!*#REF!</definedName>
    <definedName name="__shared_13_0_19" localSheetId="15">#REF!*#REF!</definedName>
    <definedName name="__shared_13_0_19">#REF!*#REF!</definedName>
    <definedName name="__shared_13_0_2" localSheetId="16">#REF!-#REF!</definedName>
    <definedName name="__shared_13_0_2" localSheetId="15">#REF!-#REF!</definedName>
    <definedName name="__shared_13_0_2">#REF!-#REF!</definedName>
    <definedName name="__shared_13_0_20" localSheetId="16">#REF!-#REF!</definedName>
    <definedName name="__shared_13_0_20" localSheetId="15">#REF!-#REF!</definedName>
    <definedName name="__shared_13_0_20">#REF!-#REF!</definedName>
    <definedName name="__shared_13_0_21" localSheetId="16">#REF!-#REF!</definedName>
    <definedName name="__shared_13_0_21" localSheetId="15">#REF!-#REF!</definedName>
    <definedName name="__shared_13_0_21">#REF!-#REF!</definedName>
    <definedName name="__shared_13_0_3" localSheetId="16">#REF!*#REF!</definedName>
    <definedName name="__shared_13_0_3" localSheetId="15">#REF!*#REF!</definedName>
    <definedName name="__shared_13_0_3">#REF!*#REF!</definedName>
    <definedName name="__shared_13_0_4" localSheetId="16">#REF!*#REF!</definedName>
    <definedName name="__shared_13_0_4" localSheetId="15">#REF!*#REF!</definedName>
    <definedName name="__shared_13_0_4">#REF!*#REF!</definedName>
    <definedName name="__shared_13_0_5" localSheetId="16">#REF!-#REF!</definedName>
    <definedName name="__shared_13_0_5" localSheetId="15">#REF!-#REF!</definedName>
    <definedName name="__shared_13_0_5">#REF!-#REF!</definedName>
    <definedName name="__shared_13_0_6" localSheetId="16">#REF!*#REF!</definedName>
    <definedName name="__shared_13_0_6" localSheetId="15">#REF!*#REF!</definedName>
    <definedName name="__shared_13_0_6">#REF!*#REF!</definedName>
    <definedName name="__shared_13_0_7" localSheetId="16">#REF!*#REF!</definedName>
    <definedName name="__shared_13_0_7" localSheetId="15">#REF!*#REF!</definedName>
    <definedName name="__shared_13_0_7">#REF!*#REF!</definedName>
    <definedName name="__shared_13_0_8" localSheetId="16">#REF!-#REF!</definedName>
    <definedName name="__shared_13_0_8" localSheetId="15">#REF!-#REF!</definedName>
    <definedName name="__shared_13_0_8">#REF!-#REF!</definedName>
    <definedName name="__shared_13_0_9" localSheetId="16">#REF!*#REF!</definedName>
    <definedName name="__shared_13_0_9" localSheetId="15">#REF!*#REF!</definedName>
    <definedName name="__shared_13_0_9">#REF!*#REF!</definedName>
    <definedName name="__shared_15_0_0" localSheetId="16">#REF!*#REF!</definedName>
    <definedName name="__shared_15_0_0" localSheetId="15">#REF!*#REF!</definedName>
    <definedName name="__shared_15_0_0">#REF!*#REF!</definedName>
    <definedName name="__shared_15_0_1" localSheetId="16">#REF!*9.55</definedName>
    <definedName name="__shared_15_0_1" localSheetId="15">#REF!*9.55</definedName>
    <definedName name="__shared_15_0_1">#REF!*9.55</definedName>
    <definedName name="__shared_15_0_10" localSheetId="16">#REF!*9.55</definedName>
    <definedName name="__shared_15_0_10" localSheetId="15">#REF!*9.55</definedName>
    <definedName name="__shared_15_0_10">#REF!*9.55</definedName>
    <definedName name="__shared_15_0_11" localSheetId="14">#REF!*#REF!*#REF!</definedName>
    <definedName name="__shared_15_0_11" localSheetId="8">#REF!*#REF!*#REF!</definedName>
    <definedName name="__shared_15_0_11" localSheetId="16">#REF!*#REF!*#REF!</definedName>
    <definedName name="__shared_15_0_11" localSheetId="15">#REF!*#REF!*#REF!</definedName>
    <definedName name="__shared_15_0_11">#REF!*#REF!*#REF!</definedName>
    <definedName name="__shared_15_0_12" localSheetId="14">#REF!*#REF!</definedName>
    <definedName name="__shared_15_0_12" localSheetId="8">#REF!*#REF!</definedName>
    <definedName name="__shared_15_0_12" localSheetId="16">#REF!*#REF!</definedName>
    <definedName name="__shared_15_0_12" localSheetId="15">#REF!*#REF!</definedName>
    <definedName name="__shared_15_0_12">#REF!*#REF!</definedName>
    <definedName name="__shared_15_0_13" localSheetId="14">#REF!*#REF!</definedName>
    <definedName name="__shared_15_0_13" localSheetId="8">#REF!*#REF!</definedName>
    <definedName name="__shared_15_0_13" localSheetId="16">#REF!*#REF!</definedName>
    <definedName name="__shared_15_0_13" localSheetId="15">#REF!*#REF!</definedName>
    <definedName name="__shared_15_0_13">#REF!*#REF!</definedName>
    <definedName name="__shared_15_0_2" localSheetId="16">#REF!*#REF!*#REF!</definedName>
    <definedName name="__shared_15_0_2" localSheetId="15">#REF!*#REF!*#REF!</definedName>
    <definedName name="__shared_15_0_2">#REF!*#REF!*#REF!</definedName>
    <definedName name="__shared_15_0_3" localSheetId="16">#REF!*#REF!</definedName>
    <definedName name="__shared_15_0_3" localSheetId="15">#REF!*#REF!</definedName>
    <definedName name="__shared_15_0_3">#REF!*#REF!</definedName>
    <definedName name="__shared_15_0_4" localSheetId="16">#REF!*#REF!</definedName>
    <definedName name="__shared_15_0_4" localSheetId="15">#REF!*#REF!</definedName>
    <definedName name="__shared_15_0_4">#REF!*#REF!</definedName>
    <definedName name="__shared_15_0_5" localSheetId="16">+#REF!*#REF!</definedName>
    <definedName name="__shared_15_0_5" localSheetId="15">+#REF!*#REF!</definedName>
    <definedName name="__shared_15_0_5">+#REF!*#REF!</definedName>
    <definedName name="__shared_15_0_6" localSheetId="16">+#REF!-#REF!</definedName>
    <definedName name="__shared_15_0_6" localSheetId="15">+#REF!-#REF!</definedName>
    <definedName name="__shared_15_0_6">+#REF!-#REF!</definedName>
    <definedName name="__shared_15_0_8" localSheetId="14">#REF!*#REF!</definedName>
    <definedName name="__shared_15_0_8" localSheetId="8">#REF!*#REF!</definedName>
    <definedName name="__shared_15_0_8" localSheetId="16">#REF!*#REF!</definedName>
    <definedName name="__shared_15_0_8" localSheetId="15">#REF!*#REF!</definedName>
    <definedName name="__shared_15_0_8">#REF!*#REF!</definedName>
    <definedName name="__shared_15_0_9" localSheetId="14">#REF!*#REF!</definedName>
    <definedName name="__shared_15_0_9" localSheetId="8">#REF!*#REF!</definedName>
    <definedName name="__shared_15_0_9" localSheetId="16">#REF!*#REF!</definedName>
    <definedName name="__shared_15_0_9" localSheetId="15">#REF!*#REF!</definedName>
    <definedName name="__shared_15_0_9">#REF!*#REF!</definedName>
    <definedName name="__shared_16_0_0" localSheetId="16">#REF!*60</definedName>
    <definedName name="__shared_16_0_0" localSheetId="15">#REF!*60</definedName>
    <definedName name="__shared_16_0_0">#REF!*60</definedName>
    <definedName name="__shared_16_0_1" localSheetId="14">#REF!/#REF!</definedName>
    <definedName name="__shared_16_0_1" localSheetId="8">#REF!/#REF!</definedName>
    <definedName name="__shared_16_0_1" localSheetId="16">#REF!/#REF!</definedName>
    <definedName name="__shared_16_0_1" localSheetId="15">#REF!/#REF!</definedName>
    <definedName name="__shared_16_0_1">#REF!/#REF!</definedName>
    <definedName name="__shared_16_0_2" localSheetId="14">#REF!*#REF!</definedName>
    <definedName name="__shared_16_0_2" localSheetId="8">#REF!*#REF!</definedName>
    <definedName name="__shared_16_0_2" localSheetId="16">#REF!*#REF!</definedName>
    <definedName name="__shared_16_0_2" localSheetId="15">#REF!*#REF!</definedName>
    <definedName name="__shared_16_0_2">#REF!*#REF!</definedName>
    <definedName name="__shared_16_0_3" localSheetId="14">#REF!*#REF!</definedName>
    <definedName name="__shared_16_0_3" localSheetId="8">#REF!*#REF!</definedName>
    <definedName name="__shared_16_0_3" localSheetId="16">#REF!*#REF!</definedName>
    <definedName name="__shared_16_0_3" localSheetId="15">#REF!*#REF!</definedName>
    <definedName name="__shared_16_0_3">#REF!*#REF!</definedName>
    <definedName name="__shared_16_0_4" localSheetId="16">#REF!/#REF!</definedName>
    <definedName name="__shared_16_0_4" localSheetId="15">#REF!/#REF!</definedName>
    <definedName name="__shared_16_0_4">#REF!/#REF!</definedName>
    <definedName name="__shared_17_0_0" localSheetId="14">#REF!/(#REF!+#REF!)</definedName>
    <definedName name="__shared_17_0_0" localSheetId="8">#REF!/(#REF!+#REF!)</definedName>
    <definedName name="__shared_17_0_0" localSheetId="16">#REF!/(#REF!+#REF!)</definedName>
    <definedName name="__shared_17_0_0" localSheetId="15">#REF!/(#REF!+#REF!)</definedName>
    <definedName name="__shared_17_0_0">#REF!/(#REF!+#REF!)</definedName>
    <definedName name="__shared_18_0_14" localSheetId="16">+#REF!</definedName>
    <definedName name="__shared_18_0_14" localSheetId="15">+#REF!</definedName>
    <definedName name="__shared_18_0_14">+#REF!</definedName>
    <definedName name="__shared_19_0_0" localSheetId="16">#REF!/#REF!</definedName>
    <definedName name="__shared_19_0_0" localSheetId="15">#REF!/#REF!</definedName>
    <definedName name="__shared_19_0_0">#REF!/#REF!</definedName>
    <definedName name="__shared_19_0_1" localSheetId="16">#REF!/#REF!*100</definedName>
    <definedName name="__shared_19_0_1" localSheetId="15">#REF!/#REF!*100</definedName>
    <definedName name="__shared_19_0_1">#REF!/#REF!*100</definedName>
    <definedName name="__shared_19_0_2" localSheetId="16">#REF!/#REF!</definedName>
    <definedName name="__shared_19_0_2" localSheetId="15">#REF!/#REF!</definedName>
    <definedName name="__shared_19_0_2">#REF!/#REF!</definedName>
    <definedName name="__shared_19_0_3" localSheetId="16">#REF!/#REF!</definedName>
    <definedName name="__shared_19_0_3" localSheetId="15">#REF!/#REF!</definedName>
    <definedName name="__shared_19_0_3">#REF!/#REF!</definedName>
    <definedName name="__shared_19_0_4" localSheetId="16">#REF!/#REF!*100</definedName>
    <definedName name="__shared_19_0_4" localSheetId="15">#REF!/#REF!*100</definedName>
    <definedName name="__shared_19_0_4">#REF!/#REF!*100</definedName>
    <definedName name="__shared_19_0_5" localSheetId="16">#REF!/#REF!</definedName>
    <definedName name="__shared_19_0_5" localSheetId="15">#REF!/#REF!</definedName>
    <definedName name="__shared_19_0_5">#REF!/#REF!</definedName>
    <definedName name="__shared_2_0_0" localSheetId="14">#REF!+#REF!+#REF!</definedName>
    <definedName name="__shared_2_0_0" localSheetId="8">#REF!+#REF!+#REF!</definedName>
    <definedName name="__shared_2_0_0" localSheetId="16">#REF!+#REF!+#REF!</definedName>
    <definedName name="__shared_2_0_0" localSheetId="15">#REF!+#REF!+#REF!</definedName>
    <definedName name="__shared_2_0_0">#REF!+#REF!+#REF!</definedName>
    <definedName name="__shared_2_0_1" localSheetId="16">#REF!*8</definedName>
    <definedName name="__shared_2_0_1" localSheetId="15">#REF!*8</definedName>
    <definedName name="__shared_2_0_1">#REF!*8</definedName>
    <definedName name="__shared_2_0_11" localSheetId="14">#REF!/#REF!</definedName>
    <definedName name="__shared_2_0_11" localSheetId="8">#REF!/#REF!</definedName>
    <definedName name="__shared_2_0_11" localSheetId="16">#REF!/#REF!</definedName>
    <definedName name="__shared_2_0_11" localSheetId="15">#REF!/#REF!</definedName>
    <definedName name="__shared_2_0_11">#REF!/#REF!</definedName>
    <definedName name="__shared_2_0_15" localSheetId="14">#REF!/#REF!</definedName>
    <definedName name="__shared_2_0_15" localSheetId="8">#REF!/#REF!</definedName>
    <definedName name="__shared_2_0_15" localSheetId="16">#REF!/#REF!</definedName>
    <definedName name="__shared_2_0_15" localSheetId="15">#REF!/#REF!</definedName>
    <definedName name="__shared_2_0_15">#REF!/#REF!</definedName>
    <definedName name="__shared_2_0_2" localSheetId="16">#REF!*8</definedName>
    <definedName name="__shared_2_0_2" localSheetId="15">#REF!*8</definedName>
    <definedName name="__shared_2_0_2">#REF!*8</definedName>
    <definedName name="__shared_2_0_5" localSheetId="14">#REF!/#REF!</definedName>
    <definedName name="__shared_2_0_5" localSheetId="8">#REF!/#REF!</definedName>
    <definedName name="__shared_2_0_5" localSheetId="16">#REF!/#REF!</definedName>
    <definedName name="__shared_2_0_5" localSheetId="15">#REF!/#REF!</definedName>
    <definedName name="__shared_2_0_5">#REF!/#REF!</definedName>
    <definedName name="__shared_2_0_7" localSheetId="14">#REF!/#REF!</definedName>
    <definedName name="__shared_2_0_7" localSheetId="8">#REF!/#REF!</definedName>
    <definedName name="__shared_2_0_7" localSheetId="16">#REF!/#REF!</definedName>
    <definedName name="__shared_2_0_7" localSheetId="15">#REF!/#REF!</definedName>
    <definedName name="__shared_2_0_7">#REF!/#REF!</definedName>
    <definedName name="__shared_2_0_9" localSheetId="14">#REF!/#REF!</definedName>
    <definedName name="__shared_2_0_9" localSheetId="8">#REF!/#REF!</definedName>
    <definedName name="__shared_2_0_9" localSheetId="16">#REF!/#REF!</definedName>
    <definedName name="__shared_2_0_9" localSheetId="15">#REF!/#REF!</definedName>
    <definedName name="__shared_2_0_9">#REF!/#REF!</definedName>
    <definedName name="__shared_21_0_0" localSheetId="16">#REF!*#REF!</definedName>
    <definedName name="__shared_21_0_0" localSheetId="15">#REF!*#REF!</definedName>
    <definedName name="__shared_21_0_0">#REF!*#REF!</definedName>
    <definedName name="__shared_21_0_1" localSheetId="14">#REF!*#REF!*#REF!</definedName>
    <definedName name="__shared_21_0_1" localSheetId="8">#REF!*#REF!*#REF!</definedName>
    <definedName name="__shared_21_0_1" localSheetId="16">#REF!*#REF!*#REF!</definedName>
    <definedName name="__shared_21_0_1" localSheetId="15">#REF!*#REF!*#REF!</definedName>
    <definedName name="__shared_21_0_1">#REF!*#REF!*#REF!</definedName>
    <definedName name="__shared_21_0_10">10*977.5</definedName>
    <definedName name="__shared_21_0_11" localSheetId="14">+#REF!-(#REF!+#REF!)</definedName>
    <definedName name="__shared_21_0_11" localSheetId="8">+#REF!-(#REF!+#REF!)</definedName>
    <definedName name="__shared_21_0_11" localSheetId="16">+#REF!-(#REF!+#REF!)</definedName>
    <definedName name="__shared_21_0_11" localSheetId="15">+#REF!-(#REF!+#REF!)</definedName>
    <definedName name="__shared_21_0_11">+#REF!-(#REF!+#REF!)</definedName>
    <definedName name="__shared_21_0_13" localSheetId="14">+#REF!-(#REF!+#REF!)</definedName>
    <definedName name="__shared_21_0_13" localSheetId="8">+#REF!-(#REF!+#REF!)</definedName>
    <definedName name="__shared_21_0_13" localSheetId="16">+#REF!-(#REF!+#REF!)</definedName>
    <definedName name="__shared_21_0_13" localSheetId="15">+#REF!-(#REF!+#REF!)</definedName>
    <definedName name="__shared_21_0_13">+#REF!-(#REF!+#REF!)</definedName>
    <definedName name="__shared_21_0_2" localSheetId="14">#REF!*#REF!</definedName>
    <definedName name="__shared_21_0_2" localSheetId="8">#REF!*#REF!</definedName>
    <definedName name="__shared_21_0_2" localSheetId="16">#REF!*#REF!</definedName>
    <definedName name="__shared_21_0_2" localSheetId="15">#REF!*#REF!</definedName>
    <definedName name="__shared_21_0_2">#REF!*#REF!</definedName>
    <definedName name="__shared_21_0_3" localSheetId="16">#REF!*5.95</definedName>
    <definedName name="__shared_21_0_3" localSheetId="15">#REF!*5.95</definedName>
    <definedName name="__shared_21_0_3">#REF!*5.95</definedName>
    <definedName name="__shared_21_0_4" localSheetId="14">#REF!*#REF!</definedName>
    <definedName name="__shared_21_0_4" localSheetId="8">#REF!*#REF!</definedName>
    <definedName name="__shared_21_0_4" localSheetId="16">#REF!*#REF!</definedName>
    <definedName name="__shared_21_0_4" localSheetId="15">#REF!*#REF!</definedName>
    <definedName name="__shared_21_0_4">#REF!*#REF!</definedName>
    <definedName name="__shared_21_0_6" localSheetId="14">+#REF!*#REF!</definedName>
    <definedName name="__shared_21_0_6" localSheetId="8">+#REF!*#REF!</definedName>
    <definedName name="__shared_21_0_6" localSheetId="16">+#REF!*#REF!</definedName>
    <definedName name="__shared_21_0_6" localSheetId="15">+#REF!*#REF!</definedName>
    <definedName name="__shared_21_0_6">+#REF!*#REF!</definedName>
    <definedName name="__shared_21_0_7" localSheetId="14">#REF!*#REF!*#REF!</definedName>
    <definedName name="__shared_21_0_7" localSheetId="8">#REF!*#REF!*#REF!</definedName>
    <definedName name="__shared_21_0_7" localSheetId="16">#REF!*#REF!*#REF!</definedName>
    <definedName name="__shared_21_0_7" localSheetId="15">#REF!*#REF!*#REF!</definedName>
    <definedName name="__shared_21_0_7">#REF!*#REF!*#REF!</definedName>
    <definedName name="__shared_21_0_8" localSheetId="14">#REF!*#REF!</definedName>
    <definedName name="__shared_21_0_8" localSheetId="8">#REF!*#REF!</definedName>
    <definedName name="__shared_21_0_8" localSheetId="16">#REF!*#REF!</definedName>
    <definedName name="__shared_21_0_8" localSheetId="15">#REF!*#REF!</definedName>
    <definedName name="__shared_21_0_8">#REF!*#REF!</definedName>
    <definedName name="__shared_21_0_9" localSheetId="14">#REF!/#REF!</definedName>
    <definedName name="__shared_21_0_9" localSheetId="8">#REF!/#REF!</definedName>
    <definedName name="__shared_21_0_9" localSheetId="16">#REF!/#REF!</definedName>
    <definedName name="__shared_21_0_9" localSheetId="15">#REF!/#REF!</definedName>
    <definedName name="__shared_21_0_9">#REF!/#REF!</definedName>
    <definedName name="__shared_22_0_0" localSheetId="16">#REF!/#REF!</definedName>
    <definedName name="__shared_22_0_0" localSheetId="15">#REF!/#REF!</definedName>
    <definedName name="__shared_22_0_0">#REF!/#REF!</definedName>
    <definedName name="__shared_23_0_0" localSheetId="16">#REF!*#REF!</definedName>
    <definedName name="__shared_23_0_0" localSheetId="15">#REF!*#REF!</definedName>
    <definedName name="__shared_23_0_0">#REF!*#REF!</definedName>
    <definedName name="__shared_23_0_1" localSheetId="16">#REF!*#REF!</definedName>
    <definedName name="__shared_23_0_1" localSheetId="15">#REF!*#REF!</definedName>
    <definedName name="__shared_23_0_1">#REF!*#REF!</definedName>
    <definedName name="__shared_23_0_2" localSheetId="16">#REF!-#REF!</definedName>
    <definedName name="__shared_23_0_2" localSheetId="15">#REF!-#REF!</definedName>
    <definedName name="__shared_23_0_2">#REF!-#REF!</definedName>
    <definedName name="__shared_23_0_3" localSheetId="16">#REF!*#REF!</definedName>
    <definedName name="__shared_23_0_3" localSheetId="15">#REF!*#REF!</definedName>
    <definedName name="__shared_23_0_3">#REF!*#REF!</definedName>
    <definedName name="__shared_25_0_1" localSheetId="14">#REF!/(#REF!+#REF!)</definedName>
    <definedName name="__shared_25_0_1" localSheetId="8">#REF!/(#REF!+#REF!)</definedName>
    <definedName name="__shared_25_0_1" localSheetId="16">#REF!/(#REF!+#REF!)</definedName>
    <definedName name="__shared_25_0_1" localSheetId="15">#REF!/(#REF!+#REF!)</definedName>
    <definedName name="__shared_25_0_1">#REF!/(#REF!+#REF!)</definedName>
    <definedName name="__shared_25_0_6" localSheetId="16">+#REF!*#REF!</definedName>
    <definedName name="__shared_25_0_6" localSheetId="15">+#REF!*#REF!</definedName>
    <definedName name="__shared_25_0_6">+#REF!*#REF!</definedName>
    <definedName name="__shared_25_0_7" localSheetId="16">+#REF!*#REF!</definedName>
    <definedName name="__shared_25_0_7" localSheetId="15">+#REF!*#REF!</definedName>
    <definedName name="__shared_25_0_7">+#REF!*#REF!</definedName>
    <definedName name="__shared_25_0_8" localSheetId="16">+#REF!*#REF!</definedName>
    <definedName name="__shared_25_0_8" localSheetId="15">+#REF!*#REF!</definedName>
    <definedName name="__shared_25_0_8">+#REF!*#REF!</definedName>
    <definedName name="__shared_25_0_9" localSheetId="14">#REF!/(#REF!+#REF!)</definedName>
    <definedName name="__shared_25_0_9" localSheetId="8">#REF!/(#REF!+#REF!)</definedName>
    <definedName name="__shared_25_0_9" localSheetId="16">#REF!/(#REF!+#REF!)</definedName>
    <definedName name="__shared_25_0_9" localSheetId="15">#REF!/(#REF!+#REF!)</definedName>
    <definedName name="__shared_25_0_9">#REF!/(#REF!+#REF!)</definedName>
    <definedName name="__shared_27_0_0" localSheetId="14">#REF!/#REF!</definedName>
    <definedName name="__shared_27_0_0" localSheetId="8">#REF!/#REF!</definedName>
    <definedName name="__shared_27_0_0" localSheetId="16">#REF!/#REF!</definedName>
    <definedName name="__shared_27_0_0" localSheetId="15">#REF!/#REF!</definedName>
    <definedName name="__shared_27_0_0">#REF!/#REF!</definedName>
    <definedName name="__shared_27_0_1" localSheetId="14">#REF!/#REF!</definedName>
    <definedName name="__shared_27_0_1" localSheetId="8">#REF!/#REF!</definedName>
    <definedName name="__shared_27_0_1" localSheetId="16">#REF!/#REF!</definedName>
    <definedName name="__shared_27_0_1" localSheetId="15">#REF!/#REF!</definedName>
    <definedName name="__shared_27_0_1">#REF!/#REF!</definedName>
    <definedName name="__shared_27_0_2" localSheetId="16">#REF!/#REF!</definedName>
    <definedName name="__shared_27_0_2" localSheetId="15">#REF!/#REF!</definedName>
    <definedName name="__shared_27_0_2">#REF!/#REF!</definedName>
    <definedName name="__shared_28_0_0" localSheetId="14">#REF!+#REF!+#REF!+#REF!</definedName>
    <definedName name="__shared_28_0_0" localSheetId="8">#REF!+#REF!+#REF!+#REF!</definedName>
    <definedName name="__shared_28_0_0" localSheetId="16">#REF!+#REF!+#REF!+#REF!</definedName>
    <definedName name="__shared_28_0_0" localSheetId="15">#REF!+#REF!+#REF!+#REF!</definedName>
    <definedName name="__shared_28_0_0">#REF!+#REF!+#REF!+#REF!</definedName>
    <definedName name="__shared_30_0_0" localSheetId="16">#REF!*#REF!</definedName>
    <definedName name="__shared_30_0_0" localSheetId="15">#REF!*#REF!</definedName>
    <definedName name="__shared_30_0_0">#REF!*#REF!</definedName>
    <definedName name="__shared_33_0_0" localSheetId="16">#REF!*#REF!*2</definedName>
    <definedName name="__shared_33_0_0" localSheetId="15">#REF!*#REF!*2</definedName>
    <definedName name="__shared_33_0_0">#REF!*#REF!*2</definedName>
    <definedName name="__shared_33_0_1" localSheetId="16">#REF!/1000</definedName>
    <definedName name="__shared_33_0_1" localSheetId="15">#REF!/1000</definedName>
    <definedName name="__shared_33_0_1">#REF!/1000</definedName>
    <definedName name="__shared_33_0_10" localSheetId="14">#REF!-#REF!</definedName>
    <definedName name="__shared_33_0_10" localSheetId="8">#REF!-#REF!</definedName>
    <definedName name="__shared_33_0_10" localSheetId="16">#REF!-#REF!</definedName>
    <definedName name="__shared_33_0_10" localSheetId="15">#REF!-#REF!</definedName>
    <definedName name="__shared_33_0_10">#REF!-#REF!</definedName>
    <definedName name="__shared_33_0_11" localSheetId="16">#REF!/1000</definedName>
    <definedName name="__shared_33_0_11" localSheetId="15">#REF!/1000</definedName>
    <definedName name="__shared_33_0_11">#REF!/1000</definedName>
    <definedName name="__shared_33_0_12" localSheetId="14">#REF!-#REF!</definedName>
    <definedName name="__shared_33_0_12" localSheetId="8">#REF!-#REF!</definedName>
    <definedName name="__shared_33_0_12" localSheetId="16">#REF!-#REF!</definedName>
    <definedName name="__shared_33_0_12" localSheetId="15">#REF!-#REF!</definedName>
    <definedName name="__shared_33_0_12">#REF!-#REF!</definedName>
    <definedName name="__shared_33_0_2" localSheetId="16">#REF!/8</definedName>
    <definedName name="__shared_33_0_2" localSheetId="15">#REF!/8</definedName>
    <definedName name="__shared_33_0_2">#REF!/8</definedName>
    <definedName name="__shared_33_0_3" localSheetId="14">#REF!-#REF!</definedName>
    <definedName name="__shared_33_0_3" localSheetId="8">#REF!-#REF!</definedName>
    <definedName name="__shared_33_0_3" localSheetId="16">#REF!-#REF!</definedName>
    <definedName name="__shared_33_0_3" localSheetId="15">#REF!-#REF!</definedName>
    <definedName name="__shared_33_0_3">#REF!-#REF!</definedName>
    <definedName name="__shared_33_0_4" localSheetId="14">#REF!-#REF!</definedName>
    <definedName name="__shared_33_0_4" localSheetId="8">#REF!-#REF!</definedName>
    <definedName name="__shared_33_0_4" localSheetId="16">#REF!-#REF!</definedName>
    <definedName name="__shared_33_0_4" localSheetId="15">#REF!-#REF!</definedName>
    <definedName name="__shared_33_0_4">#REF!-#REF!</definedName>
    <definedName name="__shared_33_0_5" localSheetId="16">#REF!*-1</definedName>
    <definedName name="__shared_33_0_5" localSheetId="15">#REF!*-1</definedName>
    <definedName name="__shared_33_0_5">#REF!*-1</definedName>
    <definedName name="__shared_33_0_6" localSheetId="16">#REF!*#REF!*2</definedName>
    <definedName name="__shared_33_0_6" localSheetId="15">#REF!*#REF!*2</definedName>
    <definedName name="__shared_33_0_6">#REF!*#REF!*2</definedName>
    <definedName name="__shared_33_0_7" localSheetId="16">#REF!/1000</definedName>
    <definedName name="__shared_33_0_7" localSheetId="15">#REF!/1000</definedName>
    <definedName name="__shared_33_0_7">#REF!/1000</definedName>
    <definedName name="__shared_33_0_8" localSheetId="16">#REF!/7</definedName>
    <definedName name="__shared_33_0_8" localSheetId="15">#REF!/7</definedName>
    <definedName name="__shared_33_0_8">#REF!/7</definedName>
    <definedName name="__shared_33_0_9" localSheetId="14">#REF!-#REF!</definedName>
    <definedName name="__shared_33_0_9" localSheetId="8">#REF!-#REF!</definedName>
    <definedName name="__shared_33_0_9" localSheetId="16">#REF!-#REF!</definedName>
    <definedName name="__shared_33_0_9" localSheetId="15">#REF!-#REF!</definedName>
    <definedName name="__shared_33_0_9">#REF!-#REF!</definedName>
    <definedName name="__shared_4_0_0" localSheetId="14">#REF!+#REF!+#REF!</definedName>
    <definedName name="__shared_4_0_0" localSheetId="8">#REF!+#REF!+#REF!</definedName>
    <definedName name="__shared_4_0_0" localSheetId="16">#REF!+#REF!+#REF!</definedName>
    <definedName name="__shared_4_0_0" localSheetId="15">#REF!+#REF!+#REF!</definedName>
    <definedName name="__shared_4_0_0">#REF!+#REF!+#REF!</definedName>
    <definedName name="__shared_4_0_1" localSheetId="16">#REF!*8</definedName>
    <definedName name="__shared_4_0_1" localSheetId="15">#REF!*8</definedName>
    <definedName name="__shared_4_0_1">#REF!*8</definedName>
    <definedName name="__shared_4_0_11" localSheetId="14">#REF!/#REF!</definedName>
    <definedName name="__shared_4_0_11" localSheetId="8">#REF!/#REF!</definedName>
    <definedName name="__shared_4_0_11" localSheetId="16">#REF!/#REF!</definedName>
    <definedName name="__shared_4_0_11" localSheetId="15">#REF!/#REF!</definedName>
    <definedName name="__shared_4_0_11">#REF!/#REF!</definedName>
    <definedName name="__shared_4_0_15" localSheetId="14">#REF!/#REF!</definedName>
    <definedName name="__shared_4_0_15" localSheetId="8">#REF!/#REF!</definedName>
    <definedName name="__shared_4_0_15" localSheetId="16">#REF!/#REF!</definedName>
    <definedName name="__shared_4_0_15" localSheetId="15">#REF!/#REF!</definedName>
    <definedName name="__shared_4_0_15">#REF!/#REF!</definedName>
    <definedName name="__shared_4_0_2" localSheetId="16">#REF!*8</definedName>
    <definedName name="__shared_4_0_2" localSheetId="15">#REF!*8</definedName>
    <definedName name="__shared_4_0_2">#REF!*8</definedName>
    <definedName name="__shared_4_0_5" localSheetId="14">#REF!/#REF!</definedName>
    <definedName name="__shared_4_0_5" localSheetId="8">#REF!/#REF!</definedName>
    <definedName name="__shared_4_0_5" localSheetId="16">#REF!/#REF!</definedName>
    <definedName name="__shared_4_0_5" localSheetId="15">#REF!/#REF!</definedName>
    <definedName name="__shared_4_0_5">#REF!/#REF!</definedName>
    <definedName name="__shared_4_0_7" localSheetId="14">#REF!/#REF!</definedName>
    <definedName name="__shared_4_0_7" localSheetId="8">#REF!/#REF!</definedName>
    <definedName name="__shared_4_0_7" localSheetId="16">#REF!/#REF!</definedName>
    <definedName name="__shared_4_0_7" localSheetId="15">#REF!/#REF!</definedName>
    <definedName name="__shared_4_0_7">#REF!/#REF!</definedName>
    <definedName name="__shared_4_0_9" localSheetId="14">#REF!/#REF!</definedName>
    <definedName name="__shared_4_0_9" localSheetId="8">#REF!/#REF!</definedName>
    <definedName name="__shared_4_0_9" localSheetId="16">#REF!/#REF!</definedName>
    <definedName name="__shared_4_0_9" localSheetId="15">#REF!/#REF!</definedName>
    <definedName name="__shared_4_0_9">#REF!/#REF!</definedName>
    <definedName name="__shared_5_0_0" localSheetId="16">#REF!*#REF!</definedName>
    <definedName name="__shared_5_0_0" localSheetId="15">#REF!*#REF!</definedName>
    <definedName name="__shared_5_0_0">#REF!*#REF!</definedName>
    <definedName name="__shared_5_0_1" localSheetId="16">#REF!*#REF!</definedName>
    <definedName name="__shared_5_0_1" localSheetId="15">#REF!*#REF!</definedName>
    <definedName name="__shared_5_0_1">#REF!*#REF!</definedName>
    <definedName name="__shared_5_0_10" localSheetId="16">#REF!*#REF!</definedName>
    <definedName name="__shared_5_0_10" localSheetId="15">#REF!*#REF!</definedName>
    <definedName name="__shared_5_0_10">#REF!*#REF!</definedName>
    <definedName name="__shared_5_0_11" localSheetId="16">#REF!*#REF!</definedName>
    <definedName name="__shared_5_0_11" localSheetId="15">#REF!*#REF!</definedName>
    <definedName name="__shared_5_0_11">#REF!*#REF!</definedName>
    <definedName name="__shared_5_0_12" localSheetId="16">#REF!*#REF!</definedName>
    <definedName name="__shared_5_0_12" localSheetId="15">#REF!*#REF!</definedName>
    <definedName name="__shared_5_0_12">#REF!*#REF!</definedName>
    <definedName name="__shared_5_0_13" localSheetId="16">#REF!*#REF!</definedName>
    <definedName name="__shared_5_0_13" localSheetId="15">#REF!*#REF!</definedName>
    <definedName name="__shared_5_0_13">#REF!*#REF!</definedName>
    <definedName name="__shared_5_0_14" localSheetId="16">#REF!*#REF!</definedName>
    <definedName name="__shared_5_0_14" localSheetId="15">#REF!*#REF!</definedName>
    <definedName name="__shared_5_0_14">#REF!*#REF!</definedName>
    <definedName name="__shared_5_0_15" localSheetId="16">#REF!*#REF!</definedName>
    <definedName name="__shared_5_0_15" localSheetId="15">#REF!*#REF!</definedName>
    <definedName name="__shared_5_0_15">#REF!*#REF!</definedName>
    <definedName name="__shared_5_0_16" localSheetId="16">#REF!*#REF!</definedName>
    <definedName name="__shared_5_0_16" localSheetId="15">#REF!*#REF!</definedName>
    <definedName name="__shared_5_0_16">#REF!*#REF!</definedName>
    <definedName name="__shared_5_0_17" localSheetId="16">#REF!*#REF!</definedName>
    <definedName name="__shared_5_0_17" localSheetId="15">#REF!*#REF!</definedName>
    <definedName name="__shared_5_0_17">#REF!*#REF!</definedName>
    <definedName name="__shared_5_0_18" localSheetId="16">#REF!*#REF!</definedName>
    <definedName name="__shared_5_0_18" localSheetId="15">#REF!*#REF!</definedName>
    <definedName name="__shared_5_0_18">#REF!*#REF!</definedName>
    <definedName name="__shared_5_0_19" localSheetId="16">#REF!*#REF!</definedName>
    <definedName name="__shared_5_0_19" localSheetId="15">#REF!*#REF!</definedName>
    <definedName name="__shared_5_0_19">#REF!*#REF!</definedName>
    <definedName name="__shared_5_0_2" localSheetId="16">#REF!*#REF!</definedName>
    <definedName name="__shared_5_0_2" localSheetId="15">#REF!*#REF!</definedName>
    <definedName name="__shared_5_0_2">#REF!*#REF!</definedName>
    <definedName name="__shared_5_0_3" localSheetId="16">#REF!*#REF!</definedName>
    <definedName name="__shared_5_0_3" localSheetId="15">#REF!*#REF!</definedName>
    <definedName name="__shared_5_0_3">#REF!*#REF!</definedName>
    <definedName name="__shared_5_0_4" localSheetId="16">#REF!*#REF!</definedName>
    <definedName name="__shared_5_0_4" localSheetId="15">#REF!*#REF!</definedName>
    <definedName name="__shared_5_0_4">#REF!*#REF!</definedName>
    <definedName name="__shared_5_0_5" localSheetId="16">#REF!*#REF!</definedName>
    <definedName name="__shared_5_0_5" localSheetId="15">#REF!*#REF!</definedName>
    <definedName name="__shared_5_0_5">#REF!*#REF!</definedName>
    <definedName name="__shared_5_0_6" localSheetId="16">#REF!*#REF!</definedName>
    <definedName name="__shared_5_0_6" localSheetId="15">#REF!*#REF!</definedName>
    <definedName name="__shared_5_0_6">#REF!*#REF!</definedName>
    <definedName name="__shared_5_0_7" localSheetId="16">#REF!*#REF!</definedName>
    <definedName name="__shared_5_0_7" localSheetId="15">#REF!*#REF!</definedName>
    <definedName name="__shared_5_0_7">#REF!*#REF!</definedName>
    <definedName name="__shared_5_0_8" localSheetId="16">#REF!*#REF!</definedName>
    <definedName name="__shared_5_0_8" localSheetId="15">#REF!*#REF!</definedName>
    <definedName name="__shared_5_0_8">#REF!*#REF!</definedName>
    <definedName name="__shared_5_0_9" localSheetId="16">#REF!*#REF!</definedName>
    <definedName name="__shared_5_0_9" localSheetId="15">#REF!*#REF!</definedName>
    <definedName name="__shared_5_0_9">#REF!*#REF!</definedName>
    <definedName name="__shared_6_0_12" localSheetId="16">#REF!*#REF!</definedName>
    <definedName name="__shared_6_0_12" localSheetId="15">#REF!*#REF!</definedName>
    <definedName name="__shared_6_0_12">#REF!*#REF!</definedName>
    <definedName name="__shared_6_0_13" localSheetId="16">#REF!*#REF!</definedName>
    <definedName name="__shared_6_0_13" localSheetId="15">#REF!*#REF!</definedName>
    <definedName name="__shared_6_0_13">#REF!*#REF!</definedName>
    <definedName name="__shared_6_0_4" localSheetId="16">#REF!*#REF!</definedName>
    <definedName name="__shared_6_0_4" localSheetId="15">#REF!*#REF!</definedName>
    <definedName name="__shared_6_0_4">#REF!*#REF!</definedName>
    <definedName name="__shared_6_0_7" localSheetId="16">#REF!*#REF!</definedName>
    <definedName name="__shared_6_0_7" localSheetId="15">#REF!*#REF!</definedName>
    <definedName name="__shared_6_0_7">#REF!*#REF!</definedName>
    <definedName name="__shared_7_0_0" localSheetId="16">+#REF!/#REF!</definedName>
    <definedName name="__shared_7_0_0" localSheetId="15">+#REF!/#REF!</definedName>
    <definedName name="__shared_7_0_0">+#REF!/#REF!</definedName>
    <definedName name="__shared_7_0_11" localSheetId="16">+#REF!/#REF!</definedName>
    <definedName name="__shared_7_0_11" localSheetId="15">+#REF!/#REF!</definedName>
    <definedName name="__shared_7_0_11">+#REF!/#REF!</definedName>
    <definedName name="__shared_7_0_13" localSheetId="16">+#REF!/#REF!</definedName>
    <definedName name="__shared_7_0_13" localSheetId="15">+#REF!/#REF!</definedName>
    <definedName name="__shared_7_0_13">+#REF!/#REF!</definedName>
    <definedName name="__shared_7_0_16" localSheetId="16">+#REF!/#REF!</definedName>
    <definedName name="__shared_7_0_16" localSheetId="15">+#REF!/#REF!</definedName>
    <definedName name="__shared_7_0_16">+#REF!/#REF!</definedName>
    <definedName name="__shared_7_0_18" localSheetId="16">+#REF!/#REF!</definedName>
    <definedName name="__shared_7_0_18" localSheetId="15">+#REF!/#REF!</definedName>
    <definedName name="__shared_7_0_18">+#REF!/#REF!</definedName>
    <definedName name="__shared_7_0_3" localSheetId="16">+#REF!/#REF!</definedName>
    <definedName name="__shared_7_0_3" localSheetId="15">+#REF!/#REF!</definedName>
    <definedName name="__shared_7_0_3">+#REF!/#REF!</definedName>
    <definedName name="__shared_7_0_4" localSheetId="16">+#REF!/#REF!</definedName>
    <definedName name="__shared_7_0_4" localSheetId="15">+#REF!/#REF!</definedName>
    <definedName name="__shared_7_0_4">+#REF!/#REF!</definedName>
    <definedName name="__shared_7_0_7" localSheetId="16">+#REF!/#REF!</definedName>
    <definedName name="__shared_7_0_7" localSheetId="15">+#REF!/#REF!</definedName>
    <definedName name="__shared_7_0_7">+#REF!/#REF!</definedName>
    <definedName name="__shared_7_0_8" localSheetId="16">+#REF!/#REF!</definedName>
    <definedName name="__shared_7_0_8" localSheetId="15">+#REF!/#REF!</definedName>
    <definedName name="__shared_7_0_8">+#REF!/#REF!</definedName>
    <definedName name="_eac03" localSheetId="2">[36]장비!$M$124</definedName>
    <definedName name="_eac03">[14]장비!$M$124</definedName>
    <definedName name="_eac10" localSheetId="2">[36]장비!$M$132</definedName>
    <definedName name="_eac10">[15]장비!$M$132</definedName>
    <definedName name="_eah01" localSheetId="2">[36]장비!$M$188</definedName>
    <definedName name="_eah01">[15]장비!$M$188</definedName>
    <definedName name="_ebh07" localSheetId="2">[36]장비!$M$20</definedName>
    <definedName name="_ebh07">[15]장비!$M$20</definedName>
    <definedName name="_edt02" localSheetId="2">[36]장비!$M$240</definedName>
    <definedName name="_edt02">[15]장비!$M$240</definedName>
    <definedName name="_edt15" localSheetId="2">[36]장비!$M$16</definedName>
    <definedName name="_edt15">[14]장비!$M$16</definedName>
    <definedName name="_egn05" localSheetId="2">[36]장비!$M$176</definedName>
    <definedName name="_egn05">[15]장비!$M$176</definedName>
    <definedName name="_egp45" localSheetId="2">[36]장비!$M$236</definedName>
    <definedName name="_egp45">[15]장비!$M$236</definedName>
    <definedName name="_elg27" localSheetId="2">[36]장비!$M$144</definedName>
    <definedName name="_elg27">[15]장비!$M$144</definedName>
    <definedName name="_elm10" localSheetId="2">[36]장비!$M$164</definedName>
    <definedName name="_elm10">[15]장비!$M$164</definedName>
    <definedName name="_elt17" localSheetId="2">[36]장비!$M$32</definedName>
    <definedName name="_elt17">[15]장비!$M$32</definedName>
    <definedName name="_emd36" localSheetId="2">[36]장비!$M$36</definedName>
    <definedName name="_emd36">[15]장비!$M$36</definedName>
    <definedName name="_emr08" localSheetId="2">[36]장비!$M$44</definedName>
    <definedName name="_emr08">[15]장비!$M$44</definedName>
    <definedName name="_emr10" localSheetId="2">[36]장비!$M$40</definedName>
    <definedName name="_emr10">[15]장비!$M$40</definedName>
    <definedName name="_emx02" localSheetId="2">[36]장비!$M$220</definedName>
    <definedName name="_emx02">[15]장비!$M$220</definedName>
    <definedName name="_etc30" localSheetId="2">[36]장비!$M$84</definedName>
    <definedName name="_etc30">[14]장비!$M$84</definedName>
    <definedName name="_etd10" localSheetId="2">[36]장비!$M$48</definedName>
    <definedName name="_etd10">[15]장비!$M$48</definedName>
    <definedName name="_etr08" localSheetId="2">[36]장비!$M$56</definedName>
    <definedName name="_etr08">[15]장비!$M$56</definedName>
    <definedName name="_evr10" localSheetId="2">[36]장비!$M$52</definedName>
    <definedName name="_evr10">[15]장비!$M$52</definedName>
    <definedName name="_ewt55" localSheetId="2">[36]장비!$M$160</definedName>
    <definedName name="_ewt55">[15]장비!$M$160</definedName>
    <definedName name="_mac03" localSheetId="2">[36]장비!$M$125</definedName>
    <definedName name="_mac03">[14]장비!$M$125</definedName>
    <definedName name="_mac10" localSheetId="2">[36]장비!$M$133</definedName>
    <definedName name="_mac10">[15]장비!$M$133</definedName>
    <definedName name="_mbh07" localSheetId="2">[36]장비!$M$21</definedName>
    <definedName name="_mbh07">[15]장비!$M$21</definedName>
    <definedName name="_mdt02" localSheetId="2">[36]장비!$M$241</definedName>
    <definedName name="_mdt02">[15]장비!$M$241</definedName>
    <definedName name="_mdt15" localSheetId="2">[36]장비!$M$17</definedName>
    <definedName name="_mdt15">[14]장비!$M$17</definedName>
    <definedName name="_mgn05" localSheetId="2">[36]장비!$M$177</definedName>
    <definedName name="_mgn05">[15]장비!$M$177</definedName>
    <definedName name="_mgp45" localSheetId="2">[36]장비!$M$237</definedName>
    <definedName name="_mgp45">[15]장비!$M$237</definedName>
    <definedName name="_mlm10" localSheetId="2">[36]장비!$M$165</definedName>
    <definedName name="_mlm10">[15]장비!$M$165</definedName>
    <definedName name="_mlt17" localSheetId="2">[36]장비!$M$33</definedName>
    <definedName name="_mlt17">[15]장비!$M$33</definedName>
    <definedName name="_mmd36" localSheetId="2">[36]장비!$M$37</definedName>
    <definedName name="_mmd36">[15]장비!$M$37</definedName>
    <definedName name="_mmr08" localSheetId="2">[36]장비!$M$45</definedName>
    <definedName name="_mmr08">[15]장비!$M$45</definedName>
    <definedName name="_mmr10" localSheetId="2">[36]장비!$M$41</definedName>
    <definedName name="_mmr10">[15]장비!$M$41</definedName>
    <definedName name="_mmx02" localSheetId="2">[36]장비!$M$221</definedName>
    <definedName name="_mmx02">[15]장비!$M$221</definedName>
    <definedName name="_mtc30" localSheetId="2">[36]장비!$M$85</definedName>
    <definedName name="_mtc30">[14]장비!$M$85</definedName>
    <definedName name="_mtd10" localSheetId="2">[36]장비!$M$49</definedName>
    <definedName name="_mtd10">[15]장비!$M$49</definedName>
    <definedName name="_mtr08" localSheetId="2">[36]장비!$M$57</definedName>
    <definedName name="_mtr08">[15]장비!$M$57</definedName>
    <definedName name="_mvr10" localSheetId="2">[36]장비!$M$53</definedName>
    <definedName name="_mvr10">[15]장비!$M$53</definedName>
    <definedName name="_mwt55" localSheetId="2">[36]장비!$M$161</definedName>
    <definedName name="_mwt55">[15]장비!$M$161</definedName>
    <definedName name="_Order1" hidden="1">0</definedName>
    <definedName name="_Order2" hidden="1">0</definedName>
    <definedName name="a">#REF!*#REF!</definedName>
    <definedName name="aaa">#REF!*#REF!</definedName>
    <definedName name="aaaa">#REF!/#REF!</definedName>
    <definedName name="ABCD">[16]공종별집계!#REF!</definedName>
    <definedName name="abcde">[17]Sheet1!#REF!</definedName>
    <definedName name="abcdef">[16]공종별집계!#REF!</definedName>
    <definedName name="abeba">[18]Sheet4!$B$4</definedName>
    <definedName name="ACC">[19]Date!$B$13</definedName>
    <definedName name="ad">[17]Sheet1!#REF!</definedName>
    <definedName name="adb">[17]Sheet1!#REF!</definedName>
    <definedName name="adg">[17]Sheet1!#REF!</definedName>
    <definedName name="agg" localSheetId="2" hidden="1">{#N/A,#N/A,FALSE,"단가표지"}</definedName>
    <definedName name="agg" localSheetId="0" hidden="1">{#N/A,#N/A,FALSE,"단가표지"}</definedName>
    <definedName name="agg" hidden="1">{#N/A,#N/A,FALSE,"단가표지"}</definedName>
    <definedName name="as" hidden="1">[20]BID!$A$1:$A$734</definedName>
    <definedName name="bb" localSheetId="2" hidden="1">{#N/A,#N/A,FALSE,"단가표지"}</definedName>
    <definedName name="bb" localSheetId="0" hidden="1">{#N/A,#N/A,FALSE,"단가표지"}</definedName>
    <definedName name="bb" hidden="1">{#N/A,#N/A,FALSE,"단가표지"}</definedName>
    <definedName name="bbb" localSheetId="2" hidden="1">{#N/A,#N/A,FALSE,"운반시간"}</definedName>
    <definedName name="bbb" localSheetId="0" hidden="1">{#N/A,#N/A,FALSE,"운반시간"}</definedName>
    <definedName name="bbb" hidden="1">{#N/A,#N/A,FALSE,"운반시간"}</definedName>
    <definedName name="bbbb" localSheetId="2" hidden="1">{#N/A,#N/A,FALSE,"단가표지"}</definedName>
    <definedName name="bbbb" localSheetId="0" hidden="1">{#N/A,#N/A,FALSE,"단가표지"}</definedName>
    <definedName name="bbbb" hidden="1">{#N/A,#N/A,FALSE,"단가표지"}</definedName>
    <definedName name="BDCODE">#N/A</definedName>
    <definedName name="Bin" localSheetId="2" hidden="1">{#N/A,#N/A,FALSE,"구조1"}</definedName>
    <definedName name="Bin" localSheetId="0" hidden="1">{#N/A,#N/A,FALSE,"구조1"}</definedName>
    <definedName name="Bin" hidden="1">{#N/A,#N/A,FALSE,"구조1"}</definedName>
    <definedName name="brb" localSheetId="2" hidden="1">{#N/A,#N/A,FALSE,"조골재"}</definedName>
    <definedName name="brb" localSheetId="0" hidden="1">{#N/A,#N/A,FALSE,"조골재"}</definedName>
    <definedName name="brb" hidden="1">{#N/A,#N/A,FALSE,"조골재"}</definedName>
    <definedName name="C_">#N/A</definedName>
    <definedName name="CA">[19]Date!$B$8</definedName>
    <definedName name="cbcvbcvfrdf" localSheetId="2" hidden="1">{#N/A,#N/A,FALSE,"혼합골재"}</definedName>
    <definedName name="cbcvbcvfrdf" localSheetId="0" hidden="1">{#N/A,#N/A,FALSE,"혼합골재"}</definedName>
    <definedName name="cbcvbcvfrdf" hidden="1">{#N/A,#N/A,FALSE,"혼합골재"}</definedName>
    <definedName name="CDT">[19]Date!$B$10</definedName>
    <definedName name="copied">[18]Sheet4!$B$3</definedName>
    <definedName name="CP">[19]Date!$B$9</definedName>
    <definedName name="CPD">[19]Date!$B$11</definedName>
    <definedName name="_xlnm.Criteria" localSheetId="2">#REF!</definedName>
    <definedName name="_xlnm.Criteria">#REF!</definedName>
    <definedName name="cx" localSheetId="2" hidden="1">{#N/A,#N/A,FALSE,"전력간선"}</definedName>
    <definedName name="cx" localSheetId="0" hidden="1">{#N/A,#N/A,FALSE,"전력간선"}</definedName>
    <definedName name="cx" hidden="1">{#N/A,#N/A,FALSE,"전력간선"}</definedName>
    <definedName name="d">[21]Sheet4!$B$4</definedName>
    <definedName name="da">[22]Sheet4!$B$8</definedName>
    <definedName name="dat">[21]Sheet4!$B$2</definedName>
    <definedName name="_xlnm.Database" localSheetId="2">#REF!</definedName>
    <definedName name="_xlnm.Database">#REF!</definedName>
    <definedName name="DATE">[23]Sheet2!$B$2</definedName>
    <definedName name="date9">[22]Sheet4!$B$4</definedName>
    <definedName name="datk">[22]Sheet4!$B$4</definedName>
    <definedName name="dau">[24]Sheet1!$B$2</definedName>
    <definedName name="de" localSheetId="2">[51]Date!$B$2</definedName>
    <definedName name="de">[25]Date!$B$2</definedName>
    <definedName name="dn" localSheetId="2" hidden="1">{#N/A,#N/A,FALSE,"혼합골재"}</definedName>
    <definedName name="dn" localSheetId="0" hidden="1">{#N/A,#N/A,FALSE,"혼합골재"}</definedName>
    <definedName name="dn" hidden="1">{#N/A,#N/A,FALSE,"혼합골재"}</definedName>
    <definedName name="du">[22]Sheet4!$B$7</definedName>
    <definedName name="Dur">[22]Sheet4!$B$3</definedName>
    <definedName name="dx" localSheetId="2" hidden="1">{#N/A,#N/A,FALSE,"혼합골재"}</definedName>
    <definedName name="dx" localSheetId="0" hidden="1">{#N/A,#N/A,FALSE,"혼합골재"}</definedName>
    <definedName name="dx" hidden="1">{#N/A,#N/A,FALSE,"혼합골재"}</definedName>
    <definedName name="e">[26]Sheet1!$B$2</definedName>
    <definedName name="eapd3" localSheetId="2">[36]장비!$M$104</definedName>
    <definedName name="eapd3">[14]장비!$M$104</definedName>
    <definedName name="eapv3" localSheetId="2">[36]장비!$M$100</definedName>
    <definedName name="eapv3">[15]장비!$M$100</definedName>
    <definedName name="ed">[16]공종별집계!#REF!</definedName>
    <definedName name="ee" localSheetId="2" hidden="1">{#N/A,#N/A,FALSE,"단가표지"}</definedName>
    <definedName name="ee" localSheetId="0" hidden="1">{#N/A,#N/A,FALSE,"단가표지"}</definedName>
    <definedName name="ee" hidden="1">{#N/A,#N/A,FALSE,"단가표지"}</definedName>
    <definedName name="ERYQWE" localSheetId="2">[36]장비!$M$57</definedName>
    <definedName name="ERYQWE">[15]장비!$M$57</definedName>
    <definedName name="ets">[18]Sheet4!$B$2</definedName>
    <definedName name="_xlnm.Extract" localSheetId="2">#REF!</definedName>
    <definedName name="_xlnm.Extract">#REF!</definedName>
    <definedName name="EYERWYQE" localSheetId="2">[36]장비!$M$241</definedName>
    <definedName name="EYERWYQE">[15]장비!$M$241</definedName>
    <definedName name="f">[17]Sheet1!#REF!</definedName>
    <definedName name="F_CODE">#N/A</definedName>
    <definedName name="F_DESC">#N/A</definedName>
    <definedName name="F_LVL">#N/A</definedName>
    <definedName name="F_PAGE">#N/A</definedName>
    <definedName name="F_REMK">#N/A</definedName>
    <definedName name="F_SEQ">#N/A</definedName>
    <definedName name="F_SIZE">#N/A</definedName>
    <definedName name="F_UNIT">#N/A</definedName>
    <definedName name="fasil">#REF!/(#REF!+#REF!)</definedName>
    <definedName name="FE">[17]Sheet1!#REF!</definedName>
    <definedName name="fff">[17]Sheet1!#REF!</definedName>
    <definedName name="frrrr">[17]Sheet1!#REF!</definedName>
    <definedName name="grew" hidden="1">[20]BID!$C$1:$H$533</definedName>
    <definedName name="gty" localSheetId="2" hidden="1">{#N/A,#N/A,FALSE,"2~8번"}</definedName>
    <definedName name="gty" localSheetId="0" hidden="1">{#N/A,#N/A,FALSE,"2~8번"}</definedName>
    <definedName name="gty" hidden="1">{#N/A,#N/A,FALSE,"2~8번"}</definedName>
    <definedName name="h" localSheetId="2">#REF!</definedName>
    <definedName name="h">#REF!</definedName>
    <definedName name="han" hidden="1">[20]BID!$A$1:$A$1714</definedName>
    <definedName name="hfh">[17]Sheet1!#REF!</definedName>
    <definedName name="ITNUM">#N/A</definedName>
    <definedName name="j" hidden="1">[20]BID!$A$1:$A$734</definedName>
    <definedName name="jhvvhg">[17]Sheet1!#REF!</definedName>
    <definedName name="JJJJJJ" hidden="1">[20]BID!$A$1:$A$524</definedName>
    <definedName name="JTYUTYIT" localSheetId="2">[36]장비!$M$101</definedName>
    <definedName name="JTYUTYIT">[15]장비!$M$101</definedName>
    <definedName name="KA">[27]MOTOR!$B$61:$E$68</definedName>
    <definedName name="kkkkkk" localSheetId="2" hidden="1">{#N/A,#N/A,FALSE,"조골재"}</definedName>
    <definedName name="kkkkkk" localSheetId="0" hidden="1">{#N/A,#N/A,FALSE,"조골재"}</definedName>
    <definedName name="kkkkkk" hidden="1">{#N/A,#N/A,FALSE,"조골재"}</definedName>
    <definedName name="lcnc" localSheetId="2">[36]노무!$H$6</definedName>
    <definedName name="lcnc">[14]노무!$H$6</definedName>
    <definedName name="lldr" localSheetId="2">[36]노무!$D$11</definedName>
    <definedName name="lldr">[14]노무!$D$11</definedName>
    <definedName name="lnmr" localSheetId="2">[36]노무!$D$8</definedName>
    <definedName name="lnmr">[14]노무!$D$8</definedName>
    <definedName name="lpav" localSheetId="2">[36]노무!$H$8</definedName>
    <definedName name="lpav">[14]노무!$H$8</definedName>
    <definedName name="lpnt" localSheetId="2">[36]노무!$D$3</definedName>
    <definedName name="lpnt">[14]노무!$D$3</definedName>
    <definedName name="lscf" localSheetId="2">[36]노무!$D$9</definedName>
    <definedName name="lscf">[15]노무!$D$9</definedName>
    <definedName name="lspe" localSheetId="2">[36]노무!$H$7</definedName>
    <definedName name="lspe">[14]노무!$H$7</definedName>
    <definedName name="lwld" localSheetId="2">[36]노무!$D$10</definedName>
    <definedName name="lwld">[14]노무!$D$10</definedName>
    <definedName name="mahlet">[28]Sheet4!$B$2</definedName>
    <definedName name="MAONTH2">[29]Sheet1!#REF!</definedName>
    <definedName name="mapd3" localSheetId="2">[36]장비!$M$105</definedName>
    <definedName name="mapd3">[14]장비!$M$105</definedName>
    <definedName name="mapv3" localSheetId="2">[36]장비!$M$101</definedName>
    <definedName name="mapv3">[15]장비!$M$101</definedName>
    <definedName name="Meron">[28]Sheet4!$B$4</definedName>
    <definedName name="mmm" localSheetId="2" hidden="1">{#N/A,#N/A,FALSE,"배수2"}</definedName>
    <definedName name="mmm" localSheetId="0" hidden="1">{#N/A,#N/A,FALSE,"배수2"}</definedName>
    <definedName name="mmm" hidden="1">{#N/A,#N/A,FALSE,"배수2"}</definedName>
    <definedName name="Mo">[26]Sheet1!$B$2</definedName>
    <definedName name="Mon">[30]Sheet1!$B$3</definedName>
    <definedName name="Mont">[17]Sheet1!#REF!</definedName>
    <definedName name="month">[30]Sheet1!#REF!</definedName>
    <definedName name="MOVE1" localSheetId="2">[52]자압!$B$1:$B$59,[52]자압!$D$1:$E$59</definedName>
    <definedName name="MOVE1">[31]자압!$B$1:$B$59,[31]자압!$D$1:$E$59</definedName>
    <definedName name="MOVE2" localSheetId="2">[52]자압!$B$1:$B$38,[52]자압!$D$1:$E$38</definedName>
    <definedName name="MOVE2">[32]자압!$B$1:$B$38,[32]자압!$D$1:$E$38</definedName>
    <definedName name="MOVE3" localSheetId="2">[52]자압!$B$1:$B$68,[52]자압!$D$1:$E$68</definedName>
    <definedName name="MOVE3">[32]자압!$B$1:$B$68,[32]자압!$D$1:$E$68</definedName>
    <definedName name="MOVE4" localSheetId="2">[52]자압!$C$5:$C$70,[52]자압!$E$4:$E$70,[52]자압!$C$4,[52]자압!$C$4:$C$5</definedName>
    <definedName name="MOVE4">[32]자압!$C$5:$C$70,[32]자압!$E$4:$E$70,[32]자압!$C$4,[32]자압!$C$4:$C$5</definedName>
    <definedName name="n" hidden="1">[20]BID!$A$1:$A$4</definedName>
    <definedName name="Nafta">#REF!</definedName>
    <definedName name="NAFTA2">#REF!</definedName>
    <definedName name="nnn" localSheetId="2" hidden="1">{#N/A,#N/A,FALSE,"운반시간"}</definedName>
    <definedName name="nnn" localSheetId="0" hidden="1">{#N/A,#N/A,FALSE,"운반시간"}</definedName>
    <definedName name="nnn" hidden="1">{#N/A,#N/A,FALSE,"운반시간"}</definedName>
    <definedName name="No">[22]Sheet4!$B$2</definedName>
    <definedName name="OO">#N/A</definedName>
    <definedName name="Page">#REF!</definedName>
    <definedName name="Pipeproduction">[17]Sheet1!#REF!</definedName>
    <definedName name="PlannedEqperformance">[17]Sheet1!#REF!</definedName>
    <definedName name="_xlnm.Print_Area" localSheetId="2">' BOQ Rev'!$A$1:$S$175</definedName>
    <definedName name="_xlnm.Print_Area" localSheetId="14">' Weekly Surveying  Rep.'!$A$1:$K$26</definedName>
    <definedName name="_xlnm.Print_Area" localSheetId="13">Cons.Mat.Evalu.!$A$1:$O$42</definedName>
    <definedName name="_xlnm.Print_Area" localSheetId="3">'D M S'!$A$1:$P$444</definedName>
    <definedName name="_xlnm.Print_Area" localSheetId="0">'Form One'!$A$1:$AB$68</definedName>
    <definedName name="_xlnm.Print_Area" localSheetId="12">'Lab. Evalu.'!$A$1:$M$34</definedName>
    <definedName name="_xlnm.Print_Area" localSheetId="8">Summary!$A$1:$H$117</definedName>
    <definedName name="_xlnm.Print_Area" localSheetId="9">'Summary (new)2'!$A$1:$H$116</definedName>
    <definedName name="_xlnm.Print_Area" localSheetId="10">'summery(new)2'!$A$1:$N$78</definedName>
    <definedName name="_xlnm.Print_Area" localSheetId="16">'Weekly Labratory Report'!$A$1:$K$28</definedName>
    <definedName name="_xlnm.Print_Area" localSheetId="6">'Weekly Machinery Ex'!$A$1:$S$145</definedName>
    <definedName name="_xlnm.Print_Area" localSheetId="11">'Weekly Ms'!$A$1:$K$35</definedName>
    <definedName name="_xlnm.Print_Area" localSheetId="7">'Weekly Progress Report'!$A$1:$P$182</definedName>
    <definedName name="_xlnm.Print_Area" localSheetId="15">'Weekly Store Balance Report'!$A$1:$AG$56</definedName>
    <definedName name="_xlnm.Print_Area">[16]공종별집계!#REF!</definedName>
    <definedName name="Print_Area_12">'Weekly Progress Report'!$A$1:$P$179</definedName>
    <definedName name="Print_Area_15" localSheetId="8">Summary!$A$1:$AV$84</definedName>
    <definedName name="Print_Area_17">'Weekly Ms'!$A$1:$K$39</definedName>
    <definedName name="Print_Area_4">'Direct cost summary '!$A$1:$J$220</definedName>
    <definedName name="Print_Area_5">'plan &amp; Unit price &amp; Direct cost'!$A$1:$AR$104</definedName>
    <definedName name="_xlnm.Print_Titles" localSheetId="2">' BOQ Rev'!$1:$5</definedName>
    <definedName name="_xlnm.Print_Titles" localSheetId="14">' Weekly Surveying  Rep.'!$1:$9</definedName>
    <definedName name="_xlnm.Print_Titles" localSheetId="6">'Weekly Machinery Ex'!$1:$6</definedName>
    <definedName name="_xlnm.Print_Titles" localSheetId="7">'Weekly Progress Report'!$1:$7</definedName>
    <definedName name="_xlnm.Print_Titles" localSheetId="15">'Weekly Store Balance Report'!$1:$4</definedName>
    <definedName name="_xlnm.Print_Titles">[33]공량산출서!$A$1:$IV$1</definedName>
    <definedName name="Print_Titles_12">'Weekly Progress Report'!$1:$7</definedName>
    <definedName name="Print_Titles_19" localSheetId="14">#REF!</definedName>
    <definedName name="Print_Titles_19" localSheetId="8">#REF!</definedName>
    <definedName name="Print_Titles_19" localSheetId="15">#REF!</definedName>
    <definedName name="Print_Titles_19">#REF!</definedName>
    <definedName name="Print_Titles_4">'Direct cost summary '!$1:$8</definedName>
    <definedName name="q" hidden="1">[20]BID!$C$1:$H$533</definedName>
    <definedName name="qawe">#REF!/(#REF!+#REF!)</definedName>
    <definedName name="qor" hidden="1">[20]BID!$A$1:$A$4</definedName>
    <definedName name="qq" localSheetId="2" hidden="1">{#N/A,#N/A,FALSE,"단가표지"}</definedName>
    <definedName name="qq" localSheetId="0" hidden="1">{#N/A,#N/A,FALSE,"단가표지"}</definedName>
    <definedName name="qq" hidden="1">{#N/A,#N/A,FALSE,"단가표지"}</definedName>
    <definedName name="qqq" hidden="1">[20]BID!$A$1:$A$734</definedName>
    <definedName name="QTY">#N/A</definedName>
    <definedName name="QUWQHKE" localSheetId="2">[36]장비!$M$53</definedName>
    <definedName name="QUWQHKE">[15]장비!$M$53</definedName>
    <definedName name="qw" localSheetId="2" hidden="1">{#N/A,#N/A,FALSE,"단가표지"}</definedName>
    <definedName name="qw" localSheetId="0" hidden="1">{#N/A,#N/A,FALSE,"단가표지"}</definedName>
    <definedName name="qw" hidden="1">{#N/A,#N/A,FALSE,"단가표지"}</definedName>
    <definedName name="RE">[17]Sheet1!#REF!</definedName>
    <definedName name="rerr">[17]Sheet1!#REF!</definedName>
    <definedName name="rq" localSheetId="2" hidden="1">{#N/A,#N/A,FALSE,"단가표지"}</definedName>
    <definedName name="rq" localSheetId="0" hidden="1">{#N/A,#N/A,FALSE,"단가표지"}</definedName>
    <definedName name="rq" hidden="1">{#N/A,#N/A,FALSE,"단가표지"}</definedName>
    <definedName name="rwqwr">[17]Sheet1!#REF!</definedName>
    <definedName name="sab">[34]Sheet1!$B$3</definedName>
    <definedName name="same">#REF!+#REF!+#REF!+#REF!</definedName>
    <definedName name="sd" localSheetId="2" hidden="1">{#N/A,#N/A,FALSE,"단가표지"}</definedName>
    <definedName name="sd" localSheetId="0" hidden="1">{#N/A,#N/A,FALSE,"단가표지"}</definedName>
    <definedName name="sd" hidden="1">{#N/A,#N/A,FALSE,"단가표지"}</definedName>
    <definedName name="sddfff">[17]Sheet1!#REF!</definedName>
    <definedName name="sdg" hidden="1">[20]BID!$A$1:$A$1714</definedName>
    <definedName name="se" localSheetId="2" hidden="1">{#N/A,#N/A,FALSE,"운반시간"}</definedName>
    <definedName name="se" localSheetId="0" hidden="1">{#N/A,#N/A,FALSE,"운반시간"}</definedName>
    <definedName name="se" hidden="1">{#N/A,#N/A,FALSE,"운반시간"}</definedName>
    <definedName name="SFAF" localSheetId="2">[36]노무!$D$9</definedName>
    <definedName name="SFAF">[15]노무!$D$9</definedName>
    <definedName name="SORTCODE">#N/A</definedName>
    <definedName name="sss" localSheetId="2" hidden="1">{#N/A,#N/A,FALSE,"전력간선"}</definedName>
    <definedName name="sss" localSheetId="0" hidden="1">{#N/A,#N/A,FALSE,"전력간선"}</definedName>
    <definedName name="sss" hidden="1">{#N/A,#N/A,FALSE,"전력간선"}</definedName>
    <definedName name="ssss" localSheetId="2" hidden="1">{#N/A,#N/A,FALSE,"전력간선"}</definedName>
    <definedName name="ssss" localSheetId="0" hidden="1">{#N/A,#N/A,FALSE,"전력간선"}</definedName>
    <definedName name="ssss" hidden="1">{#N/A,#N/A,FALSE,"전력간선"}</definedName>
    <definedName name="StructureExpenceActual">[17]Sheet1!#REF!</definedName>
    <definedName name="sub">'[35]Cash Flow'!$K$10</definedName>
    <definedName name="T_AMOUNT">#N/A</definedName>
    <definedName name="T_UPRICE">#N/A</definedName>
    <definedName name="tiydes">[17]Sheet1!#REF!</definedName>
    <definedName name="total">'[35]Cash Flow'!$G$6</definedName>
    <definedName name="tr" hidden="1">[20]BID!$A$1:$A$1714</definedName>
    <definedName name="treyr">[36]장비!$M$132</definedName>
    <definedName name="trial">[17]Sheet1!#REF!</definedName>
    <definedName name="trying">[17]Sheet1!#REF!</definedName>
    <definedName name="tryt">[17]Sheet1!#REF!</definedName>
    <definedName name="vdsdvdfvdf">[17]Sheet1!#REF!</definedName>
    <definedName name="version">[17]Sheet1!#REF!</definedName>
    <definedName name="we">[22]Sheet4!$B$6</definedName>
    <definedName name="wee">[24]Sheet1!$B$3</definedName>
    <definedName name="Week">[37]Progress!$B$3</definedName>
    <definedName name="weekly">#REF!/#REF!</definedName>
    <definedName name="wek">[21]Sheet4!$B$3</definedName>
    <definedName name="WER">#N/A</definedName>
    <definedName name="wert">[30]Sheet1!#REF!</definedName>
    <definedName name="wm.조골재1" localSheetId="2" hidden="1">{#N/A,#N/A,FALSE,"조골재"}</definedName>
    <definedName name="wm.조골재1" localSheetId="0" hidden="1">{#N/A,#N/A,FALSE,"조골재"}</definedName>
    <definedName name="wm.조골재1" hidden="1">{#N/A,#N/A,FALSE,"조골재"}</definedName>
    <definedName name="wqheqhe" localSheetId="2">[53]자압!$B$1:$B$68,[53]자압!$D$1:$E$68</definedName>
    <definedName name="wqheqhe">[38]자압!$B$1:$B$68,[38]자압!$D$1:$E$68</definedName>
    <definedName name="wrn.2번." localSheetId="2" hidden="1">{#N/A,#N/A,FALSE,"2~8번"}</definedName>
    <definedName name="wrn.2번." localSheetId="0" hidden="1">{#N/A,#N/A,FALSE,"2~8번"}</definedName>
    <definedName name="wrn.2번." hidden="1">{#N/A,#N/A,FALSE,"2~8번"}</definedName>
    <definedName name="wrn.골재소요량." localSheetId="2" hidden="1">{#N/A,#N/A,FALSE,"골재소요량";#N/A,#N/A,FALSE,"골재소요량"}</definedName>
    <definedName name="wrn.골재소요량." localSheetId="0" hidden="1">{#N/A,#N/A,FALSE,"골재소요량";#N/A,#N/A,FALSE,"골재소요량"}</definedName>
    <definedName name="wrn.골재소요량." hidden="1">{#N/A,#N/A,FALSE,"골재소요량";#N/A,#N/A,FALSE,"골재소요량"}</definedName>
    <definedName name="wrn.교육청." localSheetId="2" hidden="1">{#N/A,#N/A,FALSE,"전력간선"}</definedName>
    <definedName name="wrn.교육청." localSheetId="0" hidden="1">{#N/A,#N/A,FALSE,"전력간선"}</definedName>
    <definedName name="wrn.교육청." hidden="1">{#N/A,#N/A,FALSE,"전력간선"}</definedName>
    <definedName name="wrn.구조2." localSheetId="2" hidden="1">{#N/A,#N/A,FALSE,"구조2"}</definedName>
    <definedName name="wrn.구조2." localSheetId="0" hidden="1">{#N/A,#N/A,FALSE,"구조2"}</definedName>
    <definedName name="wrn.구조2." hidden="1">{#N/A,#N/A,FALSE,"구조2"}</definedName>
    <definedName name="wrn.단가표지." localSheetId="2" hidden="1">{#N/A,#N/A,FALSE,"단가표지"}</definedName>
    <definedName name="wrn.단가표지." localSheetId="0" hidden="1">{#N/A,#N/A,FALSE,"단가표지"}</definedName>
    <definedName name="wrn.단가표지." hidden="1">{#N/A,#N/A,FALSE,"단가표지"}</definedName>
    <definedName name="wrn.배수1." localSheetId="2" hidden="1">{#N/A,#N/A,FALSE,"배수1"}</definedName>
    <definedName name="wrn.배수1." localSheetId="0" hidden="1">{#N/A,#N/A,FALSE,"배수1"}</definedName>
    <definedName name="wrn.배수1." hidden="1">{#N/A,#N/A,FALSE,"배수1"}</definedName>
    <definedName name="wrn.배수2." localSheetId="2" hidden="1">{#N/A,#N/A,FALSE,"배수2"}</definedName>
    <definedName name="wrn.배수2." localSheetId="0" hidden="1">{#N/A,#N/A,FALSE,"배수2"}</definedName>
    <definedName name="wrn.배수2." hidden="1">{#N/A,#N/A,FALSE,"배수2"}</definedName>
    <definedName name="wrn.부대1." localSheetId="2" hidden="1">{#N/A,#N/A,FALSE,"부대1"}</definedName>
    <definedName name="wrn.부대1." localSheetId="0" hidden="1">{#N/A,#N/A,FALSE,"부대1"}</definedName>
    <definedName name="wrn.부대1." hidden="1">{#N/A,#N/A,FALSE,"부대1"}</definedName>
    <definedName name="wrn.부대2." localSheetId="2" hidden="1">{#N/A,#N/A,FALSE,"부대2"}</definedName>
    <definedName name="wrn.부대2." localSheetId="0" hidden="1">{#N/A,#N/A,FALSE,"부대2"}</definedName>
    <definedName name="wrn.부대2." hidden="1">{#N/A,#N/A,FALSE,"부대2"}</definedName>
    <definedName name="wrn.속도." localSheetId="2" hidden="1">{#N/A,#N/A,FALSE,"속도"}</definedName>
    <definedName name="wrn.속도." localSheetId="0" hidden="1">{#N/A,#N/A,FALSE,"속도"}</definedName>
    <definedName name="wrn.속도." hidden="1">{#N/A,#N/A,FALSE,"속도"}</definedName>
    <definedName name="wrn.운반시간." localSheetId="2" hidden="1">{#N/A,#N/A,FALSE,"운반시간"}</definedName>
    <definedName name="wrn.운반시간." localSheetId="0" hidden="1">{#N/A,#N/A,FALSE,"운반시간"}</definedName>
    <definedName name="wrn.운반시간." hidden="1">{#N/A,#N/A,FALSE,"운반시간"}</definedName>
    <definedName name="wrn.이정표." localSheetId="2" hidden="1">{#N/A,#N/A,FALSE,"이정표"}</definedName>
    <definedName name="wrn.이정표." localSheetId="0" hidden="1">{#N/A,#N/A,FALSE,"이정표"}</definedName>
    <definedName name="wrn.이정표." hidden="1">{#N/A,#N/A,FALSE,"이정표"}</definedName>
    <definedName name="wrn.조골재." localSheetId="2" hidden="1">{#N/A,#N/A,FALSE,"조골재"}</definedName>
    <definedName name="wrn.조골재." localSheetId="0" hidden="1">{#N/A,#N/A,FALSE,"조골재"}</definedName>
    <definedName name="wrn.조골재." hidden="1">{#N/A,#N/A,FALSE,"조골재"}</definedName>
    <definedName name="wrn.토공1." localSheetId="2" hidden="1">{#N/A,#N/A,FALSE,"구조1"}</definedName>
    <definedName name="wrn.토공1." localSheetId="0" hidden="1">{#N/A,#N/A,FALSE,"구조1"}</definedName>
    <definedName name="wrn.토공1." hidden="1">{#N/A,#N/A,FALSE,"구조1"}</definedName>
    <definedName name="wrn.토공2." localSheetId="2" hidden="1">{#N/A,#N/A,FALSE,"토공2"}</definedName>
    <definedName name="wrn.토공2." localSheetId="0" hidden="1">{#N/A,#N/A,FALSE,"토공2"}</definedName>
    <definedName name="wrn.토공2." hidden="1">{#N/A,#N/A,FALSE,"토공2"}</definedName>
    <definedName name="wrn.포장1." localSheetId="2" hidden="1">{#N/A,#N/A,FALSE,"포장1";#N/A,#N/A,FALSE,"포장1"}</definedName>
    <definedName name="wrn.포장1." localSheetId="0" hidden="1">{#N/A,#N/A,FALSE,"포장1";#N/A,#N/A,FALSE,"포장1"}</definedName>
    <definedName name="wrn.포장1." hidden="1">{#N/A,#N/A,FALSE,"포장1";#N/A,#N/A,FALSE,"포장1"}</definedName>
    <definedName name="wrn.포장2." localSheetId="2" hidden="1">{#N/A,#N/A,FALSE,"포장2"}</definedName>
    <definedName name="wrn.포장2." localSheetId="0" hidden="1">{#N/A,#N/A,FALSE,"포장2"}</definedName>
    <definedName name="wrn.포장2." hidden="1">{#N/A,#N/A,FALSE,"포장2"}</definedName>
    <definedName name="wrn.표지목차." localSheetId="2" hidden="1">{#N/A,#N/A,FALSE,"표지목차"}</definedName>
    <definedName name="wrn.표지목차." localSheetId="0" hidden="1">{#N/A,#N/A,FALSE,"표지목차"}</definedName>
    <definedName name="wrn.표지목차." hidden="1">{#N/A,#N/A,FALSE,"표지목차"}</definedName>
    <definedName name="wrn.혼합골재." localSheetId="2" hidden="1">{#N/A,#N/A,FALSE,"혼합골재"}</definedName>
    <definedName name="wrn.혼합골재." localSheetId="0" hidden="1">{#N/A,#N/A,FALSE,"혼합골재"}</definedName>
    <definedName name="wrn.혼합골재." hidden="1">{#N/A,#N/A,FALSE,"혼합골재"}</definedName>
    <definedName name="WT" localSheetId="2">#REF!</definedName>
    <definedName name="WT">#REF!</definedName>
    <definedName name="wto" localSheetId="2">#REF!</definedName>
    <definedName name="wto">#REF!</definedName>
    <definedName name="xx" hidden="1">[20]BID!$A$1:$A$1714</definedName>
    <definedName name="xxx" hidden="1">[20]BID!$A$1:$A$1714</definedName>
    <definedName name="ye">[39]Sheet2!$B$2</definedName>
    <definedName name="Z">#N/A</definedName>
    <definedName name="za" hidden="1">[20]BID!$A$1:$A$4</definedName>
    <definedName name="ㄱㅈㅎ" hidden="1">[20]BID!$A$1:$A$1714</definedName>
    <definedName name="골재" localSheetId="2" hidden="1">{#N/A,#N/A,FALSE,"골재소요량";#N/A,#N/A,FALSE,"골재소요량"}</definedName>
    <definedName name="골재" localSheetId="0" hidden="1">{#N/A,#N/A,FALSE,"골재소요량";#N/A,#N/A,FALSE,"골재소요량"}</definedName>
    <definedName name="골재" hidden="1">{#N/A,#N/A,FALSE,"골재소요량";#N/A,#N/A,FALSE,"골재소요량"}</definedName>
    <definedName name="공사감리율">[40]요율!$M$20</definedName>
    <definedName name="교육" localSheetId="2" hidden="1">{#N/A,#N/A,FALSE,"전력간선"}</definedName>
    <definedName name="교육" localSheetId="0" hidden="1">{#N/A,#N/A,FALSE,"전력간선"}</definedName>
    <definedName name="교육" hidden="1">{#N/A,#N/A,FALSE,"전력간선"}</definedName>
    <definedName name="기존도로상태" localSheetId="2" hidden="1">{#N/A,#N/A,FALSE,"혼합골재"}</definedName>
    <definedName name="기존도로상태" localSheetId="0" hidden="1">{#N/A,#N/A,FALSE,"혼합골재"}</definedName>
    <definedName name="기존도로상태" hidden="1">{#N/A,#N/A,FALSE,"혼합골재"}</definedName>
    <definedName name="ㄴㄱㄹ" hidden="1">[20]BID!$A$1:$A$734</definedName>
    <definedName name="ㄴㅁ" hidden="1">[20]BID!$A$1:$A$4</definedName>
    <definedName name="낙찰가">#N/A</definedName>
    <definedName name="내전" localSheetId="2">[54]노무비!$B$2</definedName>
    <definedName name="내전">[41]노무비!$B$2</definedName>
    <definedName name="도로" localSheetId="2" hidden="1">{#N/A,#N/A,FALSE,"2~8번"}</definedName>
    <definedName name="도로" localSheetId="0" hidden="1">{#N/A,#N/A,FALSE,"2~8번"}</definedName>
    <definedName name="도로" hidden="1">{#N/A,#N/A,FALSE,"2~8번"}</definedName>
    <definedName name="ㄹ호" hidden="1">[20]BID!$C$1:$H$533</definedName>
    <definedName name="롯데안" localSheetId="2">[55]설계!$B$3:$H$751</definedName>
    <definedName name="롯데안">[42]설계!$B$3:$H$751</definedName>
    <definedName name="ㅁㅁ" localSheetId="2" hidden="1">{#N/A,#N/A,FALSE,"운반시간"}</definedName>
    <definedName name="ㅁㅁ" localSheetId="0" hidden="1">{#N/A,#N/A,FALSE,"운반시간"}</definedName>
    <definedName name="ㅁㅁ" hidden="1">{#N/A,#N/A,FALSE,"운반시간"}</definedName>
    <definedName name="ㅁㅁㅁㅁ" localSheetId="2" hidden="1">{#N/A,#N/A,FALSE,"혼합골재"}</definedName>
    <definedName name="ㅁㅁㅁㅁ" localSheetId="0" hidden="1">{#N/A,#N/A,FALSE,"혼합골재"}</definedName>
    <definedName name="ㅁㅁㅁㅁ" hidden="1">{#N/A,#N/A,FALSE,"혼합골재"}</definedName>
    <definedName name="ㅁㅁㅁㅁㅁㅁ" hidden="1">[20]BID!$A$1:$A$2353</definedName>
    <definedName name="무안" localSheetId="2">[54]노무비!$B$12</definedName>
    <definedName name="무안">[41]노무비!$B$12</definedName>
    <definedName name="민">[43]지급자재!$T$22</definedName>
    <definedName name="바보" localSheetId="2" hidden="1">{#N/A,#N/A,FALSE,"표지목차"}</definedName>
    <definedName name="바보" localSheetId="0" hidden="1">{#N/A,#N/A,FALSE,"표지목차"}</definedName>
    <definedName name="바보" hidden="1">{#N/A,#N/A,FALSE,"표지목차"}</definedName>
    <definedName name="바보2" localSheetId="2" hidden="1">{#N/A,#N/A,FALSE,"운반시간"}</definedName>
    <definedName name="바보2" localSheetId="0" hidden="1">{#N/A,#N/A,FALSE,"운반시간"}</definedName>
    <definedName name="바보2" hidden="1">{#N/A,#N/A,FALSE,"운반시간"}</definedName>
    <definedName name="밥보" localSheetId="2" hidden="1">{#N/A,#N/A,FALSE,"표지목차"}</definedName>
    <definedName name="밥보" localSheetId="0" hidden="1">{#N/A,#N/A,FALSE,"표지목차"}</definedName>
    <definedName name="밥보" hidden="1">{#N/A,#N/A,FALSE,"표지목차"}</definedName>
    <definedName name="배관자재중량">[44]단가!$C$51:$I$60</definedName>
    <definedName name="보험">[45]입찰!$G$17</definedName>
    <definedName name="사" hidden="1">[20]BID!$A$1:$A$1714</definedName>
    <definedName name="사업관리율">[40]요율!$M$21</definedName>
    <definedName name="산보">[45]입찰!$G$12</definedName>
    <definedName name="설계가">#N/A</definedName>
    <definedName name="세부설계율">[40]요율!$M$19</definedName>
    <definedName name="수중모터펌프중량">[44]단가!$C$66:$D$77</definedName>
    <definedName name="순공">[45]입찰!$G$9</definedName>
    <definedName name="ㅇㄴㅁ" hidden="1">[20]BID!$A$1:$A$4</definedName>
    <definedName name="ㅇㄹ" hidden="1">[20]BID!$C$1:$H$533</definedName>
    <definedName name="억이상" localSheetId="2" hidden="1">{#N/A,#N/A,FALSE,"2~8번"}</definedName>
    <definedName name="억이상" localSheetId="0" hidden="1">{#N/A,#N/A,FALSE,"2~8번"}</definedName>
    <definedName name="억이상" hidden="1">{#N/A,#N/A,FALSE,"2~8번"}</definedName>
    <definedName name="업체" hidden="1">[20]BID!$A$1:$A$734</definedName>
    <definedName name="오" hidden="1">[20]BID!$A$1:$A$4</definedName>
    <definedName name="운반비">[44]단가!$F$66:$G$77</definedName>
    <definedName name="원가" localSheetId="2" hidden="1">{#N/A,#N/A,FALSE,"운반시간"}</definedName>
    <definedName name="원가" localSheetId="0" hidden="1">{#N/A,#N/A,FALSE,"운반시간"}</definedName>
    <definedName name="원가" hidden="1">{#N/A,#N/A,FALSE,"운반시간"}</definedName>
    <definedName name="원남내역" hidden="1">[20]BID!$A$1:$A$4</definedName>
    <definedName name="위치">#N/A</definedName>
    <definedName name="의" localSheetId="2" hidden="1">{#N/A,#N/A,FALSE,"운반시간"}</definedName>
    <definedName name="의" localSheetId="0" hidden="1">{#N/A,#N/A,FALSE,"운반시간"}</definedName>
    <definedName name="의" hidden="1">{#N/A,#N/A,FALSE,"운반시간"}</definedName>
    <definedName name="일" hidden="1">[20]BID!$A$1:$A$4</definedName>
    <definedName name="자재수">[40]자재대!$BE$22</definedName>
    <definedName name="자재평">[40]자재대!$BG$22</definedName>
    <definedName name="지역">#N/A</definedName>
    <definedName name="집계">[46]내역!$A$1:$E$1023</definedName>
    <definedName name="칠">[43]지급자재!$AE$22</definedName>
    <definedName name="토" hidden="1">[20]BID!$A$1:$A$47</definedName>
    <definedName name="토목설계" localSheetId="2" hidden="1">{#N/A,#N/A,FALSE,"골재소요량";#N/A,#N/A,FALSE,"골재소요량"}</definedName>
    <definedName name="토목설계" localSheetId="0" hidden="1">{#N/A,#N/A,FALSE,"골재소요량";#N/A,#N/A,FALSE,"골재소요량"}</definedName>
    <definedName name="토목설계" hidden="1">{#N/A,#N/A,FALSE,"골재소요량";#N/A,#N/A,FALSE,"골재소요량"}</definedName>
    <definedName name="통내" localSheetId="2">[54]노무비!$B$8</definedName>
    <definedName name="통내">[41]노무비!$B$8</definedName>
    <definedName name="통설" localSheetId="2">[54]노무비!$B$10</definedName>
    <definedName name="통설">[47]노무비!$B$10</definedName>
    <definedName name="팔" hidden="1">[20]BID!$A$1:$A$1714</definedName>
    <definedName name="현경">[45]현경!$F$39</definedName>
    <definedName name="ㅓㄴㄱ" hidden="1">[20]BID!$A$1:$A$4</definedName>
    <definedName name="ㅠㅠ" localSheetId="2" hidden="1">{#N/A,#N/A,FALSE,"포장2"}</definedName>
    <definedName name="ㅠㅠ" localSheetId="0" hidden="1">{#N/A,#N/A,FALSE,"포장2"}</definedName>
    <definedName name="ㅠㅠ" hidden="1">{#N/A,#N/A,FALSE,"포장2"}</definedName>
    <definedName name="ㅣㅏ" localSheetId="2" hidden="1">{#N/A,#N/A,FALSE,"2~8번"}</definedName>
    <definedName name="ㅣㅏ" localSheetId="0" hidden="1">{#N/A,#N/A,FALSE,"2~8번"}</definedName>
    <definedName name="ㅣㅏ" hidden="1">{#N/A,#N/A,FALSE,"2~8번"}</definedName>
  </definedNames>
  <calcPr calcId="152511"/>
  <fileRecoveryPr autoRecover="0"/>
</workbook>
</file>

<file path=xl/calcChain.xml><?xml version="1.0" encoding="utf-8"?>
<calcChain xmlns="http://schemas.openxmlformats.org/spreadsheetml/2006/main">
  <c r="D40" i="34" l="1"/>
  <c r="T33" i="34"/>
  <c r="P33" i="34"/>
  <c r="L33" i="34"/>
  <c r="H33" i="34"/>
  <c r="H32" i="34"/>
  <c r="D33" i="34"/>
  <c r="C25" i="34"/>
  <c r="C23" i="34"/>
  <c r="L15" i="34"/>
  <c r="F17" i="34"/>
  <c r="I17" i="34"/>
  <c r="I183" i="35" l="1"/>
  <c r="O182" i="35"/>
  <c r="I182" i="35"/>
  <c r="O181" i="35"/>
  <c r="R179" i="35"/>
  <c r="R178" i="35"/>
  <c r="R174" i="35"/>
  <c r="Q174" i="35"/>
  <c r="Q175" i="35" s="1"/>
  <c r="P174" i="35"/>
  <c r="P175" i="35" s="1"/>
  <c r="O174" i="35"/>
  <c r="O175" i="35" s="1"/>
  <c r="N174" i="35"/>
  <c r="M174" i="35"/>
  <c r="M175" i="35" s="1"/>
  <c r="L174" i="35"/>
  <c r="L175" i="35" s="1"/>
  <c r="S173" i="35"/>
  <c r="R173" i="35"/>
  <c r="Q173" i="35"/>
  <c r="P173" i="35"/>
  <c r="O173" i="35"/>
  <c r="N173" i="35"/>
  <c r="M173" i="35"/>
  <c r="L173" i="35"/>
  <c r="I173" i="35"/>
  <c r="S172" i="35"/>
  <c r="S174" i="35" s="1"/>
  <c r="R172" i="35"/>
  <c r="Q172" i="35"/>
  <c r="P172" i="35"/>
  <c r="N172" i="35"/>
  <c r="M172" i="35"/>
  <c r="L172" i="35"/>
  <c r="I172" i="35"/>
  <c r="S171" i="35"/>
  <c r="R171" i="35"/>
  <c r="Q171" i="35"/>
  <c r="P171" i="35"/>
  <c r="N171" i="35"/>
  <c r="M171" i="35"/>
  <c r="L171" i="35"/>
  <c r="S170" i="35"/>
  <c r="R170" i="35"/>
  <c r="Q170" i="35"/>
  <c r="P170" i="35"/>
  <c r="N170" i="35"/>
  <c r="M170" i="35"/>
  <c r="L170" i="35"/>
  <c r="S169" i="35"/>
  <c r="R169" i="35"/>
  <c r="Q169" i="35"/>
  <c r="P169" i="35"/>
  <c r="N169" i="35"/>
  <c r="M169" i="35"/>
  <c r="L169" i="35"/>
  <c r="I169" i="35"/>
  <c r="S168" i="35"/>
  <c r="R168" i="35"/>
  <c r="Q168" i="35"/>
  <c r="P168" i="35"/>
  <c r="N168" i="35"/>
  <c r="M168" i="35"/>
  <c r="L168" i="35"/>
  <c r="S167" i="35"/>
  <c r="R167" i="35"/>
  <c r="Q167" i="35"/>
  <c r="P167" i="35"/>
  <c r="N167" i="35"/>
  <c r="M167" i="35"/>
  <c r="L167" i="35"/>
  <c r="I167" i="35"/>
  <c r="S166" i="35"/>
  <c r="R166" i="35"/>
  <c r="Q166" i="35"/>
  <c r="P166" i="35"/>
  <c r="N166" i="35"/>
  <c r="M166" i="35"/>
  <c r="L166" i="35"/>
  <c r="I166" i="35"/>
  <c r="P165" i="35"/>
  <c r="N165" i="35"/>
  <c r="P164" i="35"/>
  <c r="N164" i="35"/>
  <c r="R163" i="35"/>
  <c r="Q163" i="35"/>
  <c r="P163" i="35"/>
  <c r="O163" i="35"/>
  <c r="M163" i="35"/>
  <c r="L163" i="35"/>
  <c r="N163" i="35" s="1"/>
  <c r="S162" i="35"/>
  <c r="R162" i="35"/>
  <c r="Q162" i="35"/>
  <c r="P162" i="35"/>
  <c r="N162" i="35"/>
  <c r="M162" i="35"/>
  <c r="L162" i="35"/>
  <c r="S161" i="35"/>
  <c r="R161" i="35"/>
  <c r="Q161" i="35"/>
  <c r="P161" i="35"/>
  <c r="N161" i="35"/>
  <c r="M161" i="35"/>
  <c r="L161" i="35"/>
  <c r="S160" i="35"/>
  <c r="R160" i="35"/>
  <c r="Q160" i="35"/>
  <c r="P160" i="35"/>
  <c r="N160" i="35"/>
  <c r="M160" i="35"/>
  <c r="L160" i="35"/>
  <c r="S159" i="35"/>
  <c r="R159" i="35"/>
  <c r="Q159" i="35"/>
  <c r="P159" i="35"/>
  <c r="N159" i="35"/>
  <c r="M159" i="35"/>
  <c r="L159" i="35"/>
  <c r="U158" i="35"/>
  <c r="S158" i="35"/>
  <c r="R158" i="35"/>
  <c r="Q158" i="35"/>
  <c r="P158" i="35"/>
  <c r="N158" i="35"/>
  <c r="M158" i="35"/>
  <c r="L158" i="35"/>
  <c r="U157" i="35"/>
  <c r="S157" i="35"/>
  <c r="R157" i="35"/>
  <c r="Q157" i="35"/>
  <c r="P157" i="35"/>
  <c r="N157" i="35"/>
  <c r="M157" i="35"/>
  <c r="L157" i="35"/>
  <c r="S156" i="35"/>
  <c r="P156" i="35"/>
  <c r="N156" i="35"/>
  <c r="M156" i="35"/>
  <c r="L156" i="35"/>
  <c r="S155" i="35"/>
  <c r="R155" i="35"/>
  <c r="Q155" i="35"/>
  <c r="P155" i="35"/>
  <c r="N155" i="35"/>
  <c r="M155" i="35"/>
  <c r="L155" i="35"/>
  <c r="S154" i="35"/>
  <c r="R154" i="35"/>
  <c r="Q154" i="35"/>
  <c r="P154" i="35"/>
  <c r="N154" i="35"/>
  <c r="M154" i="35"/>
  <c r="L154" i="35"/>
  <c r="S153" i="35"/>
  <c r="R153" i="35"/>
  <c r="Q153" i="35"/>
  <c r="P153" i="35"/>
  <c r="N153" i="35"/>
  <c r="M153" i="35"/>
  <c r="L153" i="35"/>
  <c r="S152" i="35"/>
  <c r="R152" i="35"/>
  <c r="Q152" i="35"/>
  <c r="P152" i="35"/>
  <c r="N152" i="35"/>
  <c r="M152" i="35"/>
  <c r="L152" i="35"/>
  <c r="S151" i="35"/>
  <c r="R151" i="35"/>
  <c r="Q151" i="35"/>
  <c r="P151" i="35"/>
  <c r="N151" i="35"/>
  <c r="M151" i="35"/>
  <c r="L151" i="35"/>
  <c r="S150" i="35"/>
  <c r="R150" i="35"/>
  <c r="Q150" i="35"/>
  <c r="P150" i="35"/>
  <c r="N150" i="35"/>
  <c r="M150" i="35"/>
  <c r="L150" i="35"/>
  <c r="S149" i="35"/>
  <c r="R149" i="35"/>
  <c r="Q149" i="35"/>
  <c r="P149" i="35"/>
  <c r="N149" i="35"/>
  <c r="M149" i="35"/>
  <c r="L149" i="35"/>
  <c r="S148" i="35"/>
  <c r="R148" i="35"/>
  <c r="Q148" i="35"/>
  <c r="P148" i="35"/>
  <c r="N148" i="35"/>
  <c r="M148" i="35"/>
  <c r="L148" i="35"/>
  <c r="S147" i="35"/>
  <c r="R147" i="35"/>
  <c r="Q147" i="35"/>
  <c r="P147" i="35"/>
  <c r="N147" i="35"/>
  <c r="M147" i="35"/>
  <c r="L147" i="35"/>
  <c r="S146" i="35"/>
  <c r="R146" i="35"/>
  <c r="Q146" i="35"/>
  <c r="P146" i="35"/>
  <c r="N146" i="35"/>
  <c r="M146" i="35"/>
  <c r="L146" i="35"/>
  <c r="S145" i="35"/>
  <c r="R145" i="35"/>
  <c r="Q145" i="35"/>
  <c r="P145" i="35"/>
  <c r="N145" i="35"/>
  <c r="M145" i="35"/>
  <c r="L145" i="35"/>
  <c r="S144" i="35"/>
  <c r="R144" i="35"/>
  <c r="Q144" i="35"/>
  <c r="P144" i="35"/>
  <c r="N144" i="35"/>
  <c r="M144" i="35"/>
  <c r="L144" i="35"/>
  <c r="S143" i="35"/>
  <c r="R143" i="35"/>
  <c r="Q143" i="35"/>
  <c r="P143" i="35"/>
  <c r="O143" i="35"/>
  <c r="N143" i="35"/>
  <c r="M143" i="35"/>
  <c r="L143" i="35"/>
  <c r="S142" i="35"/>
  <c r="R142" i="35"/>
  <c r="Q142" i="35"/>
  <c r="P142" i="35"/>
  <c r="O142" i="35"/>
  <c r="N142" i="35"/>
  <c r="M142" i="35"/>
  <c r="L142" i="35"/>
  <c r="S141" i="35"/>
  <c r="R141" i="35"/>
  <c r="Q141" i="35"/>
  <c r="P141" i="35"/>
  <c r="N141" i="35"/>
  <c r="M141" i="35"/>
  <c r="L141" i="35"/>
  <c r="S140" i="35"/>
  <c r="R140" i="35"/>
  <c r="Q140" i="35"/>
  <c r="P140" i="35"/>
  <c r="N140" i="35"/>
  <c r="M140" i="35"/>
  <c r="L140" i="35"/>
  <c r="I140" i="35"/>
  <c r="S139" i="35"/>
  <c r="R139" i="35"/>
  <c r="Q139" i="35"/>
  <c r="P139" i="35"/>
  <c r="N139" i="35"/>
  <c r="M139" i="35"/>
  <c r="L139" i="35"/>
  <c r="S138" i="35"/>
  <c r="R138" i="35"/>
  <c r="Q138" i="35"/>
  <c r="P138" i="35"/>
  <c r="N138" i="35"/>
  <c r="M138" i="35"/>
  <c r="L138" i="35"/>
  <c r="I138" i="35"/>
  <c r="S137" i="35"/>
  <c r="R137" i="35"/>
  <c r="Q137" i="35"/>
  <c r="P137" i="35"/>
  <c r="N137" i="35"/>
  <c r="M137" i="35"/>
  <c r="L137" i="35"/>
  <c r="I137" i="35"/>
  <c r="S136" i="35"/>
  <c r="R136" i="35"/>
  <c r="Q136" i="35"/>
  <c r="P136" i="35"/>
  <c r="O136" i="35"/>
  <c r="N136" i="35"/>
  <c r="M136" i="35"/>
  <c r="L136" i="35"/>
  <c r="S135" i="35"/>
  <c r="R135" i="35"/>
  <c r="Q135" i="35"/>
  <c r="P135" i="35"/>
  <c r="N135" i="35"/>
  <c r="M135" i="35"/>
  <c r="L135" i="35"/>
  <c r="S134" i="35"/>
  <c r="R134" i="35"/>
  <c r="Q134" i="35"/>
  <c r="P134" i="35"/>
  <c r="N134" i="35"/>
  <c r="M134" i="35"/>
  <c r="L134" i="35"/>
  <c r="S133" i="35"/>
  <c r="R133" i="35"/>
  <c r="Q133" i="35"/>
  <c r="P133" i="35"/>
  <c r="N133" i="35"/>
  <c r="M133" i="35"/>
  <c r="L133" i="35"/>
  <c r="I133" i="35"/>
  <c r="S132" i="35"/>
  <c r="S163" i="35" s="1"/>
  <c r="R132" i="35"/>
  <c r="Q132" i="35"/>
  <c r="P132" i="35"/>
  <c r="O132" i="35"/>
  <c r="N132" i="35"/>
  <c r="M132" i="35"/>
  <c r="L132" i="35"/>
  <c r="I132" i="35"/>
  <c r="S131" i="35"/>
  <c r="R131" i="35"/>
  <c r="Q131" i="35"/>
  <c r="P131" i="35"/>
  <c r="N131" i="35"/>
  <c r="M131" i="35"/>
  <c r="L131" i="35"/>
  <c r="S130" i="35"/>
  <c r="R130" i="35"/>
  <c r="Q130" i="35"/>
  <c r="P130" i="35"/>
  <c r="N130" i="35"/>
  <c r="M130" i="35"/>
  <c r="L130" i="35"/>
  <c r="I130" i="35"/>
  <c r="S129" i="35"/>
  <c r="R129" i="35"/>
  <c r="Q129" i="35"/>
  <c r="P129" i="35"/>
  <c r="N129" i="35"/>
  <c r="M129" i="35"/>
  <c r="L129" i="35"/>
  <c r="S128" i="35"/>
  <c r="R128" i="35"/>
  <c r="Q128" i="35"/>
  <c r="P128" i="35"/>
  <c r="N128" i="35"/>
  <c r="M128" i="35"/>
  <c r="L128" i="35"/>
  <c r="S127" i="35"/>
  <c r="R127" i="35"/>
  <c r="Q127" i="35"/>
  <c r="P127" i="35"/>
  <c r="N127" i="35"/>
  <c r="M127" i="35"/>
  <c r="L127" i="35"/>
  <c r="I127" i="35"/>
  <c r="S126" i="35"/>
  <c r="R126" i="35"/>
  <c r="Q126" i="35"/>
  <c r="P126" i="35"/>
  <c r="N126" i="35"/>
  <c r="M126" i="35"/>
  <c r="L126" i="35"/>
  <c r="S125" i="35"/>
  <c r="R125" i="35"/>
  <c r="Q125" i="35"/>
  <c r="P125" i="35"/>
  <c r="N125" i="35"/>
  <c r="M125" i="35"/>
  <c r="L125" i="35"/>
  <c r="S124" i="35"/>
  <c r="R124" i="35"/>
  <c r="Q124" i="35"/>
  <c r="P124" i="35"/>
  <c r="N124" i="35"/>
  <c r="M124" i="35"/>
  <c r="L124" i="35"/>
  <c r="I124" i="35"/>
  <c r="S123" i="35"/>
  <c r="R123" i="35"/>
  <c r="Q123" i="35"/>
  <c r="P123" i="35"/>
  <c r="N123" i="35"/>
  <c r="M123" i="35"/>
  <c r="L123" i="35"/>
  <c r="S122" i="35"/>
  <c r="R122" i="35"/>
  <c r="Q122" i="35"/>
  <c r="P122" i="35"/>
  <c r="N122" i="35"/>
  <c r="M122" i="35"/>
  <c r="L122" i="35"/>
  <c r="I122" i="35"/>
  <c r="S121" i="35"/>
  <c r="R121" i="35"/>
  <c r="Q121" i="35"/>
  <c r="P121" i="35"/>
  <c r="N121" i="35"/>
  <c r="M121" i="35"/>
  <c r="L121" i="35"/>
  <c r="S120" i="35"/>
  <c r="R120" i="35"/>
  <c r="Q120" i="35"/>
  <c r="P120" i="35"/>
  <c r="N120" i="35"/>
  <c r="M120" i="35"/>
  <c r="L120" i="35"/>
  <c r="S119" i="35"/>
  <c r="R119" i="35"/>
  <c r="Q119" i="35"/>
  <c r="P119" i="35"/>
  <c r="N119" i="35"/>
  <c r="M119" i="35"/>
  <c r="L119" i="35"/>
  <c r="S118" i="35"/>
  <c r="R118" i="35"/>
  <c r="Q118" i="35"/>
  <c r="P118" i="35"/>
  <c r="N118" i="35"/>
  <c r="M118" i="35"/>
  <c r="L118" i="35"/>
  <c r="S117" i="35"/>
  <c r="R117" i="35"/>
  <c r="Q117" i="35"/>
  <c r="P117" i="35"/>
  <c r="N117" i="35"/>
  <c r="M117" i="35"/>
  <c r="L117" i="35"/>
  <c r="S116" i="35"/>
  <c r="R116" i="35"/>
  <c r="Q116" i="35"/>
  <c r="P116" i="35"/>
  <c r="N116" i="35"/>
  <c r="M116" i="35"/>
  <c r="L116" i="35"/>
  <c r="S115" i="35"/>
  <c r="R115" i="35"/>
  <c r="Q115" i="35"/>
  <c r="P115" i="35"/>
  <c r="N115" i="35"/>
  <c r="M115" i="35"/>
  <c r="L115" i="35"/>
  <c r="S114" i="35"/>
  <c r="R114" i="35"/>
  <c r="Q114" i="35"/>
  <c r="P114" i="35"/>
  <c r="N114" i="35"/>
  <c r="M114" i="35"/>
  <c r="L114" i="35"/>
  <c r="S113" i="35"/>
  <c r="R113" i="35"/>
  <c r="Q113" i="35"/>
  <c r="P113" i="35"/>
  <c r="N113" i="35"/>
  <c r="M113" i="35"/>
  <c r="L113" i="35"/>
  <c r="S112" i="35"/>
  <c r="R112" i="35"/>
  <c r="Q112" i="35"/>
  <c r="P112" i="35"/>
  <c r="N112" i="35"/>
  <c r="M112" i="35"/>
  <c r="L112" i="35"/>
  <c r="S111" i="35"/>
  <c r="R111" i="35"/>
  <c r="Q111" i="35"/>
  <c r="P111" i="35"/>
  <c r="N111" i="35"/>
  <c r="M111" i="35"/>
  <c r="L111" i="35"/>
  <c r="S110" i="35"/>
  <c r="R110" i="35"/>
  <c r="Q110" i="35"/>
  <c r="P110" i="35"/>
  <c r="N110" i="35"/>
  <c r="M110" i="35"/>
  <c r="L110" i="35"/>
  <c r="S109" i="35"/>
  <c r="R109" i="35"/>
  <c r="Q109" i="35"/>
  <c r="P109" i="35"/>
  <c r="N109" i="35"/>
  <c r="M109" i="35"/>
  <c r="L109" i="35"/>
  <c r="I109" i="35"/>
  <c r="S108" i="35"/>
  <c r="P108" i="35"/>
  <c r="N108" i="35"/>
  <c r="M108" i="35"/>
  <c r="L108" i="35"/>
  <c r="S107" i="35"/>
  <c r="P107" i="35"/>
  <c r="N107" i="35"/>
  <c r="M107" i="35"/>
  <c r="L107" i="35"/>
  <c r="S106" i="35"/>
  <c r="P106" i="35"/>
  <c r="N106" i="35"/>
  <c r="M106" i="35"/>
  <c r="L106" i="35"/>
  <c r="S105" i="35"/>
  <c r="P105" i="35"/>
  <c r="N105" i="35"/>
  <c r="M105" i="35"/>
  <c r="S104" i="35"/>
  <c r="P104" i="35"/>
  <c r="N104" i="35"/>
  <c r="M104" i="35"/>
  <c r="P103" i="35"/>
  <c r="N103" i="35"/>
  <c r="M103" i="35"/>
  <c r="S102" i="35"/>
  <c r="R102" i="35"/>
  <c r="Q102" i="35"/>
  <c r="P102" i="35"/>
  <c r="O102" i="35"/>
  <c r="N102" i="35"/>
  <c r="M102" i="35"/>
  <c r="L102" i="35"/>
  <c r="H102" i="35"/>
  <c r="S101" i="35"/>
  <c r="R101" i="35"/>
  <c r="Q101" i="35"/>
  <c r="P101" i="35"/>
  <c r="N101" i="35"/>
  <c r="M101" i="35"/>
  <c r="L101" i="35"/>
  <c r="T100" i="35"/>
  <c r="P100" i="35"/>
  <c r="N100" i="35"/>
  <c r="M100" i="35"/>
  <c r="R99" i="35"/>
  <c r="Q99" i="35"/>
  <c r="P99" i="35"/>
  <c r="O99" i="35"/>
  <c r="N99" i="35"/>
  <c r="M99" i="35"/>
  <c r="L99" i="35"/>
  <c r="S98" i="35"/>
  <c r="R98" i="35"/>
  <c r="Q98" i="35"/>
  <c r="P98" i="35"/>
  <c r="N98" i="35"/>
  <c r="M98" i="35"/>
  <c r="L98" i="35"/>
  <c r="U97" i="35"/>
  <c r="U98" i="35" s="1"/>
  <c r="S97" i="35"/>
  <c r="R97" i="35"/>
  <c r="Q97" i="35"/>
  <c r="P97" i="35"/>
  <c r="N97" i="35"/>
  <c r="M97" i="35"/>
  <c r="L97" i="35"/>
  <c r="S96" i="35"/>
  <c r="S99" i="35" s="1"/>
  <c r="R96" i="35"/>
  <c r="Q96" i="35"/>
  <c r="P96" i="35"/>
  <c r="O96" i="35"/>
  <c r="N96" i="35"/>
  <c r="M96" i="35"/>
  <c r="L96" i="35"/>
  <c r="I96" i="35"/>
  <c r="U95" i="35"/>
  <c r="S95" i="35"/>
  <c r="R95" i="35"/>
  <c r="Q95" i="35"/>
  <c r="P95" i="35"/>
  <c r="N95" i="35"/>
  <c r="M95" i="35"/>
  <c r="L95" i="35"/>
  <c r="S94" i="35"/>
  <c r="R94" i="35"/>
  <c r="Q94" i="35"/>
  <c r="P94" i="35"/>
  <c r="O94" i="35"/>
  <c r="N94" i="35"/>
  <c r="M94" i="35"/>
  <c r="L94" i="35"/>
  <c r="S93" i="35"/>
  <c r="R93" i="35"/>
  <c r="Q93" i="35"/>
  <c r="P93" i="35"/>
  <c r="O93" i="35"/>
  <c r="N93" i="35"/>
  <c r="M93" i="35"/>
  <c r="L93" i="35"/>
  <c r="S92" i="35"/>
  <c r="R92" i="35"/>
  <c r="Q92" i="35"/>
  <c r="P92" i="35"/>
  <c r="N92" i="35"/>
  <c r="M92" i="35"/>
  <c r="L92" i="35"/>
  <c r="U91" i="35"/>
  <c r="S91" i="35"/>
  <c r="R91" i="35"/>
  <c r="Q91" i="35"/>
  <c r="P91" i="35"/>
  <c r="N91" i="35"/>
  <c r="M91" i="35"/>
  <c r="L91" i="35"/>
  <c r="U90" i="35"/>
  <c r="S90" i="35"/>
  <c r="R90" i="35"/>
  <c r="Q90" i="35"/>
  <c r="P90" i="35"/>
  <c r="N90" i="35"/>
  <c r="M90" i="35"/>
  <c r="L90" i="35"/>
  <c r="S89" i="35"/>
  <c r="R89" i="35"/>
  <c r="Q89" i="35"/>
  <c r="P89" i="35"/>
  <c r="O89" i="35"/>
  <c r="N89" i="35"/>
  <c r="M89" i="35"/>
  <c r="L89" i="35"/>
  <c r="S88" i="35"/>
  <c r="R88" i="35"/>
  <c r="Q88" i="35"/>
  <c r="P88" i="35"/>
  <c r="N88" i="35"/>
  <c r="M88" i="35"/>
  <c r="L88" i="35"/>
  <c r="S87" i="35"/>
  <c r="R87" i="35"/>
  <c r="Q87" i="35"/>
  <c r="P87" i="35"/>
  <c r="N87" i="35"/>
  <c r="M87" i="35"/>
  <c r="L87" i="35"/>
  <c r="S86" i="35"/>
  <c r="R86" i="35"/>
  <c r="Q86" i="35"/>
  <c r="P86" i="35"/>
  <c r="N86" i="35"/>
  <c r="M86" i="35"/>
  <c r="L86" i="35"/>
  <c r="S85" i="35"/>
  <c r="P85" i="35"/>
  <c r="N85" i="35"/>
  <c r="M85" i="35"/>
  <c r="S84" i="35"/>
  <c r="P84" i="35"/>
  <c r="N84" i="35"/>
  <c r="M84" i="35"/>
  <c r="U83" i="35"/>
  <c r="S83" i="35"/>
  <c r="P83" i="35"/>
  <c r="N83" i="35"/>
  <c r="M83" i="35"/>
  <c r="Q82" i="35"/>
  <c r="P82" i="35"/>
  <c r="O82" i="35"/>
  <c r="M82" i="35"/>
  <c r="L82" i="35"/>
  <c r="N82" i="35" s="1"/>
  <c r="S81" i="35"/>
  <c r="R81" i="35"/>
  <c r="Q81" i="35"/>
  <c r="P81" i="35"/>
  <c r="N81" i="35"/>
  <c r="M81" i="35"/>
  <c r="L81" i="35"/>
  <c r="S80" i="35"/>
  <c r="R80" i="35"/>
  <c r="Q80" i="35"/>
  <c r="P80" i="35"/>
  <c r="N80" i="35"/>
  <c r="M80" i="35"/>
  <c r="L80" i="35"/>
  <c r="U79" i="35"/>
  <c r="S79" i="35"/>
  <c r="R79" i="35"/>
  <c r="Q79" i="35"/>
  <c r="P79" i="35"/>
  <c r="N79" i="35"/>
  <c r="M79" i="35"/>
  <c r="L79" i="35"/>
  <c r="U78" i="35"/>
  <c r="S78" i="35"/>
  <c r="P78" i="35"/>
  <c r="N78" i="35"/>
  <c r="M78" i="35"/>
  <c r="L78" i="35"/>
  <c r="U77" i="35"/>
  <c r="S77" i="35"/>
  <c r="R77" i="35"/>
  <c r="R82" i="35" s="1"/>
  <c r="Q77" i="35"/>
  <c r="P77" i="35"/>
  <c r="N77" i="35"/>
  <c r="M77" i="35"/>
  <c r="L77" i="35"/>
  <c r="H77" i="35"/>
  <c r="S76" i="35"/>
  <c r="R76" i="35"/>
  <c r="Q76" i="35"/>
  <c r="P76" i="35"/>
  <c r="N76" i="35"/>
  <c r="M76" i="35"/>
  <c r="L76" i="35"/>
  <c r="S75" i="35"/>
  <c r="R75" i="35"/>
  <c r="Q75" i="35"/>
  <c r="P75" i="35"/>
  <c r="N75" i="35"/>
  <c r="M75" i="35"/>
  <c r="L75" i="35"/>
  <c r="U74" i="35"/>
  <c r="S74" i="35"/>
  <c r="R74" i="35"/>
  <c r="Q74" i="35"/>
  <c r="P74" i="35"/>
  <c r="N74" i="35"/>
  <c r="M74" i="35"/>
  <c r="L74" i="35"/>
  <c r="U73" i="35"/>
  <c r="S73" i="35"/>
  <c r="R73" i="35"/>
  <c r="Q73" i="35"/>
  <c r="P73" i="35"/>
  <c r="N73" i="35"/>
  <c r="M73" i="35"/>
  <c r="L73" i="35"/>
  <c r="S72" i="35"/>
  <c r="R72" i="35"/>
  <c r="Q72" i="35"/>
  <c r="P72" i="35"/>
  <c r="N72" i="35"/>
  <c r="M72" i="35"/>
  <c r="L72" i="35"/>
  <c r="S71" i="35"/>
  <c r="R71" i="35"/>
  <c r="Q71" i="35"/>
  <c r="P71" i="35"/>
  <c r="N71" i="35"/>
  <c r="M71" i="35"/>
  <c r="L71" i="35"/>
  <c r="S70" i="35"/>
  <c r="R70" i="35"/>
  <c r="Q70" i="35"/>
  <c r="P70" i="35"/>
  <c r="N70" i="35"/>
  <c r="M70" i="35"/>
  <c r="L70" i="35"/>
  <c r="U69" i="35"/>
  <c r="T69" i="35"/>
  <c r="S69" i="35"/>
  <c r="R69" i="35"/>
  <c r="Q69" i="35"/>
  <c r="P69" i="35"/>
  <c r="O69" i="35"/>
  <c r="N69" i="35"/>
  <c r="M69" i="35"/>
  <c r="L69" i="35"/>
  <c r="S68" i="35"/>
  <c r="R68" i="35"/>
  <c r="Q68" i="35"/>
  <c r="P68" i="35"/>
  <c r="N68" i="35"/>
  <c r="M68" i="35"/>
  <c r="L68" i="35"/>
  <c r="S67" i="35"/>
  <c r="R67" i="35"/>
  <c r="Q67" i="35"/>
  <c r="P67" i="35"/>
  <c r="N67" i="35"/>
  <c r="M67" i="35"/>
  <c r="L67" i="35"/>
  <c r="S66" i="35"/>
  <c r="R66" i="35"/>
  <c r="Q66" i="35"/>
  <c r="P66" i="35"/>
  <c r="N66" i="35"/>
  <c r="M66" i="35"/>
  <c r="L66" i="35"/>
  <c r="S65" i="35"/>
  <c r="R65" i="35"/>
  <c r="Q65" i="35"/>
  <c r="P65" i="35"/>
  <c r="N65" i="35"/>
  <c r="M65" i="35"/>
  <c r="L65" i="35"/>
  <c r="S64" i="35"/>
  <c r="S82" i="35" s="1"/>
  <c r="R64" i="35"/>
  <c r="Q64" i="35"/>
  <c r="P64" i="35"/>
  <c r="O64" i="35"/>
  <c r="N64" i="35"/>
  <c r="M64" i="35"/>
  <c r="L64" i="35"/>
  <c r="I64" i="35"/>
  <c r="S63" i="35"/>
  <c r="R63" i="35"/>
  <c r="Q63" i="35"/>
  <c r="P63" i="35"/>
  <c r="N63" i="35"/>
  <c r="M63" i="35"/>
  <c r="L63" i="35"/>
  <c r="S62" i="35"/>
  <c r="R62" i="35"/>
  <c r="Q62" i="35"/>
  <c r="P62" i="35"/>
  <c r="N62" i="35"/>
  <c r="M62" i="35"/>
  <c r="L62" i="35"/>
  <c r="S61" i="35"/>
  <c r="R61" i="35"/>
  <c r="Q61" i="35"/>
  <c r="P61" i="35"/>
  <c r="O61" i="35"/>
  <c r="N61" i="35"/>
  <c r="M61" i="35"/>
  <c r="L61" i="35"/>
  <c r="S60" i="35"/>
  <c r="R60" i="35"/>
  <c r="Q60" i="35"/>
  <c r="P60" i="35"/>
  <c r="N60" i="35"/>
  <c r="M60" i="35"/>
  <c r="L60" i="35"/>
  <c r="S59" i="35"/>
  <c r="R59" i="35"/>
  <c r="Q59" i="35"/>
  <c r="P59" i="35"/>
  <c r="N59" i="35"/>
  <c r="M59" i="35"/>
  <c r="L59" i="35"/>
  <c r="S58" i="35"/>
  <c r="R58" i="35"/>
  <c r="Q58" i="35"/>
  <c r="P58" i="35"/>
  <c r="N58" i="35"/>
  <c r="M58" i="35"/>
  <c r="L58" i="35"/>
  <c r="S57" i="35"/>
  <c r="R57" i="35"/>
  <c r="Q57" i="35"/>
  <c r="P57" i="35"/>
  <c r="N57" i="35"/>
  <c r="M57" i="35"/>
  <c r="L57" i="35"/>
  <c r="S56" i="35"/>
  <c r="R56" i="35"/>
  <c r="Q56" i="35"/>
  <c r="P56" i="35"/>
  <c r="N56" i="35"/>
  <c r="M56" i="35"/>
  <c r="L56" i="35"/>
  <c r="S55" i="35"/>
  <c r="R55" i="35"/>
  <c r="Q55" i="35"/>
  <c r="P55" i="35"/>
  <c r="N55" i="35"/>
  <c r="M55" i="35"/>
  <c r="L55" i="35"/>
  <c r="S54" i="35"/>
  <c r="R54" i="35"/>
  <c r="Q54" i="35"/>
  <c r="P54" i="35"/>
  <c r="N54" i="35"/>
  <c r="M54" i="35"/>
  <c r="L54" i="35"/>
  <c r="S53" i="35"/>
  <c r="R53" i="35"/>
  <c r="Q53" i="35"/>
  <c r="P53" i="35"/>
  <c r="N53" i="35"/>
  <c r="M53" i="35"/>
  <c r="L53" i="35"/>
  <c r="S52" i="35"/>
  <c r="P52" i="35"/>
  <c r="N52" i="35"/>
  <c r="M52" i="35"/>
  <c r="L52" i="35"/>
  <c r="S51" i="35"/>
  <c r="R51" i="35"/>
  <c r="Q51" i="35"/>
  <c r="P51" i="35"/>
  <c r="N51" i="35"/>
  <c r="M51" i="35"/>
  <c r="L51" i="35"/>
  <c r="S50" i="35"/>
  <c r="R50" i="35"/>
  <c r="Q50" i="35"/>
  <c r="P50" i="35"/>
  <c r="N50" i="35"/>
  <c r="M50" i="35"/>
  <c r="L50" i="35"/>
  <c r="I50" i="35"/>
  <c r="S49" i="35"/>
  <c r="P49" i="35"/>
  <c r="N49" i="35"/>
  <c r="M49" i="35"/>
  <c r="L49" i="35"/>
  <c r="S48" i="35"/>
  <c r="R48" i="35"/>
  <c r="Q48" i="35"/>
  <c r="P48" i="35"/>
  <c r="N48" i="35"/>
  <c r="M48" i="35"/>
  <c r="L48" i="35"/>
  <c r="S47" i="35"/>
  <c r="R47" i="35"/>
  <c r="Q47" i="35"/>
  <c r="P47" i="35"/>
  <c r="N47" i="35"/>
  <c r="M47" i="35"/>
  <c r="L47" i="35"/>
  <c r="I47" i="35"/>
  <c r="S46" i="35"/>
  <c r="P46" i="35"/>
  <c r="N46" i="35"/>
  <c r="M46" i="35"/>
  <c r="L46" i="35"/>
  <c r="S45" i="35"/>
  <c r="R45" i="35"/>
  <c r="Q45" i="35"/>
  <c r="P45" i="35"/>
  <c r="O45" i="35"/>
  <c r="N45" i="35"/>
  <c r="M45" i="35"/>
  <c r="L45" i="35"/>
  <c r="S44" i="35"/>
  <c r="R44" i="35"/>
  <c r="Q44" i="35"/>
  <c r="P44" i="35"/>
  <c r="O44" i="35"/>
  <c r="N44" i="35"/>
  <c r="M44" i="35"/>
  <c r="L44" i="35"/>
  <c r="S43" i="35"/>
  <c r="P43" i="35"/>
  <c r="N43" i="35"/>
  <c r="M43" i="35"/>
  <c r="L43" i="35"/>
  <c r="S42" i="35"/>
  <c r="P42" i="35"/>
  <c r="N42" i="35"/>
  <c r="M42" i="35"/>
  <c r="L42" i="35"/>
  <c r="S41" i="35"/>
  <c r="R41" i="35"/>
  <c r="Q41" i="35"/>
  <c r="P41" i="35"/>
  <c r="N41" i="35"/>
  <c r="M41" i="35"/>
  <c r="L41" i="35"/>
  <c r="S40" i="35"/>
  <c r="R40" i="35"/>
  <c r="Q40" i="35"/>
  <c r="P40" i="35"/>
  <c r="N40" i="35"/>
  <c r="M40" i="35"/>
  <c r="L40" i="35"/>
  <c r="S39" i="35"/>
  <c r="R39" i="35"/>
  <c r="Q39" i="35"/>
  <c r="P39" i="35"/>
  <c r="N39" i="35"/>
  <c r="M39" i="35"/>
  <c r="L39" i="35"/>
  <c r="S38" i="35"/>
  <c r="R38" i="35"/>
  <c r="Q38" i="35"/>
  <c r="P38" i="35"/>
  <c r="N38" i="35"/>
  <c r="M38" i="35"/>
  <c r="L38" i="35"/>
  <c r="S37" i="35"/>
  <c r="R37" i="35"/>
  <c r="Q37" i="35"/>
  <c r="P37" i="35"/>
  <c r="N37" i="35"/>
  <c r="M37" i="35"/>
  <c r="L37" i="35"/>
  <c r="S36" i="35"/>
  <c r="R36" i="35"/>
  <c r="Q36" i="35"/>
  <c r="P36" i="35"/>
  <c r="N36" i="35"/>
  <c r="M36" i="35"/>
  <c r="L36" i="35"/>
  <c r="U35" i="35"/>
  <c r="S35" i="35"/>
  <c r="R35" i="35"/>
  <c r="Q35" i="35"/>
  <c r="P35" i="35"/>
  <c r="N35" i="35"/>
  <c r="M35" i="35"/>
  <c r="L35" i="35"/>
  <c r="S34" i="35"/>
  <c r="R34" i="35"/>
  <c r="Q34" i="35"/>
  <c r="P34" i="35"/>
  <c r="N34" i="35"/>
  <c r="M34" i="35"/>
  <c r="L34" i="35"/>
  <c r="S33" i="35"/>
  <c r="N33" i="35"/>
  <c r="M33" i="35"/>
  <c r="L33" i="35"/>
  <c r="N32" i="35"/>
  <c r="M32" i="35"/>
  <c r="L32" i="35"/>
  <c r="S31" i="35"/>
  <c r="R31" i="35"/>
  <c r="Q31" i="35"/>
  <c r="P31" i="35"/>
  <c r="O31" i="35"/>
  <c r="M31" i="35"/>
  <c r="L31" i="35"/>
  <c r="N31" i="35" s="1"/>
  <c r="S30" i="35"/>
  <c r="R30" i="35"/>
  <c r="Q30" i="35"/>
  <c r="P30" i="35"/>
  <c r="N30" i="35"/>
  <c r="M30" i="35"/>
  <c r="L30" i="35"/>
  <c r="N29" i="35"/>
  <c r="S28" i="35"/>
  <c r="R28" i="35"/>
  <c r="Q28" i="35"/>
  <c r="P28" i="35"/>
  <c r="O28" i="35"/>
  <c r="M28" i="35"/>
  <c r="L28" i="35"/>
  <c r="N28" i="35" s="1"/>
  <c r="S27" i="35"/>
  <c r="R27" i="35"/>
  <c r="Q27" i="35"/>
  <c r="P27" i="35"/>
  <c r="N27" i="35"/>
  <c r="M27" i="35"/>
  <c r="L27" i="35"/>
  <c r="S26" i="35"/>
  <c r="R26" i="35"/>
  <c r="Q26" i="35"/>
  <c r="P26" i="35"/>
  <c r="N26" i="35"/>
  <c r="M26" i="35"/>
  <c r="L26" i="35"/>
  <c r="S25" i="35"/>
  <c r="R25" i="35"/>
  <c r="Q25" i="35"/>
  <c r="P25" i="35"/>
  <c r="N25" i="35"/>
  <c r="M25" i="35"/>
  <c r="L25" i="35"/>
  <c r="S24" i="35"/>
  <c r="R24" i="35"/>
  <c r="Q24" i="35"/>
  <c r="P24" i="35"/>
  <c r="N24" i="35"/>
  <c r="M24" i="35"/>
  <c r="L24" i="35"/>
  <c r="S23" i="35"/>
  <c r="R23" i="35"/>
  <c r="Q23" i="35"/>
  <c r="P23" i="35"/>
  <c r="N23" i="35"/>
  <c r="M23" i="35"/>
  <c r="L23" i="35"/>
  <c r="S22" i="35"/>
  <c r="R22" i="35"/>
  <c r="Q22" i="35"/>
  <c r="P22" i="35"/>
  <c r="N22" i="35"/>
  <c r="M22" i="35"/>
  <c r="L22" i="35"/>
  <c r="S21" i="35"/>
  <c r="R21" i="35"/>
  <c r="Q21" i="35"/>
  <c r="P21" i="35"/>
  <c r="N21" i="35"/>
  <c r="M21" i="35"/>
  <c r="L21" i="35"/>
  <c r="S20" i="35"/>
  <c r="R20" i="35"/>
  <c r="Q20" i="35"/>
  <c r="P20" i="35"/>
  <c r="N20" i="35"/>
  <c r="M20" i="35"/>
  <c r="L20" i="35"/>
  <c r="S19" i="35"/>
  <c r="R19" i="35"/>
  <c r="Q19" i="35"/>
  <c r="P19" i="35"/>
  <c r="N19" i="35"/>
  <c r="M19" i="35"/>
  <c r="L19" i="35"/>
  <c r="S18" i="35"/>
  <c r="R18" i="35"/>
  <c r="Q18" i="35"/>
  <c r="P18" i="35"/>
  <c r="N18" i="35"/>
  <c r="M18" i="35"/>
  <c r="L18" i="35"/>
  <c r="S17" i="35"/>
  <c r="R17" i="35"/>
  <c r="Q17" i="35"/>
  <c r="P17" i="35"/>
  <c r="N17" i="35"/>
  <c r="M17" i="35"/>
  <c r="L17" i="35"/>
  <c r="S16" i="35"/>
  <c r="R16" i="35"/>
  <c r="Q16" i="35"/>
  <c r="P16" i="35"/>
  <c r="N16" i="35"/>
  <c r="M16" i="35"/>
  <c r="L16" i="35"/>
  <c r="S15" i="35"/>
  <c r="R15" i="35"/>
  <c r="Q15" i="35"/>
  <c r="P15" i="35"/>
  <c r="N15" i="35"/>
  <c r="M15" i="35"/>
  <c r="L15" i="35"/>
  <c r="S14" i="35"/>
  <c r="R14" i="35"/>
  <c r="Q14" i="35"/>
  <c r="P14" i="35"/>
  <c r="N14" i="35"/>
  <c r="M14" i="35"/>
  <c r="L14" i="35"/>
  <c r="S13" i="35"/>
  <c r="R13" i="35"/>
  <c r="Q13" i="35"/>
  <c r="P13" i="35"/>
  <c r="N13" i="35"/>
  <c r="M13" i="35"/>
  <c r="L13" i="35"/>
  <c r="S12" i="35"/>
  <c r="R12" i="35"/>
  <c r="Q12" i="35"/>
  <c r="P12" i="35"/>
  <c r="N12" i="35"/>
  <c r="M12" i="35"/>
  <c r="L12" i="35"/>
  <c r="U11" i="35"/>
  <c r="T11" i="35"/>
  <c r="S11" i="35"/>
  <c r="R11" i="35"/>
  <c r="Q11" i="35"/>
  <c r="P11" i="35"/>
  <c r="N11" i="35"/>
  <c r="M11" i="35"/>
  <c r="L11" i="35"/>
  <c r="S10" i="35"/>
  <c r="R10" i="35"/>
  <c r="Q10" i="35"/>
  <c r="P10" i="35"/>
  <c r="N10" i="35"/>
  <c r="M10" i="35"/>
  <c r="L10" i="35"/>
  <c r="S9" i="35"/>
  <c r="R9" i="35"/>
  <c r="Q9" i="35"/>
  <c r="P9" i="35"/>
  <c r="N9" i="35"/>
  <c r="M9" i="35"/>
  <c r="L9" i="35"/>
  <c r="S8" i="35"/>
  <c r="R8" i="35"/>
  <c r="Q8" i="35"/>
  <c r="P8" i="35"/>
  <c r="N8" i="35"/>
  <c r="M8" i="35"/>
  <c r="L8" i="35"/>
  <c r="S7" i="35"/>
  <c r="R7" i="35"/>
  <c r="Q7" i="35"/>
  <c r="P7" i="35"/>
  <c r="N7" i="35"/>
  <c r="M7" i="35"/>
  <c r="L7" i="35"/>
  <c r="V5" i="35"/>
  <c r="W4" i="35"/>
  <c r="V4" i="35"/>
  <c r="X40" i="34"/>
  <c r="X39" i="34"/>
  <c r="H34" i="34"/>
  <c r="X33" i="34"/>
  <c r="P32" i="34"/>
  <c r="P34" i="34" s="1"/>
  <c r="D32" i="34"/>
  <c r="J27" i="34"/>
  <c r="AA26" i="34"/>
  <c r="Z26" i="34"/>
  <c r="T26" i="34"/>
  <c r="U26" i="34" s="1"/>
  <c r="AA25" i="34"/>
  <c r="N17" i="34" s="1"/>
  <c r="Z25" i="34"/>
  <c r="T25" i="34"/>
  <c r="U25" i="34" s="1"/>
  <c r="S17" i="34" s="1"/>
  <c r="J23" i="34"/>
  <c r="J24" i="34"/>
  <c r="L17" i="34"/>
  <c r="P15" i="34"/>
  <c r="S14" i="34" s="1"/>
  <c r="I15" i="34"/>
  <c r="O14" i="34"/>
  <c r="N11" i="34"/>
  <c r="O10" i="34" s="1"/>
  <c r="F10" i="34"/>
  <c r="K10" i="34" s="1"/>
  <c r="Z7" i="34"/>
  <c r="D7" i="34"/>
  <c r="V5" i="34"/>
  <c r="O5" i="34"/>
  <c r="E43" i="33"/>
  <c r="D43" i="33"/>
  <c r="E42" i="33"/>
  <c r="D42" i="33"/>
  <c r="E41" i="33"/>
  <c r="D41" i="33"/>
  <c r="E40" i="33"/>
  <c r="E39" i="33"/>
  <c r="D39" i="33"/>
  <c r="D40" i="33" s="1"/>
  <c r="E38" i="33"/>
  <c r="D38" i="33"/>
  <c r="E37" i="33"/>
  <c r="D37" i="33"/>
  <c r="E36" i="33"/>
  <c r="D36" i="33"/>
  <c r="E33" i="33"/>
  <c r="D33" i="33"/>
  <c r="E32" i="33"/>
  <c r="D32" i="33"/>
  <c r="E31" i="33"/>
  <c r="D31" i="33"/>
  <c r="E30" i="33"/>
  <c r="D30" i="33"/>
  <c r="E29" i="33"/>
  <c r="H23" i="33"/>
  <c r="G23" i="33"/>
  <c r="E23" i="33"/>
  <c r="D23" i="33"/>
  <c r="C23" i="33"/>
  <c r="H22" i="33"/>
  <c r="I22" i="33" s="1"/>
  <c r="F22" i="33"/>
  <c r="E22" i="33"/>
  <c r="H21" i="33"/>
  <c r="I21" i="33" s="1"/>
  <c r="F21" i="33"/>
  <c r="E21" i="33"/>
  <c r="H20" i="33"/>
  <c r="I20" i="33" s="1"/>
  <c r="F20" i="33"/>
  <c r="E20" i="33"/>
  <c r="H19" i="33"/>
  <c r="I19" i="33" s="1"/>
  <c r="F19" i="33"/>
  <c r="E19" i="33"/>
  <c r="H18" i="33"/>
  <c r="I18" i="33" s="1"/>
  <c r="F18" i="33"/>
  <c r="E18" i="33"/>
  <c r="H17" i="33"/>
  <c r="I17" i="33" s="1"/>
  <c r="F17" i="33"/>
  <c r="E17" i="33"/>
  <c r="H16" i="33"/>
  <c r="I16" i="33" s="1"/>
  <c r="F16" i="33"/>
  <c r="F23" i="33" s="1"/>
  <c r="E16" i="33"/>
  <c r="G11" i="33"/>
  <c r="C11" i="33"/>
  <c r="G10" i="33"/>
  <c r="G9" i="33"/>
  <c r="G8" i="33"/>
  <c r="G4" i="33"/>
  <c r="D4" i="33"/>
  <c r="F4" i="33" s="1"/>
  <c r="E15" i="12"/>
  <c r="X41" i="34" l="1"/>
  <c r="T15" i="34"/>
  <c r="W14" i="34" s="1"/>
  <c r="S175" i="35"/>
  <c r="R175" i="35"/>
  <c r="N175" i="35"/>
  <c r="P11" i="34"/>
  <c r="Q10" i="34" s="1"/>
  <c r="R11" i="34"/>
  <c r="Q17" i="34"/>
  <c r="V17" i="34" s="1"/>
  <c r="Y17" i="34" s="1"/>
  <c r="D34" i="34"/>
  <c r="D60" i="27"/>
  <c r="C69" i="27"/>
  <c r="D61" i="27"/>
  <c r="C52" i="27"/>
  <c r="AE7" i="30"/>
  <c r="AF7" i="30" s="1"/>
  <c r="AE8" i="30"/>
  <c r="AF8" i="30" s="1"/>
  <c r="AE9" i="30"/>
  <c r="AF9" i="30" s="1"/>
  <c r="AE10" i="30"/>
  <c r="AF10" i="30" s="1"/>
  <c r="AE11" i="30"/>
  <c r="AF11" i="30" s="1"/>
  <c r="AE12" i="30"/>
  <c r="AF12" i="30" s="1"/>
  <c r="AE13" i="30"/>
  <c r="AF13" i="30" s="1"/>
  <c r="AE14" i="30"/>
  <c r="AF14" i="30"/>
  <c r="AE15" i="30"/>
  <c r="AF15" i="30" s="1"/>
  <c r="AE16" i="30"/>
  <c r="AF16" i="30" s="1"/>
  <c r="AE17" i="30"/>
  <c r="AF17" i="30" s="1"/>
  <c r="AE18" i="30"/>
  <c r="AF18" i="30" s="1"/>
  <c r="AE19" i="30"/>
  <c r="AF19" i="30" s="1"/>
  <c r="AE20" i="30"/>
  <c r="AF20" i="30" s="1"/>
  <c r="AE21" i="30"/>
  <c r="AF21" i="30" s="1"/>
  <c r="AE22" i="30"/>
  <c r="AF22" i="30" s="1"/>
  <c r="AE23" i="30"/>
  <c r="AF23" i="30" s="1"/>
  <c r="AE24" i="30"/>
  <c r="AF24" i="30" s="1"/>
  <c r="AE25" i="30"/>
  <c r="AF25" i="30" s="1"/>
  <c r="AE26" i="30"/>
  <c r="AF26" i="30" s="1"/>
  <c r="AE27" i="30"/>
  <c r="AF27" i="30" s="1"/>
  <c r="AE28" i="30"/>
  <c r="AF28" i="30" s="1"/>
  <c r="AE29" i="30"/>
  <c r="AF29" i="30" s="1"/>
  <c r="AE30" i="30"/>
  <c r="AF30" i="30" s="1"/>
  <c r="AE31" i="30"/>
  <c r="AF31" i="30" s="1"/>
  <c r="AE32" i="30"/>
  <c r="AF32" i="30" s="1"/>
  <c r="AE33" i="30"/>
  <c r="AF33" i="30" s="1"/>
  <c r="AE34" i="30"/>
  <c r="AF34" i="30" s="1"/>
  <c r="AE35" i="30"/>
  <c r="AF35" i="30" s="1"/>
  <c r="AE36" i="30"/>
  <c r="AF36" i="30" s="1"/>
  <c r="AE37" i="30"/>
  <c r="AF37" i="30" s="1"/>
  <c r="AE38" i="30"/>
  <c r="AF38" i="30" s="1"/>
  <c r="AE39" i="30"/>
  <c r="AF39" i="30" s="1"/>
  <c r="AE40" i="30"/>
  <c r="AF40" i="30" s="1"/>
  <c r="AE41" i="30"/>
  <c r="AF41" i="30" s="1"/>
  <c r="AE42" i="30"/>
  <c r="AF42" i="30" s="1"/>
  <c r="AE44" i="30"/>
  <c r="AF44" i="30" s="1"/>
  <c r="AE45" i="30"/>
  <c r="AF45" i="30" s="1"/>
  <c r="AE46" i="30"/>
  <c r="AF46" i="30" s="1"/>
  <c r="AE47" i="30"/>
  <c r="AF47" i="30" s="1"/>
  <c r="AE48" i="30"/>
  <c r="AF48" i="30" s="1"/>
  <c r="AE49" i="30"/>
  <c r="AF49" i="30" s="1"/>
  <c r="AE50" i="30"/>
  <c r="AF50" i="30" s="1"/>
  <c r="AE51" i="30"/>
  <c r="AF51" i="30" s="1"/>
  <c r="AE52" i="30"/>
  <c r="AF52" i="30" s="1"/>
  <c r="AE53" i="30"/>
  <c r="AF53" i="30" s="1"/>
  <c r="AE54" i="30"/>
  <c r="AF54" i="30" s="1"/>
  <c r="W18" i="34" l="1"/>
  <c r="X15" i="34"/>
  <c r="F21" i="13"/>
  <c r="F19" i="13"/>
  <c r="F11" i="13"/>
  <c r="D11" i="13"/>
  <c r="AA14" i="34" l="1"/>
  <c r="U11" i="34"/>
  <c r="X11" i="34" s="1"/>
  <c r="G10" i="27"/>
  <c r="E31" i="5" l="1"/>
  <c r="F202" i="2"/>
  <c r="F199" i="2"/>
  <c r="F309" i="2"/>
  <c r="F310" i="2"/>
  <c r="F308" i="2"/>
  <c r="F312" i="2"/>
  <c r="F313" i="2"/>
  <c r="F311" i="2"/>
  <c r="L202" i="2"/>
  <c r="J202" i="2"/>
  <c r="I202" i="2"/>
  <c r="G202" i="2"/>
  <c r="J199" i="2"/>
  <c r="I199" i="2"/>
  <c r="L394" i="2"/>
  <c r="L395" i="2"/>
  <c r="L396" i="2"/>
  <c r="L397" i="2"/>
  <c r="L398" i="2"/>
  <c r="L393" i="2"/>
  <c r="K394" i="2"/>
  <c r="K395" i="2"/>
  <c r="K396" i="2"/>
  <c r="K397" i="2"/>
  <c r="K398" i="2"/>
  <c r="K393" i="2"/>
  <c r="J394" i="2"/>
  <c r="J395" i="2"/>
  <c r="J396" i="2"/>
  <c r="J397" i="2"/>
  <c r="J398" i="2"/>
  <c r="J393" i="2"/>
  <c r="I394" i="2"/>
  <c r="I395" i="2"/>
  <c r="I396" i="2"/>
  <c r="I397" i="2"/>
  <c r="I398" i="2"/>
  <c r="I393" i="2"/>
  <c r="H396" i="2"/>
  <c r="H397" i="2"/>
  <c r="H398" i="2"/>
  <c r="H394" i="2"/>
  <c r="H395" i="2"/>
  <c r="H393" i="2"/>
  <c r="G394" i="2"/>
  <c r="G395" i="2"/>
  <c r="G396" i="2"/>
  <c r="G397" i="2"/>
  <c r="G398" i="2"/>
  <c r="G393" i="2"/>
  <c r="F394" i="2"/>
  <c r="F395" i="2"/>
  <c r="F396" i="2"/>
  <c r="F397" i="2"/>
  <c r="F398" i="2"/>
  <c r="F393" i="2"/>
  <c r="L199" i="2" l="1"/>
  <c r="K202" i="2" l="1"/>
  <c r="K199" i="2"/>
  <c r="H202" i="2" l="1"/>
  <c r="H199" i="2"/>
  <c r="G199" i="2" l="1"/>
  <c r="BH133" i="5" l="1"/>
  <c r="S31" i="5"/>
  <c r="S32" i="5" s="1"/>
  <c r="S27" i="5"/>
  <c r="S22" i="5"/>
  <c r="S23" i="5"/>
  <c r="S21" i="5"/>
  <c r="S18" i="5"/>
  <c r="S17" i="5"/>
  <c r="S9" i="5"/>
  <c r="S10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G269" i="2" l="1"/>
  <c r="H269" i="2"/>
  <c r="I269" i="2"/>
  <c r="J269" i="2"/>
  <c r="K269" i="2"/>
  <c r="E9" i="5" l="1"/>
  <c r="S70" i="5"/>
  <c r="E84" i="5"/>
  <c r="E83" i="5"/>
  <c r="F387" i="2" l="1"/>
  <c r="I311" i="2"/>
  <c r="D21" i="13"/>
  <c r="F12" i="13"/>
  <c r="F10" i="13"/>
  <c r="E13" i="12"/>
  <c r="E10" i="12"/>
  <c r="E11" i="12"/>
  <c r="E8" i="5"/>
  <c r="S120" i="5"/>
  <c r="S119" i="5"/>
  <c r="S114" i="5"/>
  <c r="S112" i="5"/>
  <c r="S96" i="5"/>
  <c r="S83" i="5"/>
  <c r="S84" i="5"/>
  <c r="S85" i="5"/>
  <c r="S82" i="5"/>
  <c r="S8" i="5"/>
  <c r="S13" i="5"/>
  <c r="S62" i="5"/>
  <c r="S63" i="5"/>
  <c r="S61" i="5"/>
  <c r="S67" i="5"/>
  <c r="S68" i="5"/>
  <c r="S66" i="5"/>
  <c r="S133" i="5" l="1"/>
  <c r="S134" i="5"/>
  <c r="S135" i="5"/>
  <c r="S136" i="5"/>
  <c r="S137" i="5"/>
  <c r="S138" i="5"/>
  <c r="S139" i="5"/>
  <c r="S140" i="5"/>
  <c r="S141" i="5"/>
  <c r="S75" i="5"/>
  <c r="S34" i="5"/>
  <c r="F293" i="2"/>
  <c r="I387" i="2"/>
  <c r="I302" i="2"/>
  <c r="F275" i="2"/>
  <c r="F198" i="2"/>
  <c r="F197" i="2"/>
  <c r="F194" i="2"/>
  <c r="F195" i="2"/>
  <c r="I191" i="2"/>
  <c r="I192" i="2"/>
  <c r="I194" i="2"/>
  <c r="I195" i="2"/>
  <c r="I197" i="2"/>
  <c r="I198" i="2"/>
  <c r="I200" i="2"/>
  <c r="I201" i="2"/>
  <c r="I203" i="2"/>
  <c r="I204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130" i="2"/>
  <c r="I131" i="2"/>
  <c r="I132" i="2"/>
  <c r="I133" i="2"/>
  <c r="I142" i="2"/>
  <c r="I143" i="2"/>
  <c r="I146" i="2"/>
  <c r="I149" i="2"/>
  <c r="I151" i="2"/>
  <c r="I152" i="2"/>
  <c r="I156" i="2"/>
  <c r="I157" i="2"/>
  <c r="I158" i="2"/>
  <c r="I160" i="2"/>
  <c r="I161" i="2"/>
  <c r="I163" i="2"/>
  <c r="I164" i="2"/>
  <c r="I166" i="2"/>
  <c r="I167" i="2"/>
  <c r="I169" i="2"/>
  <c r="I170" i="2"/>
  <c r="I171" i="2"/>
  <c r="I172" i="2"/>
  <c r="I173" i="2"/>
  <c r="I176" i="2"/>
  <c r="I178" i="2"/>
  <c r="I179" i="2"/>
  <c r="I181" i="2"/>
  <c r="I182" i="2"/>
  <c r="I183" i="2"/>
  <c r="I184" i="2"/>
  <c r="I185" i="2"/>
  <c r="I187" i="2"/>
  <c r="I188" i="2"/>
  <c r="I64" i="2"/>
  <c r="I56" i="2"/>
  <c r="I57" i="2"/>
  <c r="I58" i="2"/>
  <c r="I59" i="2"/>
  <c r="I60" i="2"/>
  <c r="I44" i="2"/>
  <c r="I46" i="2"/>
  <c r="I49" i="2"/>
  <c r="I50" i="2"/>
  <c r="I51" i="2"/>
  <c r="I52" i="2"/>
  <c r="I53" i="2"/>
  <c r="I34" i="2"/>
  <c r="I37" i="2"/>
  <c r="I38" i="2"/>
  <c r="I39" i="2"/>
  <c r="I40" i="2"/>
  <c r="I20" i="2"/>
  <c r="I21" i="2"/>
  <c r="I22" i="2"/>
  <c r="I23" i="2"/>
  <c r="I24" i="2"/>
  <c r="I25" i="2"/>
  <c r="I26" i="2"/>
  <c r="I27" i="2"/>
  <c r="I28" i="2"/>
  <c r="I29" i="2"/>
  <c r="I8" i="2"/>
  <c r="I12" i="2"/>
  <c r="I15" i="2"/>
  <c r="I16" i="2"/>
  <c r="S29" i="5" l="1"/>
  <c r="S15" i="5"/>
  <c r="S73" i="5"/>
  <c r="S78" i="5" s="1"/>
  <c r="D37" i="27"/>
  <c r="D27" i="27"/>
  <c r="K11" i="9"/>
  <c r="K12" i="9"/>
  <c r="F13" i="13"/>
  <c r="E105" i="5"/>
  <c r="E106" i="5"/>
  <c r="E101" i="5"/>
  <c r="S25" i="5" l="1"/>
  <c r="S142" i="5"/>
  <c r="E112" i="5"/>
  <c r="F170" i="7" l="1"/>
  <c r="F171" i="7"/>
  <c r="F169" i="7"/>
  <c r="F123" i="7"/>
  <c r="F125" i="7"/>
  <c r="F126" i="7"/>
  <c r="F127" i="7"/>
  <c r="F128" i="7"/>
  <c r="F129" i="7"/>
  <c r="F130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3" i="7"/>
  <c r="F164" i="7"/>
  <c r="F165" i="7"/>
  <c r="F166" i="7"/>
  <c r="F68" i="7"/>
  <c r="F69" i="7"/>
  <c r="F70" i="7"/>
  <c r="F71" i="7"/>
  <c r="F72" i="7"/>
  <c r="F73" i="7"/>
  <c r="F74" i="7"/>
  <c r="F75" i="7"/>
  <c r="F76" i="7"/>
  <c r="F78" i="7"/>
  <c r="F79" i="7"/>
  <c r="F80" i="7"/>
  <c r="F81" i="7"/>
  <c r="F82" i="7"/>
  <c r="F83" i="7"/>
  <c r="F84" i="7"/>
  <c r="F85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8" i="7"/>
  <c r="F111" i="7"/>
  <c r="F112" i="7"/>
  <c r="F113" i="7"/>
  <c r="F115" i="7"/>
  <c r="F116" i="7"/>
  <c r="F117" i="7"/>
  <c r="F118" i="7"/>
  <c r="F65" i="7"/>
  <c r="F43" i="7"/>
  <c r="F45" i="7"/>
  <c r="F46" i="7"/>
  <c r="F47" i="7"/>
  <c r="F48" i="7"/>
  <c r="F49" i="7"/>
  <c r="F50" i="7"/>
  <c r="F51" i="7"/>
  <c r="F52" i="7"/>
  <c r="F53" i="7"/>
  <c r="F54" i="7"/>
  <c r="F55" i="7"/>
  <c r="F29" i="7"/>
  <c r="F30" i="7"/>
  <c r="F31" i="7"/>
  <c r="F32" i="7"/>
  <c r="F33" i="7"/>
  <c r="F34" i="7"/>
  <c r="F35" i="7"/>
  <c r="F36" i="7"/>
  <c r="F37" i="7"/>
  <c r="F28" i="7"/>
  <c r="F25" i="7"/>
  <c r="G25" i="7"/>
  <c r="F21" i="7"/>
  <c r="F22" i="7"/>
  <c r="F10" i="7"/>
  <c r="F13" i="7"/>
  <c r="F14" i="7"/>
  <c r="F16" i="7"/>
  <c r="F18" i="7"/>
  <c r="F9" i="7"/>
  <c r="I167" i="7"/>
  <c r="I168" i="7"/>
  <c r="I169" i="7"/>
  <c r="I170" i="7"/>
  <c r="I171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3" i="7"/>
  <c r="I164" i="7"/>
  <c r="I166" i="7"/>
  <c r="I67" i="7"/>
  <c r="I68" i="7"/>
  <c r="I69" i="7"/>
  <c r="I70" i="7"/>
  <c r="I71" i="7"/>
  <c r="I72" i="7"/>
  <c r="I73" i="7"/>
  <c r="I74" i="7"/>
  <c r="I75" i="7"/>
  <c r="I76" i="7"/>
  <c r="I78" i="7"/>
  <c r="I79" i="7"/>
  <c r="I80" i="7"/>
  <c r="I81" i="7"/>
  <c r="I82" i="7"/>
  <c r="I83" i="7"/>
  <c r="I84" i="7"/>
  <c r="I85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8" i="7"/>
  <c r="I109" i="7"/>
  <c r="I111" i="7"/>
  <c r="I112" i="7"/>
  <c r="I113" i="7"/>
  <c r="I115" i="7"/>
  <c r="I116" i="7"/>
  <c r="I117" i="7"/>
  <c r="I118" i="7"/>
  <c r="I65" i="7"/>
  <c r="I59" i="7"/>
  <c r="I60" i="7"/>
  <c r="F59" i="7"/>
  <c r="F60" i="7"/>
  <c r="F58" i="7"/>
  <c r="I58" i="7"/>
  <c r="I43" i="7"/>
  <c r="I45" i="7"/>
  <c r="I46" i="7"/>
  <c r="I48" i="7"/>
  <c r="I49" i="7"/>
  <c r="I50" i="7"/>
  <c r="I51" i="7"/>
  <c r="I52" i="7"/>
  <c r="I53" i="7"/>
  <c r="I54" i="7"/>
  <c r="I55" i="7"/>
  <c r="I29" i="7"/>
  <c r="I30" i="7"/>
  <c r="I31" i="7"/>
  <c r="I33" i="7"/>
  <c r="I34" i="7"/>
  <c r="I35" i="7"/>
  <c r="I36" i="7"/>
  <c r="I37" i="7"/>
  <c r="I28" i="7"/>
  <c r="I25" i="7"/>
  <c r="I22" i="7"/>
  <c r="I10" i="7"/>
  <c r="I12" i="7"/>
  <c r="I13" i="7"/>
  <c r="I14" i="7"/>
  <c r="I16" i="7"/>
  <c r="I17" i="7"/>
  <c r="I18" i="7"/>
  <c r="I19" i="7"/>
  <c r="I9" i="7"/>
  <c r="F167" i="2" l="1"/>
  <c r="F169" i="2"/>
  <c r="F170" i="2"/>
  <c r="F171" i="2"/>
  <c r="F172" i="2"/>
  <c r="F173" i="2"/>
  <c r="F176" i="2"/>
  <c r="F143" i="2"/>
  <c r="F146" i="2"/>
  <c r="F149" i="2"/>
  <c r="F150" i="2"/>
  <c r="F151" i="2"/>
  <c r="F152" i="2"/>
  <c r="F155" i="2"/>
  <c r="F156" i="2"/>
  <c r="F157" i="2"/>
  <c r="F158" i="2"/>
  <c r="F161" i="2"/>
  <c r="F164" i="2"/>
  <c r="F130" i="2"/>
  <c r="F131" i="2"/>
  <c r="F132" i="2"/>
  <c r="F133" i="2"/>
  <c r="F136" i="2"/>
  <c r="F137" i="2"/>
  <c r="F64" i="2"/>
  <c r="F57" i="2"/>
  <c r="F43" i="2"/>
  <c r="F44" i="2"/>
  <c r="F45" i="2"/>
  <c r="F50" i="2"/>
  <c r="F51" i="2"/>
  <c r="F52" i="2"/>
  <c r="F53" i="2"/>
  <c r="F34" i="2"/>
  <c r="F37" i="2"/>
  <c r="F38" i="2"/>
  <c r="F39" i="2"/>
  <c r="F40" i="2"/>
  <c r="F20" i="2"/>
  <c r="F15" i="2"/>
  <c r="F16" i="2"/>
  <c r="I7" i="7"/>
  <c r="F7" i="7"/>
  <c r="E10" i="5" l="1"/>
  <c r="J308" i="2"/>
  <c r="I308" i="2"/>
  <c r="F269" i="2"/>
  <c r="G133" i="2"/>
  <c r="H133" i="2"/>
  <c r="J133" i="2"/>
  <c r="K133" i="2"/>
  <c r="L133" i="2"/>
  <c r="E63" i="5"/>
  <c r="F18" i="27" l="1"/>
  <c r="L32" i="9" s="1"/>
  <c r="H34" i="27"/>
  <c r="C73" i="27"/>
  <c r="C72" i="27"/>
  <c r="C71" i="27"/>
  <c r="C70" i="27"/>
  <c r="C68" i="27"/>
  <c r="D67" i="27"/>
  <c r="K21" i="9" s="1"/>
  <c r="D65" i="27"/>
  <c r="C65" i="27" s="1"/>
  <c r="C64" i="27" s="1"/>
  <c r="C61" i="27"/>
  <c r="C60" i="27"/>
  <c r="C55" i="27"/>
  <c r="C53" i="27" s="1"/>
  <c r="C54" i="27"/>
  <c r="D53" i="27"/>
  <c r="C46" i="27"/>
  <c r="C39" i="27"/>
  <c r="C38" i="27"/>
  <c r="C36" i="27"/>
  <c r="C35" i="27"/>
  <c r="C34" i="27"/>
  <c r="C33" i="27"/>
  <c r="C32" i="27"/>
  <c r="C31" i="27"/>
  <c r="C30" i="27"/>
  <c r="E16" i="27"/>
  <c r="D16" i="27"/>
  <c r="G23" i="27"/>
  <c r="G4" i="27"/>
  <c r="C37" i="27" l="1"/>
  <c r="C67" i="27"/>
  <c r="C59" i="27"/>
  <c r="D26" i="27"/>
  <c r="C27" i="27"/>
  <c r="D59" i="27"/>
  <c r="K18" i="9" s="1"/>
  <c r="C26" i="27" l="1"/>
  <c r="A1" i="27"/>
  <c r="A19" i="27" s="1"/>
  <c r="A2" i="27"/>
  <c r="A20" i="27" s="1"/>
  <c r="Y2" i="27"/>
  <c r="Y3" i="27"/>
  <c r="U4" i="27"/>
  <c r="Y4" i="27"/>
  <c r="AG4" i="27"/>
  <c r="AL4" i="27" s="1"/>
  <c r="Y5" i="27"/>
  <c r="AG5" i="27"/>
  <c r="AL5" i="27" s="1"/>
  <c r="Y6" i="27"/>
  <c r="AA6" i="27"/>
  <c r="AG6" i="27"/>
  <c r="AL6" i="27" s="1"/>
  <c r="U7" i="27"/>
  <c r="Y7" i="27"/>
  <c r="AG7" i="27"/>
  <c r="AL7" i="27" s="1"/>
  <c r="U8" i="27"/>
  <c r="Y8" i="27"/>
  <c r="AG8" i="27"/>
  <c r="AL8" i="27" s="1"/>
  <c r="U9" i="27"/>
  <c r="Y9" i="27"/>
  <c r="Y10" i="27"/>
  <c r="AG10" i="27"/>
  <c r="AL10" i="27" s="1"/>
  <c r="U11" i="27"/>
  <c r="Y11" i="27"/>
  <c r="AG11" i="27"/>
  <c r="AL11" i="27" s="1"/>
  <c r="U12" i="27"/>
  <c r="Y12" i="27"/>
  <c r="AG12" i="27"/>
  <c r="AI12" i="27" s="1"/>
  <c r="AJ12" i="27" s="1"/>
  <c r="AL12" i="27"/>
  <c r="U14" i="27"/>
  <c r="Y14" i="27"/>
  <c r="AG14" i="27"/>
  <c r="AL14" i="27" s="1"/>
  <c r="H16" i="27"/>
  <c r="I16" i="27"/>
  <c r="J16" i="27"/>
  <c r="O16" i="27"/>
  <c r="U16" i="27"/>
  <c r="Y16" i="27"/>
  <c r="AG16" i="27"/>
  <c r="AL16" i="27" s="1"/>
  <c r="A18" i="27"/>
  <c r="J19" i="27"/>
  <c r="Y19" i="27"/>
  <c r="AJ19" i="27"/>
  <c r="Y20" i="27"/>
  <c r="AJ20" i="27"/>
  <c r="J21" i="27"/>
  <c r="P21" i="27"/>
  <c r="Y21" i="27"/>
  <c r="J22" i="27"/>
  <c r="Y22" i="27"/>
  <c r="AG22" i="27"/>
  <c r="AL22" i="27" s="1"/>
  <c r="J23" i="27"/>
  <c r="U23" i="27"/>
  <c r="Y23" i="27"/>
  <c r="AG23" i="27"/>
  <c r="AI23" i="27" s="1"/>
  <c r="AJ23" i="27" s="1"/>
  <c r="AK23" i="27"/>
  <c r="U24" i="27"/>
  <c r="W24" i="27"/>
  <c r="Y24" i="27" s="1"/>
  <c r="AG24" i="27"/>
  <c r="AL24" i="27" s="1"/>
  <c r="U25" i="27"/>
  <c r="Y25" i="27"/>
  <c r="AG25" i="27"/>
  <c r="AL25" i="27" s="1"/>
  <c r="U26" i="27"/>
  <c r="Y26" i="27"/>
  <c r="AG26" i="27"/>
  <c r="AL26" i="27" s="1"/>
  <c r="U27" i="27"/>
  <c r="Y27" i="27"/>
  <c r="AG27" i="27"/>
  <c r="AL27" i="27" s="1"/>
  <c r="Y28" i="27"/>
  <c r="I29" i="27"/>
  <c r="I30" i="27" s="1"/>
  <c r="Y29" i="27"/>
  <c r="U30" i="27"/>
  <c r="Y30" i="27"/>
  <c r="AG30" i="27"/>
  <c r="AL30" i="27" s="1"/>
  <c r="AJ33" i="27"/>
  <c r="M34" i="27"/>
  <c r="Y35" i="27"/>
  <c r="K26" i="27"/>
  <c r="Y37" i="27"/>
  <c r="Y38" i="27"/>
  <c r="Y39" i="27"/>
  <c r="Y40" i="27"/>
  <c r="Y41" i="27"/>
  <c r="Y42" i="27"/>
  <c r="Y43" i="27"/>
  <c r="Y44" i="27"/>
  <c r="AL47" i="27"/>
  <c r="Y48" i="27"/>
  <c r="I49" i="27"/>
  <c r="Y49" i="27"/>
  <c r="W50" i="27"/>
  <c r="Y50" i="27"/>
  <c r="Y51" i="27"/>
  <c r="AJ51" i="27"/>
  <c r="AO51" i="27" s="1"/>
  <c r="Y52" i="27"/>
  <c r="AJ52" i="27"/>
  <c r="AL52" i="27" s="1"/>
  <c r="AM52" i="27" s="1"/>
  <c r="K53" i="27"/>
  <c r="Y53" i="27"/>
  <c r="AJ53" i="27"/>
  <c r="AL53" i="27" s="1"/>
  <c r="AM53" i="27" s="1"/>
  <c r="Y54" i="27"/>
  <c r="AJ54" i="27"/>
  <c r="AO54" i="27" s="1"/>
  <c r="AJ55" i="27"/>
  <c r="AO55" i="27" s="1"/>
  <c r="AJ56" i="27"/>
  <c r="AO56" i="27" s="1"/>
  <c r="R57" i="27"/>
  <c r="AJ57" i="27"/>
  <c r="AO57" i="27" s="1"/>
  <c r="AJ58" i="27"/>
  <c r="AL58" i="27" s="1"/>
  <c r="AM58" i="27" s="1"/>
  <c r="K59" i="27"/>
  <c r="AJ59" i="27"/>
  <c r="AO59" i="27" s="1"/>
  <c r="AL59" i="27"/>
  <c r="AM59" i="27" s="1"/>
  <c r="AJ60" i="27"/>
  <c r="AO60" i="27" s="1"/>
  <c r="AJ61" i="27"/>
  <c r="AO61" i="27" s="1"/>
  <c r="AJ62" i="27"/>
  <c r="AL62" i="27"/>
  <c r="AM62" i="27" s="1"/>
  <c r="AN62" i="27"/>
  <c r="AJ63" i="27"/>
  <c r="AL63" i="27" s="1"/>
  <c r="AM63" i="27" s="1"/>
  <c r="AM64" i="27"/>
  <c r="L65" i="27"/>
  <c r="AM65" i="27"/>
  <c r="AM66" i="27"/>
  <c r="K67" i="27"/>
  <c r="AM67" i="27"/>
  <c r="AM68" i="27"/>
  <c r="K69" i="27"/>
  <c r="AM69" i="27"/>
  <c r="K71" i="27"/>
  <c r="AM71" i="27"/>
  <c r="AM72" i="27"/>
  <c r="AJ73" i="27"/>
  <c r="AO73" i="27" s="1"/>
  <c r="AJ74" i="27"/>
  <c r="AO74" i="27" s="1"/>
  <c r="AM75" i="27"/>
  <c r="D76" i="27"/>
  <c r="F76" i="27"/>
  <c r="AJ76" i="27"/>
  <c r="AN76" i="27"/>
  <c r="AM78" i="27"/>
  <c r="AJ79" i="27"/>
  <c r="AL79" i="27" s="1"/>
  <c r="AM79" i="27" s="1"/>
  <c r="AN79" i="27"/>
  <c r="C81" i="27"/>
  <c r="J83" i="27"/>
  <c r="G94" i="27"/>
  <c r="F99" i="27"/>
  <c r="G123" i="27"/>
  <c r="D129" i="27"/>
  <c r="E129" i="27" s="1"/>
  <c r="F130" i="27"/>
  <c r="F132" i="27"/>
  <c r="AO76" i="27" l="1"/>
  <c r="AI16" i="27"/>
  <c r="AJ16" i="27" s="1"/>
  <c r="AL54" i="27"/>
  <c r="AM54" i="27" s="1"/>
  <c r="AL51" i="27"/>
  <c r="AM51" i="27" s="1"/>
  <c r="AL23" i="27"/>
  <c r="AL55" i="27"/>
  <c r="AM55" i="27" s="1"/>
  <c r="AO62" i="27"/>
  <c r="U31" i="27"/>
  <c r="Y55" i="27"/>
  <c r="AI26" i="27"/>
  <c r="AJ26" i="27" s="1"/>
  <c r="AI14" i="27"/>
  <c r="AJ14" i="27" s="1"/>
  <c r="AI22" i="27"/>
  <c r="AJ22" i="27" s="1"/>
  <c r="AI30" i="27"/>
  <c r="AJ30" i="27" s="1"/>
  <c r="AI6" i="27"/>
  <c r="AJ6" i="27" s="1"/>
  <c r="Y31" i="27"/>
  <c r="AL46" i="27"/>
  <c r="AM46" i="27" s="1"/>
  <c r="AL76" i="27"/>
  <c r="AM76" i="27" s="1"/>
  <c r="AL73" i="27"/>
  <c r="AM73" i="27" s="1"/>
  <c r="AO63" i="27"/>
  <c r="AL61" i="27"/>
  <c r="AM61" i="27" s="1"/>
  <c r="AO58" i="27"/>
  <c r="AL57" i="27"/>
  <c r="AM57" i="27" s="1"/>
  <c r="AO53" i="27"/>
  <c r="AO52" i="27"/>
  <c r="AI25" i="27"/>
  <c r="AJ25" i="27" s="1"/>
  <c r="AI24" i="27"/>
  <c r="AJ24" i="27" s="1"/>
  <c r="AI10" i="27"/>
  <c r="AJ10" i="27" s="1"/>
  <c r="AI7" i="27"/>
  <c r="AJ7" i="27" s="1"/>
  <c r="AO79" i="27"/>
  <c r="AL74" i="27"/>
  <c r="AM74" i="27" s="1"/>
  <c r="AL56" i="27"/>
  <c r="AM56" i="27" s="1"/>
  <c r="AI27" i="27"/>
  <c r="AJ27" i="27" s="1"/>
  <c r="AI11" i="27"/>
  <c r="AJ11" i="27" s="1"/>
  <c r="AI8" i="27"/>
  <c r="AJ8" i="27" s="1"/>
  <c r="AI5" i="27"/>
  <c r="AJ5" i="27" s="1"/>
  <c r="AL60" i="27"/>
  <c r="AM60" i="27" s="1"/>
  <c r="AI4" i="27"/>
  <c r="AM80" i="27" l="1"/>
  <c r="AO80" i="27"/>
  <c r="AP80" i="27" s="1"/>
  <c r="AJ4" i="27"/>
  <c r="AJ46" i="27" s="1"/>
  <c r="AI46" i="27"/>
  <c r="G11" i="8" l="1"/>
  <c r="D59" i="8" l="1"/>
  <c r="D66" i="8"/>
  <c r="C72" i="8"/>
  <c r="D26" i="8"/>
  <c r="C35" i="8"/>
  <c r="T12" i="5" l="1"/>
  <c r="T14" i="5"/>
  <c r="T16" i="5"/>
  <c r="T20" i="5"/>
  <c r="T26" i="5"/>
  <c r="E24" i="5" l="1"/>
  <c r="T9" i="5"/>
  <c r="T8" i="5"/>
  <c r="C70" i="8"/>
  <c r="T11" i="5" l="1"/>
  <c r="D10" i="12" l="1"/>
  <c r="E13" i="5" l="1"/>
  <c r="T13" i="5" s="1"/>
  <c r="T15" i="5" s="1"/>
  <c r="J106" i="5"/>
  <c r="J105" i="5"/>
  <c r="G161" i="2"/>
  <c r="H161" i="2"/>
  <c r="J161" i="2"/>
  <c r="L161" i="2"/>
  <c r="G164" i="2"/>
  <c r="H164" i="2"/>
  <c r="J164" i="2"/>
  <c r="K164" i="2"/>
  <c r="L164" i="2"/>
  <c r="M164" i="2" l="1"/>
  <c r="H106" i="5" s="1"/>
  <c r="M106" i="5" s="1"/>
  <c r="K35" i="10" l="1"/>
  <c r="L34" i="12" s="1"/>
  <c r="I41" i="13" s="1"/>
  <c r="C32" i="9"/>
  <c r="B35" i="10" s="1"/>
  <c r="B34" i="12" s="1"/>
  <c r="H64" i="5" l="1"/>
  <c r="M64" i="5" s="1"/>
  <c r="G64" i="5"/>
  <c r="L64" i="5" s="1"/>
  <c r="E64" i="5"/>
  <c r="J64" i="5" s="1"/>
  <c r="I62" i="5"/>
  <c r="D64" i="5"/>
  <c r="C64" i="5"/>
  <c r="B64" i="5"/>
  <c r="P64" i="5" l="1"/>
  <c r="A17" i="8" l="1"/>
  <c r="E61" i="5" l="1"/>
  <c r="E142" i="5" l="1"/>
  <c r="S24" i="5" l="1"/>
  <c r="I24" i="5"/>
  <c r="D12" i="7" l="1"/>
  <c r="L11" i="7" l="1"/>
  <c r="C34" i="8" l="1"/>
  <c r="I48" i="8"/>
  <c r="C37" i="8"/>
  <c r="C32" i="8"/>
  <c r="C29" i="8"/>
  <c r="G128" i="5" l="1"/>
  <c r="B41" i="13"/>
  <c r="E34" i="5" l="1"/>
  <c r="E27" i="5"/>
  <c r="C69" i="8" l="1"/>
  <c r="J104" i="5" l="1"/>
  <c r="J24" i="5"/>
  <c r="E23" i="5"/>
  <c r="L293" i="2"/>
  <c r="G157" i="2"/>
  <c r="F71" i="2"/>
  <c r="F70" i="2"/>
  <c r="F69" i="2"/>
  <c r="F74" i="2"/>
  <c r="F73" i="2"/>
  <c r="F72" i="2"/>
  <c r="K53" i="2"/>
  <c r="G53" i="2" l="1"/>
  <c r="H157" i="2" l="1"/>
  <c r="H156" i="2"/>
  <c r="I27" i="5" l="1"/>
  <c r="I29" i="5" s="1"/>
  <c r="E113" i="5"/>
  <c r="E110" i="5"/>
  <c r="E107" i="5"/>
  <c r="E108" i="5"/>
  <c r="E103" i="5"/>
  <c r="E100" i="5"/>
  <c r="E98" i="5"/>
  <c r="E97" i="5"/>
  <c r="E96" i="5"/>
  <c r="E82" i="5"/>
  <c r="E73" i="5"/>
  <c r="I66" i="5"/>
  <c r="E68" i="5"/>
  <c r="E67" i="5"/>
  <c r="E66" i="5"/>
  <c r="E62" i="5"/>
  <c r="E29" i="5"/>
  <c r="E17" i="5"/>
  <c r="T17" i="5" s="1"/>
  <c r="E18" i="5"/>
  <c r="T18" i="5" s="1"/>
  <c r="E21" i="5"/>
  <c r="T21" i="5" s="1"/>
  <c r="E22" i="5"/>
  <c r="T22" i="5" s="1"/>
  <c r="T25" i="5" l="1"/>
  <c r="E111" i="5"/>
  <c r="T19" i="5"/>
  <c r="S50" i="5"/>
  <c r="G20" i="10" s="1"/>
  <c r="J125" i="5" l="1"/>
  <c r="J126" i="5"/>
  <c r="J127" i="5"/>
  <c r="C71" i="8" l="1"/>
  <c r="C38" i="8"/>
  <c r="D96" i="5" l="1"/>
  <c r="J20" i="8"/>
  <c r="D10" i="5" l="1"/>
  <c r="D73" i="5"/>
  <c r="C73" i="5"/>
  <c r="D62" i="5"/>
  <c r="C62" i="5"/>
  <c r="B62" i="5"/>
  <c r="C22" i="5"/>
  <c r="C21" i="5"/>
  <c r="D21" i="5"/>
  <c r="J18" i="1"/>
  <c r="J17" i="1"/>
  <c r="J16" i="1"/>
  <c r="J15" i="1"/>
  <c r="K204" i="2" l="1"/>
  <c r="J204" i="2"/>
  <c r="F204" i="2"/>
  <c r="K203" i="2"/>
  <c r="J203" i="2"/>
  <c r="H203" i="2"/>
  <c r="F203" i="2"/>
  <c r="K207" i="2"/>
  <c r="J207" i="2"/>
  <c r="H207" i="2"/>
  <c r="K206" i="2"/>
  <c r="J206" i="2"/>
  <c r="H206" i="2"/>
  <c r="F207" i="2"/>
  <c r="F206" i="2"/>
  <c r="L198" i="2"/>
  <c r="K198" i="2"/>
  <c r="J198" i="2"/>
  <c r="H198" i="2"/>
  <c r="G198" i="2"/>
  <c r="L197" i="2"/>
  <c r="J197" i="2"/>
  <c r="H197" i="2"/>
  <c r="L207" i="2" l="1"/>
  <c r="L206" i="2"/>
  <c r="L204" i="2"/>
  <c r="L203" i="2" l="1"/>
  <c r="T103" i="5" l="1"/>
  <c r="J103" i="5"/>
  <c r="T68" i="5"/>
  <c r="L201" i="2"/>
  <c r="K201" i="2"/>
  <c r="J201" i="2"/>
  <c r="F201" i="2"/>
  <c r="L200" i="2"/>
  <c r="K200" i="2"/>
  <c r="J200" i="2"/>
  <c r="H200" i="2"/>
  <c r="F200" i="2"/>
  <c r="I67" i="5"/>
  <c r="I68" i="5"/>
  <c r="J68" i="5" s="1"/>
  <c r="E69" i="5"/>
  <c r="K50" i="2"/>
  <c r="D22" i="5"/>
  <c r="C23" i="5"/>
  <c r="D23" i="5"/>
  <c r="I23" i="5"/>
  <c r="J23" i="5" s="1"/>
  <c r="I10" i="5"/>
  <c r="J10" i="5" s="1"/>
  <c r="C10" i="5"/>
  <c r="L194" i="2"/>
  <c r="J194" i="2"/>
  <c r="M198" i="2" l="1"/>
  <c r="H68" i="5" l="1"/>
  <c r="M68" i="5" s="1"/>
  <c r="G122" i="8"/>
  <c r="T27" i="5"/>
  <c r="T28" i="5"/>
  <c r="T29" i="5"/>
  <c r="T30" i="5"/>
  <c r="T33" i="5"/>
  <c r="T35" i="5"/>
  <c r="T36" i="5"/>
  <c r="T37" i="5"/>
  <c r="T38" i="5"/>
  <c r="T39" i="5"/>
  <c r="T40" i="5"/>
  <c r="T41" i="5"/>
  <c r="T42" i="5"/>
  <c r="T43" i="5"/>
  <c r="T44" i="5"/>
  <c r="T45" i="5"/>
  <c r="T46" i="5"/>
  <c r="T49" i="5"/>
  <c r="T50" i="5"/>
  <c r="T51" i="5"/>
  <c r="T52" i="5"/>
  <c r="T53" i="5"/>
  <c r="T54" i="5"/>
  <c r="T55" i="5"/>
  <c r="T57" i="5"/>
  <c r="T58" i="5"/>
  <c r="T60" i="5"/>
  <c r="T63" i="5"/>
  <c r="T70" i="5"/>
  <c r="T71" i="5" s="1"/>
  <c r="T72" i="5"/>
  <c r="T74" i="5"/>
  <c r="T75" i="5"/>
  <c r="T76" i="5"/>
  <c r="T77" i="5"/>
  <c r="T79" i="5"/>
  <c r="T80" i="5"/>
  <c r="T81" i="5"/>
  <c r="T82" i="5"/>
  <c r="T83" i="5"/>
  <c r="T84" i="5"/>
  <c r="T85" i="5"/>
  <c r="T87" i="5"/>
  <c r="T88" i="5"/>
  <c r="T89" i="5"/>
  <c r="T90" i="5"/>
  <c r="T91" i="5"/>
  <c r="T92" i="5"/>
  <c r="T95" i="5"/>
  <c r="T101" i="5"/>
  <c r="T107" i="5"/>
  <c r="T108" i="5"/>
  <c r="T109" i="5"/>
  <c r="T113" i="5"/>
  <c r="T114" i="5"/>
  <c r="T116" i="5"/>
  <c r="T117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 l="1"/>
  <c r="T86" i="5"/>
  <c r="T62" i="5"/>
  <c r="T67" i="5"/>
  <c r="T112" i="5"/>
  <c r="T115" i="5" s="1"/>
  <c r="T96" i="5"/>
  <c r="T102" i="5" l="1"/>
  <c r="T98" i="5"/>
  <c r="T97" i="5"/>
  <c r="T34" i="5"/>
  <c r="T31" i="5"/>
  <c r="T32" i="5" s="1"/>
  <c r="T100" i="5"/>
  <c r="T99" i="5"/>
  <c r="E25" i="5" l="1"/>
  <c r="E11" i="5"/>
  <c r="I17" i="5"/>
  <c r="I18" i="5"/>
  <c r="I22" i="5"/>
  <c r="I21" i="5"/>
  <c r="I13" i="5"/>
  <c r="T61" i="5"/>
  <c r="T65" i="5" s="1"/>
  <c r="I9" i="5"/>
  <c r="I8" i="5"/>
  <c r="T110" i="5" l="1"/>
  <c r="T111" i="5" s="1"/>
  <c r="T66" i="5"/>
  <c r="T69" i="5" s="1"/>
  <c r="C125" i="5" l="1"/>
  <c r="D125" i="5"/>
  <c r="D9" i="5" l="1"/>
  <c r="C9" i="5"/>
  <c r="H15" i="8"/>
  <c r="J22" i="8"/>
  <c r="F131" i="8" l="1"/>
  <c r="F129" i="8" l="1"/>
  <c r="D128" i="8"/>
  <c r="E128" i="8" s="1"/>
  <c r="J101" i="5" l="1"/>
  <c r="G28" i="10"/>
  <c r="T73" i="5" l="1"/>
  <c r="T78" i="5" s="1"/>
  <c r="L170" i="7" l="1"/>
  <c r="K170" i="7"/>
  <c r="J170" i="7"/>
  <c r="H170" i="7"/>
  <c r="G170" i="7"/>
  <c r="L169" i="7"/>
  <c r="K169" i="7"/>
  <c r="J169" i="7"/>
  <c r="H169" i="7"/>
  <c r="B169" i="7"/>
  <c r="E170" i="7"/>
  <c r="B170" i="7"/>
  <c r="L171" i="7"/>
  <c r="K171" i="7"/>
  <c r="J171" i="7"/>
  <c r="H171" i="7"/>
  <c r="G171" i="7"/>
  <c r="B171" i="7"/>
  <c r="C51" i="8" l="1"/>
  <c r="S35" i="5" l="1"/>
  <c r="G24" i="10" l="1"/>
  <c r="S69" i="5"/>
  <c r="J113" i="5"/>
  <c r="J114" i="5"/>
  <c r="C30" i="8"/>
  <c r="I28" i="8" l="1"/>
  <c r="I29" i="8" s="1"/>
  <c r="K11" i="7" l="1"/>
  <c r="J11" i="7"/>
  <c r="H11" i="7"/>
  <c r="G11" i="7"/>
  <c r="B11" i="7" l="1"/>
  <c r="I111" i="5" l="1"/>
  <c r="J67" i="5" l="1"/>
  <c r="E115" i="5"/>
  <c r="J102" i="5" l="1"/>
  <c r="C123" i="5" l="1"/>
  <c r="D98" i="5" l="1"/>
  <c r="D97" i="5"/>
  <c r="C98" i="5"/>
  <c r="C97" i="5"/>
  <c r="G4" i="8"/>
  <c r="B72" i="7" l="1"/>
  <c r="B70" i="7"/>
  <c r="B35" i="7"/>
  <c r="C96" i="5" l="1"/>
  <c r="B96" i="5"/>
  <c r="D64" i="8" l="1"/>
  <c r="P20" i="8" l="1"/>
  <c r="C34" i="5"/>
  <c r="G22" i="8"/>
  <c r="K5" i="9" l="1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K4" i="10"/>
  <c r="L31" i="13" l="1"/>
  <c r="M31" i="13" s="1"/>
  <c r="L27" i="13"/>
  <c r="M27" i="13" s="1"/>
  <c r="L23" i="13"/>
  <c r="M23" i="13" s="1"/>
  <c r="L34" i="13"/>
  <c r="M34" i="13" s="1"/>
  <c r="L30" i="13"/>
  <c r="M30" i="13" s="1"/>
  <c r="L26" i="13"/>
  <c r="M26" i="13" s="1"/>
  <c r="L22" i="13"/>
  <c r="M22" i="13" s="1"/>
  <c r="L33" i="13"/>
  <c r="M33" i="13" s="1"/>
  <c r="L29" i="13"/>
  <c r="M29" i="13" s="1"/>
  <c r="L25" i="13"/>
  <c r="M25" i="13" s="1"/>
  <c r="L32" i="13"/>
  <c r="M32" i="13" s="1"/>
  <c r="L28" i="13"/>
  <c r="M28" i="13" s="1"/>
  <c r="L24" i="13"/>
  <c r="M24" i="13" s="1"/>
  <c r="D2" i="9"/>
  <c r="B66" i="5" l="1"/>
  <c r="B63" i="5"/>
  <c r="C63" i="5"/>
  <c r="D63" i="5"/>
  <c r="C61" i="5"/>
  <c r="D61" i="5"/>
  <c r="B61" i="5"/>
  <c r="D35" i="5"/>
  <c r="B35" i="5"/>
  <c r="D34" i="5"/>
  <c r="B34" i="5"/>
  <c r="B8" i="5" l="1"/>
  <c r="C83" i="5"/>
  <c r="D83" i="5"/>
  <c r="C82" i="5"/>
  <c r="D82" i="5"/>
  <c r="A2" i="6"/>
  <c r="L4" i="13"/>
  <c r="A2" i="7" l="1"/>
  <c r="J21" i="8"/>
  <c r="D121" i="5" l="1"/>
  <c r="B121" i="5"/>
  <c r="F28" i="12" l="1"/>
  <c r="H4" i="12"/>
  <c r="E28" i="12"/>
  <c r="D26" i="13" l="1"/>
  <c r="D123" i="5"/>
  <c r="C122" i="5"/>
  <c r="D122" i="5"/>
  <c r="C120" i="5"/>
  <c r="C119" i="5"/>
  <c r="D119" i="5"/>
  <c r="B123" i="5"/>
  <c r="B122" i="5"/>
  <c r="B120" i="5"/>
  <c r="B119" i="5"/>
  <c r="N10" i="7" l="1"/>
  <c r="G27" i="27" s="1"/>
  <c r="M62" i="7"/>
  <c r="N168" i="7" l="1"/>
  <c r="N88" i="7"/>
  <c r="N62" i="7"/>
  <c r="N41" i="7"/>
  <c r="N61" i="7"/>
  <c r="G34" i="27" s="1"/>
  <c r="N57" i="7"/>
  <c r="N24" i="7"/>
  <c r="N19" i="7"/>
  <c r="N146" i="7"/>
  <c r="N138" i="7"/>
  <c r="N121" i="7"/>
  <c r="N103" i="7"/>
  <c r="N98" i="7"/>
  <c r="N64" i="7"/>
  <c r="Q12" i="9"/>
  <c r="Q13" i="9"/>
  <c r="Q14" i="9"/>
  <c r="Q15" i="9"/>
  <c r="Q16" i="9"/>
  <c r="Q17" i="9"/>
  <c r="Q18" i="9"/>
  <c r="Q19" i="9"/>
  <c r="Q20" i="9"/>
  <c r="Q21" i="9"/>
  <c r="O11" i="9"/>
  <c r="O12" i="9"/>
  <c r="O13" i="9"/>
  <c r="O14" i="9"/>
  <c r="O15" i="9"/>
  <c r="O16" i="9"/>
  <c r="O17" i="9"/>
  <c r="O18" i="9"/>
  <c r="O19" i="9"/>
  <c r="E9" i="7" l="1"/>
  <c r="N9" i="7" s="1"/>
  <c r="G26" i="27" s="1"/>
  <c r="D84" i="5" l="1"/>
  <c r="B84" i="5"/>
  <c r="B83" i="5"/>
  <c r="B82" i="5"/>
  <c r="A2" i="5" l="1"/>
  <c r="A2" i="12" s="1"/>
  <c r="J119" i="5"/>
  <c r="L7" i="7" l="1"/>
  <c r="K7" i="7" l="1"/>
  <c r="J7" i="7"/>
  <c r="H7" i="7" l="1"/>
  <c r="G7" i="7"/>
  <c r="A13" i="8" l="1"/>
  <c r="A12" i="8"/>
  <c r="A11" i="8"/>
  <c r="A10" i="8"/>
  <c r="A9" i="8"/>
  <c r="A8" i="8"/>
  <c r="A7" i="8" l="1"/>
  <c r="J4" i="6" l="1"/>
  <c r="I17" i="13" l="1"/>
  <c r="L17" i="13" s="1"/>
  <c r="M17" i="13" s="1"/>
  <c r="S111" i="5"/>
  <c r="S76" i="5"/>
  <c r="S77" i="5"/>
  <c r="S28" i="5"/>
  <c r="S14" i="5"/>
  <c r="S11" i="5"/>
  <c r="L5" i="2"/>
  <c r="K5" i="2"/>
  <c r="J5" i="2"/>
  <c r="I5" i="2"/>
  <c r="H5" i="2"/>
  <c r="G5" i="2"/>
  <c r="F5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12" i="2"/>
  <c r="L383" i="2"/>
  <c r="L384" i="2"/>
  <c r="L385" i="2"/>
  <c r="L386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12" i="2"/>
  <c r="K383" i="2"/>
  <c r="K384" i="2"/>
  <c r="K385" i="2"/>
  <c r="K386" i="2"/>
  <c r="K399" i="2"/>
  <c r="K400" i="2"/>
  <c r="K401" i="2"/>
  <c r="K402" i="2"/>
  <c r="K403" i="2"/>
  <c r="K404" i="2"/>
  <c r="K405" i="2"/>
  <c r="K406" i="2"/>
  <c r="K407" i="2"/>
  <c r="K410" i="2"/>
  <c r="K41" i="2"/>
  <c r="J421" i="2"/>
  <c r="J383" i="2"/>
  <c r="J384" i="2"/>
  <c r="J385" i="2"/>
  <c r="J386" i="2"/>
  <c r="J410" i="2"/>
  <c r="J41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12" i="2"/>
  <c r="I383" i="2"/>
  <c r="I384" i="2"/>
  <c r="I385" i="2"/>
  <c r="I386" i="2"/>
  <c r="I399" i="2"/>
  <c r="I400" i="2"/>
  <c r="I401" i="2"/>
  <c r="I402" i="2"/>
  <c r="I403" i="2"/>
  <c r="I404" i="2"/>
  <c r="I405" i="2"/>
  <c r="I406" i="2"/>
  <c r="I407" i="2"/>
  <c r="I410" i="2"/>
  <c r="I41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12" i="2"/>
  <c r="H383" i="2"/>
  <c r="H384" i="2"/>
  <c r="H385" i="2"/>
  <c r="H386" i="2"/>
  <c r="H399" i="2"/>
  <c r="H400" i="2"/>
  <c r="H401" i="2"/>
  <c r="H402" i="2"/>
  <c r="H403" i="2"/>
  <c r="H404" i="2"/>
  <c r="H405" i="2"/>
  <c r="H406" i="2"/>
  <c r="H407" i="2"/>
  <c r="H410" i="2"/>
  <c r="H41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12" i="2"/>
  <c r="G242" i="2"/>
  <c r="G383" i="2"/>
  <c r="G384" i="2"/>
  <c r="G385" i="2"/>
  <c r="G386" i="2"/>
  <c r="G399" i="2"/>
  <c r="G400" i="2"/>
  <c r="G401" i="2"/>
  <c r="G402" i="2"/>
  <c r="G403" i="2"/>
  <c r="G404" i="2"/>
  <c r="G405" i="2"/>
  <c r="G406" i="2"/>
  <c r="G407" i="2"/>
  <c r="G410" i="2"/>
  <c r="G41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12" i="2"/>
  <c r="F384" i="2"/>
  <c r="F385" i="2"/>
  <c r="F386" i="2"/>
  <c r="F399" i="2"/>
  <c r="F400" i="2"/>
  <c r="F401" i="2"/>
  <c r="F402" i="2"/>
  <c r="F403" i="2"/>
  <c r="F404" i="2"/>
  <c r="F405" i="2"/>
  <c r="F406" i="2"/>
  <c r="F407" i="2"/>
  <c r="F408" i="2"/>
  <c r="F409" i="2"/>
  <c r="F41" i="2"/>
  <c r="G23" i="10" l="1"/>
  <c r="G26" i="10"/>
  <c r="F410" i="2"/>
  <c r="K29" i="12" l="1"/>
  <c r="K22" i="12"/>
  <c r="K23" i="12"/>
  <c r="K24" i="12"/>
  <c r="K25" i="12"/>
  <c r="K21" i="12"/>
  <c r="K10" i="12"/>
  <c r="K12" i="12"/>
  <c r="K13" i="12"/>
  <c r="K14" i="12"/>
  <c r="K15" i="12"/>
  <c r="K16" i="12"/>
  <c r="K17" i="12"/>
  <c r="K18" i="12"/>
  <c r="K11" i="12"/>
  <c r="J23" i="12"/>
  <c r="J24" i="12"/>
  <c r="J25" i="12"/>
  <c r="Q118" i="5"/>
  <c r="Q93" i="5"/>
  <c r="Q59" i="5"/>
  <c r="T59" i="5" s="1"/>
  <c r="Q56" i="5"/>
  <c r="Q48" i="5"/>
  <c r="Q47" i="5"/>
  <c r="R118" i="5"/>
  <c r="R93" i="5"/>
  <c r="R59" i="5"/>
  <c r="R56" i="5"/>
  <c r="R48" i="5"/>
  <c r="R47" i="5"/>
  <c r="N170" i="7"/>
  <c r="Q94" i="5" l="1"/>
  <c r="A1" i="2"/>
  <c r="A1" i="8"/>
  <c r="A18" i="8" s="1"/>
  <c r="A1" i="10"/>
  <c r="A1" i="12"/>
  <c r="A1" i="7" s="1"/>
  <c r="B166" i="7" l="1"/>
  <c r="B165" i="7"/>
  <c r="B163" i="7"/>
  <c r="B162" i="7"/>
  <c r="B161" i="7"/>
  <c r="B160" i="7"/>
  <c r="B159" i="7"/>
  <c r="B158" i="7"/>
  <c r="B157" i="7"/>
  <c r="B156" i="7"/>
  <c r="B155" i="7"/>
  <c r="B154" i="7"/>
  <c r="E154" i="7"/>
  <c r="N154" i="7" s="1"/>
  <c r="D154" i="7"/>
  <c r="B153" i="7"/>
  <c r="B152" i="7"/>
  <c r="B151" i="7"/>
  <c r="B150" i="7"/>
  <c r="B149" i="7"/>
  <c r="B148" i="7"/>
  <c r="B147" i="7"/>
  <c r="B146" i="7"/>
  <c r="D152" i="7"/>
  <c r="E150" i="7"/>
  <c r="N150" i="7" s="1"/>
  <c r="D150" i="7"/>
  <c r="D146" i="7"/>
  <c r="B145" i="7"/>
  <c r="B144" i="7"/>
  <c r="B143" i="7"/>
  <c r="B142" i="7"/>
  <c r="B141" i="7"/>
  <c r="B140" i="7"/>
  <c r="B139" i="7"/>
  <c r="B138" i="7"/>
  <c r="D145" i="7"/>
  <c r="D144" i="7"/>
  <c r="E142" i="7"/>
  <c r="N142" i="7" s="1"/>
  <c r="D142" i="7"/>
  <c r="D141" i="7"/>
  <c r="D139" i="7"/>
  <c r="D138" i="7"/>
  <c r="B137" i="7"/>
  <c r="B136" i="7"/>
  <c r="B135" i="7"/>
  <c r="B134" i="7"/>
  <c r="B133" i="7"/>
  <c r="B132" i="7"/>
  <c r="B131" i="7"/>
  <c r="B130" i="7"/>
  <c r="D136" i="7"/>
  <c r="D135" i="7"/>
  <c r="E134" i="7"/>
  <c r="N134" i="7" s="1"/>
  <c r="D134" i="7"/>
  <c r="B129" i="7"/>
  <c r="B128" i="7"/>
  <c r="B127" i="7"/>
  <c r="D128" i="7"/>
  <c r="B126" i="7"/>
  <c r="B125" i="7"/>
  <c r="B124" i="7"/>
  <c r="B123" i="7"/>
  <c r="B122" i="7"/>
  <c r="D124" i="7"/>
  <c r="B17" i="7"/>
  <c r="B15" i="7"/>
  <c r="B118" i="7"/>
  <c r="B117" i="7"/>
  <c r="B115" i="7"/>
  <c r="B114" i="7"/>
  <c r="B109" i="7"/>
  <c r="J183" i="1"/>
  <c r="E169" i="7" s="1"/>
  <c r="J187" i="1"/>
  <c r="J189" i="1"/>
  <c r="J191" i="1"/>
  <c r="J193" i="1"/>
  <c r="J195" i="1"/>
  <c r="J197" i="1"/>
  <c r="J206" i="1"/>
  <c r="B111" i="7"/>
  <c r="B110" i="7"/>
  <c r="B108" i="7"/>
  <c r="B107" i="7"/>
  <c r="B106" i="7"/>
  <c r="B105" i="7"/>
  <c r="B104" i="7"/>
  <c r="B103" i="7"/>
  <c r="B102" i="7"/>
  <c r="B101" i="7"/>
  <c r="B100" i="7"/>
  <c r="B99" i="7"/>
  <c r="B98" i="7"/>
  <c r="D107" i="7"/>
  <c r="D106" i="7"/>
  <c r="D104" i="7"/>
  <c r="D103" i="7"/>
  <c r="D102" i="7"/>
  <c r="D100" i="7"/>
  <c r="D99" i="7"/>
  <c r="D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D92" i="7"/>
  <c r="D91" i="7"/>
  <c r="D90" i="7"/>
  <c r="D89" i="7"/>
  <c r="D88" i="7"/>
  <c r="D87" i="7"/>
  <c r="D86" i="7"/>
  <c r="D85" i="7"/>
  <c r="E83" i="7"/>
  <c r="N83" i="7" s="1"/>
  <c r="B82" i="7"/>
  <c r="B81" i="7"/>
  <c r="B80" i="7"/>
  <c r="B79" i="7"/>
  <c r="B78" i="7"/>
  <c r="B77" i="7"/>
  <c r="B76" i="7"/>
  <c r="B75" i="7"/>
  <c r="B74" i="7"/>
  <c r="B73" i="7"/>
  <c r="D97" i="7"/>
  <c r="D96" i="7"/>
  <c r="D95" i="7"/>
  <c r="E93" i="7"/>
  <c r="N93" i="7" s="1"/>
  <c r="D93" i="7"/>
  <c r="D81" i="7"/>
  <c r="A81" i="7"/>
  <c r="D80" i="7"/>
  <c r="A80" i="7"/>
  <c r="D79" i="7"/>
  <c r="A79" i="7"/>
  <c r="E78" i="7"/>
  <c r="N78" i="7" s="1"/>
  <c r="B71" i="7"/>
  <c r="A71" i="7"/>
  <c r="B69" i="7"/>
  <c r="B68" i="7"/>
  <c r="B67" i="7"/>
  <c r="D67" i="7"/>
  <c r="A67" i="7"/>
  <c r="B66" i="7"/>
  <c r="B65" i="7"/>
  <c r="B52" i="7"/>
  <c r="B51" i="7"/>
  <c r="B50" i="7"/>
  <c r="B49" i="7"/>
  <c r="D51" i="7"/>
  <c r="E49" i="7"/>
  <c r="N49" i="7" s="1"/>
  <c r="D49" i="7"/>
  <c r="B55" i="7"/>
  <c r="B53" i="7"/>
  <c r="B48" i="7"/>
  <c r="B47" i="7"/>
  <c r="B46" i="7"/>
  <c r="B45" i="7"/>
  <c r="B44" i="7"/>
  <c r="B43" i="7"/>
  <c r="B42" i="7"/>
  <c r="D44" i="7"/>
  <c r="D43" i="7"/>
  <c r="B39" i="7"/>
  <c r="B38" i="7"/>
  <c r="B37" i="7"/>
  <c r="B31" i="7"/>
  <c r="B18" i="7"/>
  <c r="D33" i="7" l="1"/>
  <c r="E30" i="7"/>
  <c r="N30" i="7" s="1"/>
  <c r="E29" i="7"/>
  <c r="N29" i="7" s="1"/>
  <c r="E28" i="7"/>
  <c r="B30" i="7"/>
  <c r="B28" i="7"/>
  <c r="B29" i="7"/>
  <c r="D29" i="7"/>
  <c r="E21" i="7"/>
  <c r="N21" i="7" s="1"/>
  <c r="E20" i="7"/>
  <c r="B22" i="7"/>
  <c r="B21" i="7"/>
  <c r="B20" i="7"/>
  <c r="B19" i="7"/>
  <c r="A19" i="7"/>
  <c r="B25" i="7"/>
  <c r="J25" i="1" l="1"/>
  <c r="E22" i="7" s="1"/>
  <c r="N22" i="7" l="1"/>
  <c r="I213" i="1"/>
  <c r="I212" i="1"/>
  <c r="I211" i="1"/>
  <c r="I210" i="1"/>
  <c r="I209" i="1"/>
  <c r="I208" i="1"/>
  <c r="I206" i="1"/>
  <c r="I205" i="1" s="1"/>
  <c r="E206" i="1"/>
  <c r="H205" i="1"/>
  <c r="G205" i="1"/>
  <c r="F205" i="1"/>
  <c r="I197" i="1"/>
  <c r="I196" i="1" s="1"/>
  <c r="E197" i="1"/>
  <c r="H196" i="1"/>
  <c r="G196" i="1"/>
  <c r="F196" i="1"/>
  <c r="I195" i="1"/>
  <c r="I194" i="1" s="1"/>
  <c r="E195" i="1"/>
  <c r="H194" i="1"/>
  <c r="G194" i="1"/>
  <c r="F194" i="1"/>
  <c r="I193" i="1"/>
  <c r="I192" i="1" s="1"/>
  <c r="E193" i="1"/>
  <c r="H192" i="1"/>
  <c r="G192" i="1"/>
  <c r="F192" i="1"/>
  <c r="I191" i="1"/>
  <c r="I190" i="1" s="1"/>
  <c r="E191" i="1"/>
  <c r="H190" i="1"/>
  <c r="G190" i="1"/>
  <c r="F190" i="1"/>
  <c r="I187" i="1"/>
  <c r="I186" i="1" s="1"/>
  <c r="E187" i="1"/>
  <c r="H186" i="1"/>
  <c r="G186" i="1"/>
  <c r="F186" i="1"/>
  <c r="I181" i="1"/>
  <c r="I180" i="1"/>
  <c r="I179" i="1"/>
  <c r="I178" i="1"/>
  <c r="I177" i="1"/>
  <c r="I176" i="1"/>
  <c r="I175" i="1"/>
  <c r="I174" i="1"/>
  <c r="I173" i="1"/>
  <c r="H172" i="1"/>
  <c r="G172" i="1"/>
  <c r="F172" i="1"/>
  <c r="I171" i="1"/>
  <c r="I170" i="1"/>
  <c r="I169" i="1"/>
  <c r="I168" i="1"/>
  <c r="I167" i="1"/>
  <c r="I166" i="1"/>
  <c r="I165" i="1"/>
  <c r="I164" i="1"/>
  <c r="I163" i="1"/>
  <c r="H162" i="1"/>
  <c r="G162" i="1"/>
  <c r="F162" i="1"/>
  <c r="I161" i="1"/>
  <c r="I160" i="1"/>
  <c r="I159" i="1"/>
  <c r="I158" i="1"/>
  <c r="I157" i="1"/>
  <c r="I156" i="1"/>
  <c r="I155" i="1"/>
  <c r="I154" i="1"/>
  <c r="I153" i="1"/>
  <c r="H152" i="1"/>
  <c r="G152" i="1"/>
  <c r="F152" i="1"/>
  <c r="I151" i="1"/>
  <c r="I150" i="1"/>
  <c r="I149" i="1"/>
  <c r="I148" i="1"/>
  <c r="I147" i="1"/>
  <c r="I146" i="1"/>
  <c r="I145" i="1"/>
  <c r="I144" i="1"/>
  <c r="I143" i="1"/>
  <c r="H142" i="1"/>
  <c r="G142" i="1"/>
  <c r="F142" i="1"/>
  <c r="J121" i="1"/>
  <c r="E44" i="7" s="1"/>
  <c r="I121" i="1"/>
  <c r="I120" i="1" s="1"/>
  <c r="E121" i="1"/>
  <c r="H120" i="1"/>
  <c r="G120" i="1"/>
  <c r="F120" i="1"/>
  <c r="J119" i="1"/>
  <c r="E43" i="7" s="1"/>
  <c r="I119" i="1"/>
  <c r="I118" i="1" s="1"/>
  <c r="E119" i="1"/>
  <c r="H118" i="1"/>
  <c r="G118" i="1"/>
  <c r="F118" i="1"/>
  <c r="J57" i="1"/>
  <c r="I57" i="1"/>
  <c r="E57" i="1"/>
  <c r="J56" i="1"/>
  <c r="I56" i="1"/>
  <c r="E56" i="1"/>
  <c r="J55" i="1"/>
  <c r="I55" i="1"/>
  <c r="E55" i="1"/>
  <c r="H54" i="1"/>
  <c r="G54" i="1"/>
  <c r="F54" i="1"/>
  <c r="I114" i="1"/>
  <c r="I108" i="1" s="1"/>
  <c r="E114" i="1"/>
  <c r="H108" i="1"/>
  <c r="G108" i="1"/>
  <c r="F108" i="1"/>
  <c r="E91" i="1"/>
  <c r="E90" i="1"/>
  <c r="I89" i="1"/>
  <c r="E89" i="1"/>
  <c r="I88" i="1"/>
  <c r="E88" i="1"/>
  <c r="I87" i="1"/>
  <c r="E87" i="1"/>
  <c r="I86" i="1"/>
  <c r="E86" i="1"/>
  <c r="I85" i="1"/>
  <c r="E85" i="1"/>
  <c r="I84" i="1"/>
  <c r="E84" i="1"/>
  <c r="I83" i="1"/>
  <c r="E83" i="1"/>
  <c r="I82" i="1"/>
  <c r="E82" i="1"/>
  <c r="H81" i="1"/>
  <c r="G81" i="1"/>
  <c r="F81" i="1"/>
  <c r="J65" i="1"/>
  <c r="E34" i="7" s="1"/>
  <c r="N34" i="7" s="1"/>
  <c r="I65" i="1"/>
  <c r="E65" i="1"/>
  <c r="J64" i="1"/>
  <c r="E128" i="7" s="1"/>
  <c r="I64" i="1"/>
  <c r="E64" i="1"/>
  <c r="J63" i="1"/>
  <c r="E71" i="7" s="1"/>
  <c r="I63" i="1"/>
  <c r="E63" i="1"/>
  <c r="H62" i="1"/>
  <c r="G62" i="1"/>
  <c r="F62" i="1"/>
  <c r="J45" i="1"/>
  <c r="I45" i="1"/>
  <c r="I44" i="1" s="1"/>
  <c r="E45" i="1"/>
  <c r="H44" i="1"/>
  <c r="G44" i="1"/>
  <c r="F44" i="1"/>
  <c r="J35" i="1"/>
  <c r="E18" i="7" s="1"/>
  <c r="I35" i="1"/>
  <c r="E35" i="1"/>
  <c r="J34" i="1"/>
  <c r="E17" i="7" s="1"/>
  <c r="I34" i="1"/>
  <c r="E34" i="1"/>
  <c r="J33" i="1"/>
  <c r="E124" i="7" s="1"/>
  <c r="I33" i="1"/>
  <c r="E33" i="1"/>
  <c r="J32" i="1"/>
  <c r="E67" i="7" s="1"/>
  <c r="I32" i="1"/>
  <c r="E32" i="1"/>
  <c r="H31" i="1"/>
  <c r="G31" i="1"/>
  <c r="F31" i="1"/>
  <c r="J30" i="1"/>
  <c r="I23" i="1"/>
  <c r="I22" i="1" s="1"/>
  <c r="E23" i="1"/>
  <c r="H22" i="1"/>
  <c r="G22" i="1"/>
  <c r="F22" i="1"/>
  <c r="N43" i="7" l="1"/>
  <c r="N128" i="7"/>
  <c r="N18" i="7"/>
  <c r="N71" i="7"/>
  <c r="I62" i="1"/>
  <c r="I81" i="1"/>
  <c r="I207" i="1"/>
  <c r="I54" i="1"/>
  <c r="I162" i="1"/>
  <c r="L163" i="1" s="1"/>
  <c r="I172" i="1"/>
  <c r="L174" i="1" s="1"/>
  <c r="I31" i="1"/>
  <c r="I142" i="1"/>
  <c r="L151" i="1" s="1"/>
  <c r="I152" i="1"/>
  <c r="L154" i="1" s="1"/>
  <c r="L161" i="1" l="1"/>
  <c r="L143" i="1"/>
  <c r="L150" i="1"/>
  <c r="L169" i="1"/>
  <c r="L145" i="1"/>
  <c r="L148" i="1"/>
  <c r="L147" i="1"/>
  <c r="L170" i="1"/>
  <c r="L146" i="1"/>
  <c r="L149" i="1"/>
  <c r="L168" i="1"/>
  <c r="L144" i="1"/>
  <c r="L173" i="1"/>
  <c r="L157" i="1"/>
  <c r="L166" i="1"/>
  <c r="L165" i="1"/>
  <c r="L164" i="1"/>
  <c r="L181" i="1"/>
  <c r="L167" i="1"/>
  <c r="L153" i="1"/>
  <c r="L180" i="1"/>
  <c r="L160" i="1"/>
  <c r="L179" i="1"/>
  <c r="L159" i="1"/>
  <c r="L178" i="1"/>
  <c r="L158" i="1"/>
  <c r="L171" i="1"/>
  <c r="L177" i="1"/>
  <c r="L176" i="1"/>
  <c r="L156" i="1"/>
  <c r="L175" i="1"/>
  <c r="L155" i="1"/>
  <c r="I15" i="8" l="1"/>
  <c r="G15" i="12"/>
  <c r="M39" i="7" s="1"/>
  <c r="G17" i="12"/>
  <c r="G19" i="12"/>
  <c r="G20" i="12"/>
  <c r="O171" i="7"/>
  <c r="E26" i="7"/>
  <c r="E27" i="7"/>
  <c r="N27" i="7" s="1"/>
  <c r="E73" i="7"/>
  <c r="N73" i="7" s="1"/>
  <c r="E108" i="7"/>
  <c r="N108" i="7" s="1"/>
  <c r="E112" i="7"/>
  <c r="N112" i="7" s="1"/>
  <c r="E116" i="7"/>
  <c r="N116" i="7" s="1"/>
  <c r="E130" i="7"/>
  <c r="N130" i="7" s="1"/>
  <c r="E158" i="7"/>
  <c r="N158" i="7" s="1"/>
  <c r="E161" i="7"/>
  <c r="N161" i="7" s="1"/>
  <c r="E164" i="7"/>
  <c r="N164" i="7" s="1"/>
  <c r="K28" i="12"/>
  <c r="J15" i="8" l="1"/>
  <c r="J18" i="8" l="1"/>
  <c r="S19" i="5" l="1"/>
  <c r="S39" i="5"/>
  <c r="S65" i="5"/>
  <c r="S86" i="5"/>
  <c r="O172" i="7"/>
  <c r="O173" i="7"/>
  <c r="N88" i="5" l="1"/>
  <c r="P88" i="5"/>
  <c r="N59" i="5" l="1"/>
  <c r="O59" i="5"/>
  <c r="O88" i="5"/>
  <c r="J18" i="13" l="1"/>
  <c r="I18" i="13"/>
  <c r="L18" i="13" s="1"/>
  <c r="B18" i="13"/>
  <c r="J17" i="13"/>
  <c r="I16" i="13"/>
  <c r="J16" i="13"/>
  <c r="J15" i="13"/>
  <c r="I15" i="13"/>
  <c r="L15" i="13" s="1"/>
  <c r="J14" i="13"/>
  <c r="N14" i="13" s="1"/>
  <c r="O14" i="13" s="1"/>
  <c r="I14" i="13"/>
  <c r="L14" i="13" s="1"/>
  <c r="J13" i="13"/>
  <c r="N13" i="13" s="1"/>
  <c r="O13" i="13" s="1"/>
  <c r="J12" i="13"/>
  <c r="N12" i="13" s="1"/>
  <c r="O12" i="13" s="1"/>
  <c r="J11" i="13"/>
  <c r="N11" i="13" s="1"/>
  <c r="O11" i="13" s="1"/>
  <c r="I11" i="13"/>
  <c r="L11" i="13" s="1"/>
  <c r="G19" i="13"/>
  <c r="J10" i="13"/>
  <c r="G29" i="12"/>
  <c r="I29" i="12" s="1"/>
  <c r="D28" i="12"/>
  <c r="L27" i="12"/>
  <c r="I27" i="12"/>
  <c r="L26" i="12"/>
  <c r="I26" i="12"/>
  <c r="L25" i="12"/>
  <c r="I25" i="12"/>
  <c r="L24" i="12"/>
  <c r="I24" i="12"/>
  <c r="D24" i="12"/>
  <c r="L23" i="12"/>
  <c r="I23" i="12"/>
  <c r="D23" i="12"/>
  <c r="L22" i="12"/>
  <c r="D22" i="12"/>
  <c r="D21" i="12"/>
  <c r="L19" i="12"/>
  <c r="I19" i="12"/>
  <c r="D18" i="12"/>
  <c r="H17" i="12"/>
  <c r="J17" i="12" s="1"/>
  <c r="I17" i="12"/>
  <c r="D16" i="12"/>
  <c r="D14" i="12"/>
  <c r="G13" i="12"/>
  <c r="L12" i="12"/>
  <c r="H12" i="12"/>
  <c r="J12" i="12" s="1"/>
  <c r="G12" i="12"/>
  <c r="I12" i="12" s="1"/>
  <c r="S67" i="9"/>
  <c r="S68" i="9" s="1"/>
  <c r="U65" i="9"/>
  <c r="U69" i="9" s="1"/>
  <c r="S63" i="9"/>
  <c r="S62" i="9"/>
  <c r="S61" i="9"/>
  <c r="S60" i="9"/>
  <c r="R56" i="9"/>
  <c r="R43" i="9"/>
  <c r="R42" i="9"/>
  <c r="R41" i="9"/>
  <c r="P40" i="9"/>
  <c r="Q40" i="9" s="1"/>
  <c r="R40" i="9" s="1"/>
  <c r="Q38" i="9"/>
  <c r="Q37" i="9"/>
  <c r="O30" i="9"/>
  <c r="T29" i="9"/>
  <c r="T33" i="9" s="1"/>
  <c r="Q26" i="9"/>
  <c r="Q25" i="9"/>
  <c r="R12" i="9"/>
  <c r="R11" i="9"/>
  <c r="S11" i="9" s="1"/>
  <c r="S4" i="9"/>
  <c r="F98" i="8"/>
  <c r="G93" i="8"/>
  <c r="J82" i="8"/>
  <c r="C80" i="8"/>
  <c r="AN78" i="8"/>
  <c r="AJ78" i="8"/>
  <c r="AL78" i="8" s="1"/>
  <c r="AM78" i="8" s="1"/>
  <c r="AM77" i="8"/>
  <c r="AN75" i="8"/>
  <c r="AJ75" i="8"/>
  <c r="AL75" i="8" s="1"/>
  <c r="AM75" i="8" s="1"/>
  <c r="AM74" i="8"/>
  <c r="AJ73" i="8"/>
  <c r="AO73" i="8" s="1"/>
  <c r="AJ72" i="8"/>
  <c r="AM71" i="8"/>
  <c r="AM68" i="8"/>
  <c r="K68" i="8"/>
  <c r="C68" i="8"/>
  <c r="AM67" i="8"/>
  <c r="C67" i="8"/>
  <c r="AM66" i="8"/>
  <c r="AM65" i="8"/>
  <c r="AM64" i="8"/>
  <c r="L64" i="8"/>
  <c r="AM63" i="8"/>
  <c r="AJ62" i="8"/>
  <c r="AL62" i="8" s="1"/>
  <c r="AM62" i="8" s="1"/>
  <c r="AN61" i="8"/>
  <c r="AJ61" i="8"/>
  <c r="AL61" i="8" s="1"/>
  <c r="AM61" i="8" s="1"/>
  <c r="AJ60" i="8"/>
  <c r="AL60" i="8" s="1"/>
  <c r="AM60" i="8" s="1"/>
  <c r="AJ59" i="8"/>
  <c r="AO59" i="8" s="1"/>
  <c r="AJ58" i="8"/>
  <c r="AL58" i="8" s="1"/>
  <c r="AM58" i="8" s="1"/>
  <c r="AJ57" i="8"/>
  <c r="AJ56" i="8"/>
  <c r="R56" i="8"/>
  <c r="AJ55" i="8"/>
  <c r="AL55" i="8" s="1"/>
  <c r="AM55" i="8" s="1"/>
  <c r="AJ54" i="8"/>
  <c r="AJ53" i="8"/>
  <c r="AL53" i="8" s="1"/>
  <c r="AM53" i="8" s="1"/>
  <c r="Y53" i="8"/>
  <c r="AJ52" i="8"/>
  <c r="Y52" i="8"/>
  <c r="AJ51" i="8"/>
  <c r="Y51" i="8"/>
  <c r="AJ50" i="8"/>
  <c r="Y50" i="8"/>
  <c r="W49" i="8"/>
  <c r="Y49" i="8" s="1"/>
  <c r="Y48" i="8"/>
  <c r="Y47" i="8"/>
  <c r="AL46" i="8"/>
  <c r="Y43" i="8"/>
  <c r="Y42" i="8"/>
  <c r="Y41" i="8"/>
  <c r="Y40" i="8"/>
  <c r="Y39" i="8"/>
  <c r="Y38" i="8"/>
  <c r="Y37" i="8"/>
  <c r="Y36" i="8"/>
  <c r="D36" i="8"/>
  <c r="Y34" i="8"/>
  <c r="C33" i="8"/>
  <c r="AJ32" i="8"/>
  <c r="C31" i="8"/>
  <c r="AG29" i="8"/>
  <c r="Y29" i="8"/>
  <c r="U29" i="8"/>
  <c r="Y28" i="8"/>
  <c r="Y27" i="8"/>
  <c r="AG26" i="8"/>
  <c r="Y26" i="8"/>
  <c r="U26" i="8"/>
  <c r="AG25" i="8"/>
  <c r="Y25" i="8"/>
  <c r="U25" i="8"/>
  <c r="AG24" i="8"/>
  <c r="Y24" i="8"/>
  <c r="U24" i="8"/>
  <c r="AG23" i="8"/>
  <c r="W23" i="8"/>
  <c r="Y23" i="8" s="1"/>
  <c r="U23" i="8"/>
  <c r="AK22" i="8"/>
  <c r="AG22" i="8"/>
  <c r="AI22" i="8" s="1"/>
  <c r="AJ22" i="8" s="1"/>
  <c r="Y22" i="8"/>
  <c r="U22" i="8"/>
  <c r="AG21" i="8"/>
  <c r="Y21" i="8"/>
  <c r="Y20" i="8"/>
  <c r="AJ19" i="8"/>
  <c r="Y19" i="8"/>
  <c r="AJ18" i="8"/>
  <c r="Y18" i="8"/>
  <c r="AG15" i="8"/>
  <c r="AI15" i="8" s="1"/>
  <c r="AJ15" i="8" s="1"/>
  <c r="Y15" i="8"/>
  <c r="U15" i="8"/>
  <c r="O15" i="8"/>
  <c r="C54" i="8"/>
  <c r="D15" i="8"/>
  <c r="AG14" i="8"/>
  <c r="Y14" i="8"/>
  <c r="U14" i="8"/>
  <c r="AG12" i="8"/>
  <c r="Y12" i="8"/>
  <c r="U12" i="8"/>
  <c r="AG11" i="8"/>
  <c r="Y11" i="8"/>
  <c r="U11" i="8"/>
  <c r="AG10" i="8"/>
  <c r="AL10" i="8" s="1"/>
  <c r="Y10" i="8"/>
  <c r="Y9" i="8"/>
  <c r="U9" i="8"/>
  <c r="AG8" i="8"/>
  <c r="AL8" i="8" s="1"/>
  <c r="Y8" i="8"/>
  <c r="U8" i="8"/>
  <c r="AG7" i="8"/>
  <c r="AL7" i="8" s="1"/>
  <c r="Y7" i="8"/>
  <c r="U7" i="8"/>
  <c r="AG6" i="8"/>
  <c r="AL6" i="8" s="1"/>
  <c r="Y6" i="8"/>
  <c r="AA6" i="8" s="1"/>
  <c r="AG5" i="8"/>
  <c r="AL5" i="8" s="1"/>
  <c r="Y5" i="8"/>
  <c r="AG4" i="8"/>
  <c r="AL4" i="8" s="1"/>
  <c r="Y4" i="8"/>
  <c r="U4" i="8"/>
  <c r="Y3" i="8"/>
  <c r="Y2" i="8"/>
  <c r="E179" i="7"/>
  <c r="E178" i="7"/>
  <c r="E177" i="7"/>
  <c r="D177" i="7"/>
  <c r="E176" i="7"/>
  <c r="A176" i="7"/>
  <c r="E175" i="7"/>
  <c r="A175" i="7"/>
  <c r="A174" i="7"/>
  <c r="A173" i="7"/>
  <c r="B172" i="7"/>
  <c r="G95" i="6"/>
  <c r="G94" i="6"/>
  <c r="D170" i="7"/>
  <c r="G93" i="6"/>
  <c r="D169" i="7"/>
  <c r="B168" i="7"/>
  <c r="D165" i="7"/>
  <c r="D164" i="7"/>
  <c r="B164" i="7"/>
  <c r="G88" i="6"/>
  <c r="D163" i="7"/>
  <c r="D162" i="7"/>
  <c r="D161" i="7"/>
  <c r="D160" i="7"/>
  <c r="D159" i="7"/>
  <c r="D158" i="7"/>
  <c r="G82" i="6"/>
  <c r="D133" i="7"/>
  <c r="G81" i="6"/>
  <c r="D132" i="7"/>
  <c r="D131" i="7"/>
  <c r="D130" i="7"/>
  <c r="G78" i="6"/>
  <c r="D129" i="7"/>
  <c r="D127" i="7"/>
  <c r="G76" i="6"/>
  <c r="D126" i="7"/>
  <c r="G75" i="6"/>
  <c r="D125" i="7"/>
  <c r="D123" i="7"/>
  <c r="D122" i="7"/>
  <c r="A121" i="7"/>
  <c r="G70" i="6"/>
  <c r="K70" i="6" s="1"/>
  <c r="D117" i="7"/>
  <c r="D116" i="7"/>
  <c r="B116" i="7"/>
  <c r="G68" i="6"/>
  <c r="D115" i="7"/>
  <c r="D114" i="7"/>
  <c r="G66" i="6"/>
  <c r="D113" i="7"/>
  <c r="G65" i="6"/>
  <c r="K65" i="6" s="1"/>
  <c r="D112" i="7"/>
  <c r="G64" i="6"/>
  <c r="D111" i="7"/>
  <c r="D110" i="7"/>
  <c r="D109" i="7"/>
  <c r="D108" i="7"/>
  <c r="A77" i="7"/>
  <c r="G59" i="6"/>
  <c r="D76" i="7"/>
  <c r="A76" i="7"/>
  <c r="G58" i="6"/>
  <c r="D75" i="7"/>
  <c r="A75" i="7"/>
  <c r="G57" i="6"/>
  <c r="D74" i="7"/>
  <c r="A74" i="7"/>
  <c r="G55" i="6"/>
  <c r="A72" i="7"/>
  <c r="A70" i="7"/>
  <c r="G53" i="6"/>
  <c r="D69" i="7"/>
  <c r="A69" i="7"/>
  <c r="G52" i="6"/>
  <c r="D68" i="7"/>
  <c r="A68" i="7"/>
  <c r="D66" i="7"/>
  <c r="A66" i="7"/>
  <c r="G50" i="6"/>
  <c r="D65" i="7"/>
  <c r="A65" i="7"/>
  <c r="G45" i="6"/>
  <c r="D55" i="7"/>
  <c r="G40" i="6"/>
  <c r="D53" i="7"/>
  <c r="D48" i="7"/>
  <c r="G38" i="6"/>
  <c r="D47" i="7"/>
  <c r="G37" i="6"/>
  <c r="D46" i="7"/>
  <c r="G36" i="6"/>
  <c r="D45" i="7"/>
  <c r="D42" i="7"/>
  <c r="A41" i="7"/>
  <c r="A40" i="7"/>
  <c r="D39" i="7"/>
  <c r="D38" i="7"/>
  <c r="G30" i="6"/>
  <c r="D36" i="7"/>
  <c r="D35" i="7"/>
  <c r="G27" i="6"/>
  <c r="D34" i="7"/>
  <c r="D32" i="7"/>
  <c r="G25" i="6"/>
  <c r="D31" i="7"/>
  <c r="D30" i="7"/>
  <c r="D28" i="7"/>
  <c r="D17" i="7"/>
  <c r="G15" i="6"/>
  <c r="D16" i="7"/>
  <c r="D15" i="7"/>
  <c r="G13" i="6"/>
  <c r="D14" i="7"/>
  <c r="G12" i="6"/>
  <c r="D13" i="7"/>
  <c r="D10" i="7"/>
  <c r="B10" i="7"/>
  <c r="N4" i="7"/>
  <c r="L103" i="6"/>
  <c r="K103" i="6"/>
  <c r="J103" i="6"/>
  <c r="H103" i="6"/>
  <c r="L102" i="6"/>
  <c r="K102" i="6"/>
  <c r="J102" i="6"/>
  <c r="H102" i="6"/>
  <c r="I101" i="6"/>
  <c r="L101" i="6" s="1"/>
  <c r="G101" i="6"/>
  <c r="K101" i="6" s="1"/>
  <c r="I100" i="6"/>
  <c r="J100" i="6" s="1"/>
  <c r="G100" i="6"/>
  <c r="K100" i="6" s="1"/>
  <c r="I99" i="6"/>
  <c r="L99" i="6" s="1"/>
  <c r="G99" i="6"/>
  <c r="K99" i="6" s="1"/>
  <c r="B90" i="6"/>
  <c r="F88" i="6"/>
  <c r="B88" i="6"/>
  <c r="F87" i="6"/>
  <c r="B87" i="6"/>
  <c r="F85" i="6"/>
  <c r="B85" i="6"/>
  <c r="B84" i="6"/>
  <c r="L83" i="6"/>
  <c r="K83" i="6"/>
  <c r="J83" i="6"/>
  <c r="H83" i="6"/>
  <c r="B83" i="6"/>
  <c r="B82" i="6"/>
  <c r="B81" i="6"/>
  <c r="B80" i="6"/>
  <c r="B79" i="6"/>
  <c r="B78" i="6"/>
  <c r="G77" i="6"/>
  <c r="B77" i="6"/>
  <c r="B76" i="6"/>
  <c r="B75" i="6"/>
  <c r="B74" i="6"/>
  <c r="B73" i="6"/>
  <c r="B70" i="6"/>
  <c r="F68" i="6"/>
  <c r="B68" i="6"/>
  <c r="F67" i="6"/>
  <c r="B67" i="6"/>
  <c r="F66" i="6"/>
  <c r="L65" i="6"/>
  <c r="J65" i="6"/>
  <c r="B65" i="6"/>
  <c r="F64" i="6"/>
  <c r="B64" i="6"/>
  <c r="B63" i="6"/>
  <c r="B62" i="6"/>
  <c r="D60" i="6"/>
  <c r="B60" i="6"/>
  <c r="B59" i="6"/>
  <c r="B58" i="6"/>
  <c r="B57" i="6"/>
  <c r="D55" i="6"/>
  <c r="B55" i="6"/>
  <c r="D54" i="6"/>
  <c r="B54" i="6"/>
  <c r="B53" i="6"/>
  <c r="I52" i="6"/>
  <c r="B52" i="6"/>
  <c r="I51" i="6"/>
  <c r="B51" i="6"/>
  <c r="B50" i="6"/>
  <c r="K49" i="6"/>
  <c r="D46" i="6"/>
  <c r="B46" i="6"/>
  <c r="A46" i="6"/>
  <c r="D45" i="6"/>
  <c r="B45" i="6"/>
  <c r="A45" i="6"/>
  <c r="I44" i="6"/>
  <c r="G44" i="6"/>
  <c r="D44" i="6"/>
  <c r="B44" i="6"/>
  <c r="A44" i="6"/>
  <c r="I41" i="6"/>
  <c r="G41" i="6"/>
  <c r="B41" i="6"/>
  <c r="A41" i="6"/>
  <c r="D40" i="6"/>
  <c r="D50" i="7" s="1"/>
  <c r="B40" i="6"/>
  <c r="A40" i="6"/>
  <c r="F39" i="6"/>
  <c r="B39" i="6"/>
  <c r="A39" i="6"/>
  <c r="B38" i="6"/>
  <c r="A38" i="6"/>
  <c r="B37" i="6"/>
  <c r="A37" i="6"/>
  <c r="B36" i="6"/>
  <c r="A36" i="6"/>
  <c r="B35" i="6"/>
  <c r="G34" i="6"/>
  <c r="B34" i="6"/>
  <c r="A34" i="6"/>
  <c r="K33" i="6"/>
  <c r="B31" i="6"/>
  <c r="A31" i="6"/>
  <c r="F30" i="6"/>
  <c r="B30" i="6"/>
  <c r="A30" i="6"/>
  <c r="D29" i="6"/>
  <c r="B29" i="6"/>
  <c r="A29" i="6"/>
  <c r="F28" i="6"/>
  <c r="B28" i="6"/>
  <c r="A28" i="6"/>
  <c r="B27" i="6"/>
  <c r="A27" i="6"/>
  <c r="B26" i="6"/>
  <c r="A26" i="6"/>
  <c r="B25" i="6"/>
  <c r="A25" i="6"/>
  <c r="B24" i="6"/>
  <c r="A24" i="6"/>
  <c r="B23" i="6"/>
  <c r="A23" i="6"/>
  <c r="G22" i="6"/>
  <c r="B22" i="6"/>
  <c r="A22" i="6"/>
  <c r="K21" i="6"/>
  <c r="B19" i="6"/>
  <c r="A19" i="6"/>
  <c r="H18" i="6"/>
  <c r="E16" i="6"/>
  <c r="B16" i="6"/>
  <c r="A16" i="6"/>
  <c r="B15" i="6"/>
  <c r="A15" i="6"/>
  <c r="B14" i="6"/>
  <c r="A14" i="6"/>
  <c r="B13" i="6"/>
  <c r="A13" i="6"/>
  <c r="E12" i="6"/>
  <c r="B12" i="6"/>
  <c r="A12" i="6"/>
  <c r="B11" i="6"/>
  <c r="A11" i="6"/>
  <c r="G10" i="6"/>
  <c r="E10" i="6"/>
  <c r="A10" i="6"/>
  <c r="G9" i="6"/>
  <c r="E9" i="6"/>
  <c r="P9" i="7" s="1"/>
  <c r="H26" i="27" s="1"/>
  <c r="M26" i="27" s="1"/>
  <c r="D9" i="6"/>
  <c r="B9" i="6"/>
  <c r="A9" i="6"/>
  <c r="J141" i="5"/>
  <c r="J136" i="5"/>
  <c r="J135" i="5"/>
  <c r="J134" i="5"/>
  <c r="J133" i="5"/>
  <c r="J132" i="5"/>
  <c r="J131" i="5"/>
  <c r="J130" i="5"/>
  <c r="J129" i="5"/>
  <c r="J128" i="5"/>
  <c r="J124" i="5"/>
  <c r="J123" i="5"/>
  <c r="J122" i="5"/>
  <c r="J121" i="5"/>
  <c r="J120" i="5"/>
  <c r="I118" i="5"/>
  <c r="E118" i="5"/>
  <c r="T118" i="5" s="1"/>
  <c r="T143" i="5" s="1"/>
  <c r="J117" i="5"/>
  <c r="D117" i="5"/>
  <c r="C117" i="5"/>
  <c r="J116" i="5"/>
  <c r="D116" i="5"/>
  <c r="C116" i="5"/>
  <c r="J112" i="5"/>
  <c r="J100" i="5"/>
  <c r="J99" i="5"/>
  <c r="J98" i="5"/>
  <c r="J97" i="5"/>
  <c r="J96" i="5"/>
  <c r="S93" i="5"/>
  <c r="E93" i="5"/>
  <c r="T93" i="5" s="1"/>
  <c r="J92" i="5"/>
  <c r="J91" i="5"/>
  <c r="J90" i="5"/>
  <c r="J89" i="5"/>
  <c r="G14" i="10"/>
  <c r="J85" i="5"/>
  <c r="J84" i="5"/>
  <c r="J83" i="5"/>
  <c r="J82" i="5"/>
  <c r="N81" i="5"/>
  <c r="J81" i="5"/>
  <c r="J80" i="5"/>
  <c r="J77" i="5"/>
  <c r="D77" i="5"/>
  <c r="C77" i="5"/>
  <c r="J76" i="5"/>
  <c r="D76" i="5"/>
  <c r="C76" i="5"/>
  <c r="J75" i="5"/>
  <c r="J74" i="5"/>
  <c r="D74" i="5"/>
  <c r="J73" i="5"/>
  <c r="I71" i="5"/>
  <c r="E71" i="5"/>
  <c r="J70" i="5"/>
  <c r="D70" i="5"/>
  <c r="C70" i="5"/>
  <c r="G13" i="10"/>
  <c r="J66" i="5"/>
  <c r="J69" i="5" s="1"/>
  <c r="D66" i="5"/>
  <c r="C66" i="5"/>
  <c r="E65" i="5"/>
  <c r="J63" i="5"/>
  <c r="J62" i="5"/>
  <c r="J61" i="5"/>
  <c r="J58" i="5"/>
  <c r="J59" i="5" s="1"/>
  <c r="S56" i="5"/>
  <c r="E56" i="5"/>
  <c r="T56" i="5" s="1"/>
  <c r="J55" i="5"/>
  <c r="J54" i="5"/>
  <c r="J53" i="5"/>
  <c r="J52" i="5"/>
  <c r="J51" i="5"/>
  <c r="J50" i="5"/>
  <c r="S48" i="5"/>
  <c r="G16" i="10" s="1"/>
  <c r="E48" i="5"/>
  <c r="T48" i="5" s="1"/>
  <c r="S47" i="5"/>
  <c r="E47" i="5"/>
  <c r="T47" i="5" s="1"/>
  <c r="J46" i="5"/>
  <c r="J45" i="5"/>
  <c r="J44" i="5"/>
  <c r="J43" i="5"/>
  <c r="J42" i="5"/>
  <c r="J41" i="5"/>
  <c r="G15" i="10"/>
  <c r="J38" i="5"/>
  <c r="J37" i="5"/>
  <c r="D37" i="5"/>
  <c r="C37" i="5"/>
  <c r="J36" i="5"/>
  <c r="D36" i="5"/>
  <c r="C36" i="5"/>
  <c r="J35" i="5"/>
  <c r="J34" i="5"/>
  <c r="G11" i="10"/>
  <c r="E32" i="5"/>
  <c r="J31" i="5"/>
  <c r="C45" i="27" s="1"/>
  <c r="D31" i="5"/>
  <c r="C31" i="5"/>
  <c r="J28" i="5"/>
  <c r="D28" i="5"/>
  <c r="C28" i="5"/>
  <c r="G10" i="10"/>
  <c r="J27" i="5"/>
  <c r="J29" i="5" s="1"/>
  <c r="D27" i="5"/>
  <c r="J22" i="5"/>
  <c r="G9" i="10"/>
  <c r="J21" i="5"/>
  <c r="G8" i="10"/>
  <c r="J18" i="5"/>
  <c r="D18" i="5"/>
  <c r="C18" i="5"/>
  <c r="B18" i="5"/>
  <c r="J17" i="5"/>
  <c r="D17" i="5"/>
  <c r="C17" i="5"/>
  <c r="B17" i="5"/>
  <c r="G7" i="10"/>
  <c r="J14" i="5"/>
  <c r="D14" i="5"/>
  <c r="C14" i="5"/>
  <c r="J13" i="5"/>
  <c r="D13" i="5"/>
  <c r="C13" i="5"/>
  <c r="J9" i="5"/>
  <c r="J8" i="5"/>
  <c r="D8" i="5"/>
  <c r="C8" i="5"/>
  <c r="F90" i="5"/>
  <c r="M411" i="2"/>
  <c r="M410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O84" i="2" s="1"/>
  <c r="O68" i="2"/>
  <c r="O41" i="2"/>
  <c r="J220" i="1"/>
  <c r="E46" i="6" s="1"/>
  <c r="I220" i="1"/>
  <c r="F46" i="6" s="1"/>
  <c r="E220" i="1"/>
  <c r="H219" i="1"/>
  <c r="G219" i="1"/>
  <c r="F219" i="1"/>
  <c r="J218" i="1"/>
  <c r="E45" i="6" s="1"/>
  <c r="I218" i="1"/>
  <c r="F45" i="6" s="1"/>
  <c r="E218" i="1"/>
  <c r="H217" i="1"/>
  <c r="G217" i="1"/>
  <c r="F217" i="1"/>
  <c r="J216" i="1"/>
  <c r="E44" i="6" s="1"/>
  <c r="I216" i="1"/>
  <c r="F44" i="6" s="1"/>
  <c r="E216" i="1"/>
  <c r="H215" i="1"/>
  <c r="G215" i="1"/>
  <c r="F215" i="1"/>
  <c r="I214" i="1"/>
  <c r="I204" i="1"/>
  <c r="F41" i="6" s="1"/>
  <c r="I203" i="1"/>
  <c r="I202" i="1"/>
  <c r="I201" i="1"/>
  <c r="I200" i="1"/>
  <c r="I199" i="1"/>
  <c r="E40" i="6"/>
  <c r="I189" i="1"/>
  <c r="F40" i="6" s="1"/>
  <c r="E189" i="1"/>
  <c r="H188" i="1"/>
  <c r="G188" i="1"/>
  <c r="F188" i="1"/>
  <c r="I141" i="1"/>
  <c r="F38" i="6" s="1"/>
  <c r="I140" i="1"/>
  <c r="F95" i="6" s="1"/>
  <c r="F94" i="6"/>
  <c r="I139" i="1"/>
  <c r="I138" i="1"/>
  <c r="I137" i="1"/>
  <c r="I136" i="1"/>
  <c r="I135" i="1"/>
  <c r="I134" i="1"/>
  <c r="I133" i="1"/>
  <c r="H132" i="1"/>
  <c r="G132" i="1"/>
  <c r="F132" i="1"/>
  <c r="J131" i="1"/>
  <c r="I131" i="1"/>
  <c r="F37" i="6" s="1"/>
  <c r="E131" i="1"/>
  <c r="J130" i="1"/>
  <c r="I130" i="1"/>
  <c r="F90" i="6" s="1"/>
  <c r="E130" i="1"/>
  <c r="J129" i="1"/>
  <c r="E117" i="7" s="1"/>
  <c r="I129" i="1"/>
  <c r="E129" i="1"/>
  <c r="H128" i="1"/>
  <c r="G128" i="1"/>
  <c r="F128" i="1"/>
  <c r="J127" i="1"/>
  <c r="I127" i="1"/>
  <c r="F36" i="6" s="1"/>
  <c r="E127" i="1"/>
  <c r="J126" i="1"/>
  <c r="E166" i="7" s="1"/>
  <c r="I126" i="1"/>
  <c r="E126" i="1"/>
  <c r="J125" i="1"/>
  <c r="E118" i="7" s="1"/>
  <c r="I125" i="1"/>
  <c r="E125" i="1"/>
  <c r="H124" i="1"/>
  <c r="G124" i="1"/>
  <c r="F124" i="1"/>
  <c r="J123" i="1"/>
  <c r="I123" i="1"/>
  <c r="F35" i="6" s="1"/>
  <c r="E123" i="1"/>
  <c r="A123" i="1"/>
  <c r="A35" i="6" s="1"/>
  <c r="H122" i="1"/>
  <c r="G122" i="1"/>
  <c r="F122" i="1"/>
  <c r="J117" i="1"/>
  <c r="I117" i="1"/>
  <c r="F34" i="6" s="1"/>
  <c r="E117" i="1"/>
  <c r="H116" i="1"/>
  <c r="G116" i="1"/>
  <c r="F116" i="1"/>
  <c r="I107" i="1"/>
  <c r="F31" i="6" s="1"/>
  <c r="E107" i="1"/>
  <c r="B102" i="1"/>
  <c r="B113" i="7" s="1"/>
  <c r="H101" i="1"/>
  <c r="G101" i="1"/>
  <c r="F101" i="1"/>
  <c r="E100" i="1"/>
  <c r="I97" i="1"/>
  <c r="F84" i="6" s="1"/>
  <c r="E97" i="1"/>
  <c r="I96" i="1"/>
  <c r="F63" i="6" s="1"/>
  <c r="E96" i="1"/>
  <c r="I95" i="1"/>
  <c r="F62" i="6" s="1"/>
  <c r="E95" i="1"/>
  <c r="H94" i="1"/>
  <c r="G94" i="1"/>
  <c r="F94" i="1"/>
  <c r="J93" i="1"/>
  <c r="I93" i="1"/>
  <c r="F29" i="6" s="1"/>
  <c r="E93" i="1"/>
  <c r="H92" i="1"/>
  <c r="G92" i="1"/>
  <c r="F92" i="1"/>
  <c r="E80" i="1"/>
  <c r="E79" i="1"/>
  <c r="I78" i="1"/>
  <c r="F93" i="6" s="1"/>
  <c r="E78" i="1"/>
  <c r="I77" i="1"/>
  <c r="F82" i="6" s="1"/>
  <c r="E77" i="1"/>
  <c r="I76" i="1"/>
  <c r="F60" i="6" s="1"/>
  <c r="E76" i="1"/>
  <c r="I75" i="1"/>
  <c r="F81" i="6" s="1"/>
  <c r="E75" i="1"/>
  <c r="I74" i="1"/>
  <c r="F59" i="6" s="1"/>
  <c r="E74" i="1"/>
  <c r="I73" i="1"/>
  <c r="F58" i="6" s="1"/>
  <c r="E73" i="1"/>
  <c r="I72" i="1"/>
  <c r="F80" i="6" s="1"/>
  <c r="E72" i="1"/>
  <c r="I71" i="1"/>
  <c r="F57" i="6" s="1"/>
  <c r="E71" i="1"/>
  <c r="H70" i="1"/>
  <c r="G70" i="1"/>
  <c r="F70" i="1"/>
  <c r="J69" i="1"/>
  <c r="I69" i="1"/>
  <c r="F27" i="6" s="1"/>
  <c r="E69" i="1"/>
  <c r="J68" i="1"/>
  <c r="I68" i="1"/>
  <c r="F78" i="6" s="1"/>
  <c r="E68" i="1"/>
  <c r="J67" i="1"/>
  <c r="I67" i="1"/>
  <c r="F55" i="6" s="1"/>
  <c r="E67" i="1"/>
  <c r="H66" i="1"/>
  <c r="G66" i="1"/>
  <c r="F66" i="1"/>
  <c r="E66" i="1"/>
  <c r="J61" i="1"/>
  <c r="I61" i="1"/>
  <c r="F26" i="6" s="1"/>
  <c r="E61" i="1"/>
  <c r="J60" i="1"/>
  <c r="I60" i="1"/>
  <c r="F77" i="6" s="1"/>
  <c r="E60" i="1"/>
  <c r="J59" i="1"/>
  <c r="I59" i="1"/>
  <c r="F54" i="6" s="1"/>
  <c r="E59" i="1"/>
  <c r="H58" i="1"/>
  <c r="G58" i="1"/>
  <c r="F58" i="1"/>
  <c r="J53" i="1"/>
  <c r="I53" i="1"/>
  <c r="F25" i="6" s="1"/>
  <c r="E53" i="1"/>
  <c r="J52" i="1"/>
  <c r="E76" i="6" s="1"/>
  <c r="I52" i="1"/>
  <c r="F76" i="6" s="1"/>
  <c r="E52" i="1"/>
  <c r="J51" i="1"/>
  <c r="I51" i="1"/>
  <c r="F53" i="6" s="1"/>
  <c r="E51" i="1"/>
  <c r="H50" i="1"/>
  <c r="G50" i="1"/>
  <c r="F50" i="1"/>
  <c r="J49" i="1"/>
  <c r="I49" i="1"/>
  <c r="F24" i="6" s="1"/>
  <c r="E49" i="1"/>
  <c r="H48" i="1"/>
  <c r="G48" i="1"/>
  <c r="F48" i="1"/>
  <c r="J47" i="1"/>
  <c r="E23" i="6" s="1"/>
  <c r="I47" i="1"/>
  <c r="F23" i="6" s="1"/>
  <c r="E47" i="1"/>
  <c r="H46" i="1"/>
  <c r="G46" i="1"/>
  <c r="F46" i="1"/>
  <c r="J43" i="1"/>
  <c r="E22" i="6" s="1"/>
  <c r="I43" i="1"/>
  <c r="F22" i="6" s="1"/>
  <c r="E43" i="1"/>
  <c r="H42" i="1"/>
  <c r="G42" i="1"/>
  <c r="F42" i="1"/>
  <c r="J40" i="1"/>
  <c r="I40" i="1"/>
  <c r="F19" i="6" s="1"/>
  <c r="E40" i="1"/>
  <c r="J39" i="1"/>
  <c r="I39" i="1"/>
  <c r="F75" i="6" s="1"/>
  <c r="E39" i="1"/>
  <c r="J38" i="1"/>
  <c r="I38" i="1"/>
  <c r="F52" i="6" s="1"/>
  <c r="E38" i="1"/>
  <c r="H37" i="1"/>
  <c r="G37" i="1"/>
  <c r="F37" i="1"/>
  <c r="E15" i="6"/>
  <c r="I30" i="1"/>
  <c r="F15" i="6" s="1"/>
  <c r="E30" i="1"/>
  <c r="J29" i="1"/>
  <c r="I29" i="1"/>
  <c r="F14" i="6" s="1"/>
  <c r="E29" i="1"/>
  <c r="J28" i="1"/>
  <c r="I28" i="1"/>
  <c r="F74" i="6" s="1"/>
  <c r="E28" i="1"/>
  <c r="J27" i="1"/>
  <c r="I27" i="1"/>
  <c r="F51" i="6" s="1"/>
  <c r="E27" i="1"/>
  <c r="H26" i="1"/>
  <c r="G26" i="1"/>
  <c r="F26" i="1"/>
  <c r="I25" i="1"/>
  <c r="E25" i="1"/>
  <c r="H24" i="1"/>
  <c r="G24" i="1"/>
  <c r="F24" i="1"/>
  <c r="I21" i="1"/>
  <c r="F12" i="6" s="1"/>
  <c r="E21" i="1"/>
  <c r="H20" i="1"/>
  <c r="G20" i="1"/>
  <c r="F20" i="1"/>
  <c r="E13" i="6"/>
  <c r="I18" i="1"/>
  <c r="F13" i="6" s="1"/>
  <c r="E18" i="1"/>
  <c r="E11" i="6"/>
  <c r="I17" i="1"/>
  <c r="F11" i="6" s="1"/>
  <c r="E17" i="1"/>
  <c r="I16" i="1"/>
  <c r="F73" i="6" s="1"/>
  <c r="E16" i="1"/>
  <c r="I15" i="1"/>
  <c r="F50" i="6" s="1"/>
  <c r="E15" i="1"/>
  <c r="N14" i="1"/>
  <c r="M14" i="1"/>
  <c r="P15" i="1" s="1"/>
  <c r="L14" i="1"/>
  <c r="O15" i="1" s="1"/>
  <c r="H14" i="1"/>
  <c r="G14" i="1"/>
  <c r="F14" i="1"/>
  <c r="I12" i="1"/>
  <c r="F10" i="6" s="1"/>
  <c r="E12" i="1"/>
  <c r="I10" i="1"/>
  <c r="F9" i="6" s="1"/>
  <c r="E10" i="1"/>
  <c r="C66" i="8" l="1"/>
  <c r="C26" i="8"/>
  <c r="J142" i="5"/>
  <c r="C48" i="27"/>
  <c r="J111" i="5"/>
  <c r="C42" i="27"/>
  <c r="J115" i="5"/>
  <c r="C49" i="27"/>
  <c r="C43" i="27"/>
  <c r="C57" i="8"/>
  <c r="C58" i="27"/>
  <c r="B36" i="7"/>
  <c r="E59" i="7"/>
  <c r="N59" i="7" s="1"/>
  <c r="A25" i="7"/>
  <c r="E16" i="7"/>
  <c r="N16" i="7" s="1"/>
  <c r="B14" i="7"/>
  <c r="D59" i="7"/>
  <c r="B112" i="7"/>
  <c r="B58" i="7"/>
  <c r="B59" i="7"/>
  <c r="D37" i="7"/>
  <c r="B13" i="7"/>
  <c r="E60" i="7"/>
  <c r="N60" i="7" s="1"/>
  <c r="E54" i="7"/>
  <c r="N54" i="7" s="1"/>
  <c r="D9" i="7"/>
  <c r="B16" i="7"/>
  <c r="B32" i="7"/>
  <c r="D70" i="7"/>
  <c r="B60" i="7"/>
  <c r="E14" i="7"/>
  <c r="N14" i="7" s="1"/>
  <c r="E13" i="7"/>
  <c r="N13" i="7" s="1"/>
  <c r="E58" i="7"/>
  <c r="N58" i="7" s="1"/>
  <c r="B9" i="7"/>
  <c r="B54" i="7"/>
  <c r="D60" i="7"/>
  <c r="D77" i="7"/>
  <c r="F42" i="5"/>
  <c r="N42" i="5" s="1"/>
  <c r="H42" i="5"/>
  <c r="M42" i="5" s="1"/>
  <c r="G43" i="5"/>
  <c r="L43" i="5" s="1"/>
  <c r="F44" i="5"/>
  <c r="G45" i="5"/>
  <c r="L45" i="5" s="1"/>
  <c r="F46" i="5"/>
  <c r="N46" i="5" s="1"/>
  <c r="H46" i="5"/>
  <c r="M46" i="5" s="1"/>
  <c r="G58" i="5"/>
  <c r="G59" i="5" s="1"/>
  <c r="E18" i="10" s="1"/>
  <c r="H85" i="5"/>
  <c r="M85" i="5" s="1"/>
  <c r="F41" i="5"/>
  <c r="K41" i="5" s="1"/>
  <c r="H41" i="5"/>
  <c r="M41" i="5" s="1"/>
  <c r="G42" i="5"/>
  <c r="L42" i="5" s="1"/>
  <c r="F43" i="5"/>
  <c r="N43" i="5" s="1"/>
  <c r="H43" i="5"/>
  <c r="M43" i="5" s="1"/>
  <c r="G44" i="5"/>
  <c r="L44" i="5" s="1"/>
  <c r="F45" i="5"/>
  <c r="N45" i="5" s="1"/>
  <c r="H45" i="5"/>
  <c r="M45" i="5" s="1"/>
  <c r="G46" i="5"/>
  <c r="F58" i="5"/>
  <c r="F59" i="5" s="1"/>
  <c r="D18" i="10" s="1"/>
  <c r="J18" i="10" s="1"/>
  <c r="H58" i="5"/>
  <c r="H59" i="5" s="1"/>
  <c r="F18" i="10" s="1"/>
  <c r="H44" i="5"/>
  <c r="M44" i="5" s="1"/>
  <c r="C42" i="8"/>
  <c r="T94" i="5"/>
  <c r="G18" i="10"/>
  <c r="J32" i="5"/>
  <c r="C44" i="8"/>
  <c r="J25" i="5"/>
  <c r="J11" i="5"/>
  <c r="C47" i="8"/>
  <c r="C48" i="8"/>
  <c r="G19" i="10"/>
  <c r="J19" i="5"/>
  <c r="S13" i="9"/>
  <c r="T13" i="9"/>
  <c r="N166" i="7"/>
  <c r="N118" i="7"/>
  <c r="N117" i="7"/>
  <c r="M14" i="13"/>
  <c r="P14" i="13"/>
  <c r="M18" i="13"/>
  <c r="P18" i="13"/>
  <c r="M11" i="13"/>
  <c r="P11" i="13"/>
  <c r="M15" i="13"/>
  <c r="P15" i="13"/>
  <c r="J118" i="5"/>
  <c r="E51" i="6"/>
  <c r="J51" i="6" s="1"/>
  <c r="E66" i="7"/>
  <c r="D72" i="7"/>
  <c r="D71" i="7"/>
  <c r="E50" i="6"/>
  <c r="H50" i="6" s="1"/>
  <c r="E65" i="7"/>
  <c r="E74" i="6"/>
  <c r="E123" i="7"/>
  <c r="E52" i="6"/>
  <c r="H52" i="6" s="1"/>
  <c r="E68" i="7"/>
  <c r="E24" i="6"/>
  <c r="E31" i="7"/>
  <c r="E25" i="6"/>
  <c r="E26" i="6"/>
  <c r="E33" i="7"/>
  <c r="E29" i="6"/>
  <c r="E37" i="7"/>
  <c r="E77" i="6"/>
  <c r="E127" i="7"/>
  <c r="D54" i="7"/>
  <c r="E19" i="6"/>
  <c r="E25" i="7"/>
  <c r="E53" i="6"/>
  <c r="H53" i="6" s="1"/>
  <c r="E69" i="7"/>
  <c r="E54" i="6"/>
  <c r="E70" i="7"/>
  <c r="E78" i="6"/>
  <c r="H78" i="6" s="1"/>
  <c r="E129" i="7"/>
  <c r="N129" i="7" s="1"/>
  <c r="E34" i="6"/>
  <c r="H34" i="6" s="1"/>
  <c r="E42" i="7"/>
  <c r="E90" i="6"/>
  <c r="E165" i="7"/>
  <c r="E27" i="6"/>
  <c r="H27" i="6" s="1"/>
  <c r="E35" i="7"/>
  <c r="E35" i="6"/>
  <c r="E45" i="7"/>
  <c r="E36" i="6"/>
  <c r="H36" i="6" s="1"/>
  <c r="E46" i="7"/>
  <c r="N46" i="7" s="1"/>
  <c r="E37" i="6"/>
  <c r="H37" i="6" s="1"/>
  <c r="E47" i="7"/>
  <c r="E73" i="6"/>
  <c r="E122" i="7"/>
  <c r="E14" i="6"/>
  <c r="E15" i="7"/>
  <c r="E75" i="6"/>
  <c r="H75" i="6" s="1"/>
  <c r="E125" i="7"/>
  <c r="E55" i="6"/>
  <c r="E72" i="7"/>
  <c r="N72" i="7" s="1"/>
  <c r="I215" i="1"/>
  <c r="J65" i="5"/>
  <c r="E39" i="6"/>
  <c r="E53" i="7"/>
  <c r="I70" i="1"/>
  <c r="I116" i="1"/>
  <c r="I188" i="1"/>
  <c r="B66" i="6"/>
  <c r="B109" i="1"/>
  <c r="I122" i="1"/>
  <c r="I128" i="1"/>
  <c r="L130" i="1" s="1"/>
  <c r="I132" i="1"/>
  <c r="L137" i="1" s="1"/>
  <c r="J137" i="1" s="1"/>
  <c r="E140" i="7" s="1"/>
  <c r="I219" i="1"/>
  <c r="G14" i="12"/>
  <c r="G16" i="12"/>
  <c r="I16" i="12" s="1"/>
  <c r="H18" i="12"/>
  <c r="J18" i="12" s="1"/>
  <c r="L18" i="12" s="1"/>
  <c r="G18" i="12"/>
  <c r="I18" i="12" s="1"/>
  <c r="G21" i="12"/>
  <c r="I21" i="12" s="1"/>
  <c r="I20" i="1"/>
  <c r="I46" i="1"/>
  <c r="I92" i="1"/>
  <c r="R45" i="9"/>
  <c r="G10" i="12"/>
  <c r="H21" i="12"/>
  <c r="J21" i="12" s="1"/>
  <c r="L21" i="12" s="1"/>
  <c r="H22" i="12"/>
  <c r="J22" i="12" s="1"/>
  <c r="G22" i="12"/>
  <c r="I22" i="12" s="1"/>
  <c r="H28" i="12"/>
  <c r="J28" i="12" s="1"/>
  <c r="L28" i="12" s="1"/>
  <c r="G28" i="12"/>
  <c r="I28" i="12" s="1"/>
  <c r="L17" i="12"/>
  <c r="L16" i="13"/>
  <c r="G46" i="6"/>
  <c r="H46" i="6" s="1"/>
  <c r="Y30" i="8"/>
  <c r="AO75" i="8"/>
  <c r="I217" i="1"/>
  <c r="K64" i="6"/>
  <c r="I58" i="1"/>
  <c r="L59" i="1" s="1"/>
  <c r="U30" i="8"/>
  <c r="D25" i="8"/>
  <c r="K25" i="8" s="1"/>
  <c r="AL59" i="8"/>
  <c r="AM59" i="8" s="1"/>
  <c r="AL73" i="8"/>
  <c r="AM73" i="8" s="1"/>
  <c r="I94" i="1"/>
  <c r="L100" i="1" s="1"/>
  <c r="J100" i="1" s="1"/>
  <c r="E30" i="6" s="1"/>
  <c r="E143" i="5"/>
  <c r="J15" i="5"/>
  <c r="N90" i="5"/>
  <c r="G6" i="10"/>
  <c r="J86" i="5"/>
  <c r="J93" i="5"/>
  <c r="J47" i="5"/>
  <c r="J56" i="5"/>
  <c r="G17" i="10"/>
  <c r="L41" i="6"/>
  <c r="I95" i="6"/>
  <c r="L95" i="6" s="1"/>
  <c r="G24" i="6"/>
  <c r="I42" i="1"/>
  <c r="I48" i="1"/>
  <c r="I124" i="1"/>
  <c r="L125" i="1" s="1"/>
  <c r="I24" i="1"/>
  <c r="F16" i="6" s="1"/>
  <c r="I66" i="1"/>
  <c r="L68" i="1" s="1"/>
  <c r="I26" i="1"/>
  <c r="L28" i="1" s="1"/>
  <c r="M28" i="1" s="1"/>
  <c r="I37" i="1"/>
  <c r="L38" i="1" s="1"/>
  <c r="I50" i="1"/>
  <c r="L52" i="1" s="1"/>
  <c r="I198" i="1"/>
  <c r="L200" i="1" s="1"/>
  <c r="J200" i="1" s="1"/>
  <c r="G41" i="5"/>
  <c r="O86" i="2"/>
  <c r="J39" i="5"/>
  <c r="J48" i="5"/>
  <c r="J71" i="5"/>
  <c r="J78" i="5"/>
  <c r="H10" i="6"/>
  <c r="H99" i="6"/>
  <c r="J99" i="6"/>
  <c r="H101" i="6"/>
  <c r="J101" i="6"/>
  <c r="G19" i="6"/>
  <c r="AL15" i="8"/>
  <c r="C36" i="8"/>
  <c r="AO53" i="8"/>
  <c r="AO55" i="8"/>
  <c r="AO58" i="8"/>
  <c r="AO60" i="8"/>
  <c r="AO62" i="8"/>
  <c r="AI8" i="8"/>
  <c r="AJ8" i="8" s="1"/>
  <c r="AL22" i="8"/>
  <c r="K13" i="9"/>
  <c r="R13" i="9" s="1"/>
  <c r="S65" i="9"/>
  <c r="T65" i="9" s="1"/>
  <c r="S72" i="9" s="1"/>
  <c r="G11" i="12"/>
  <c r="M38" i="7" s="1"/>
  <c r="N10" i="13"/>
  <c r="O10" i="13" s="1"/>
  <c r="H12" i="6"/>
  <c r="L100" i="6"/>
  <c r="L51" i="6"/>
  <c r="K30" i="6"/>
  <c r="H70" i="6"/>
  <c r="H100" i="6"/>
  <c r="O85" i="2"/>
  <c r="O87" i="2"/>
  <c r="O96" i="2"/>
  <c r="O91" i="2"/>
  <c r="O92" i="2"/>
  <c r="O93" i="2"/>
  <c r="O100" i="2"/>
  <c r="O101" i="2"/>
  <c r="H13" i="6"/>
  <c r="I14" i="1"/>
  <c r="O16" i="1"/>
  <c r="O17" i="1"/>
  <c r="O18" i="1"/>
  <c r="O88" i="2"/>
  <c r="O89" i="2"/>
  <c r="O90" i="2"/>
  <c r="O94" i="2"/>
  <c r="O95" i="2"/>
  <c r="O97" i="2"/>
  <c r="O98" i="2"/>
  <c r="O99" i="2"/>
  <c r="K9" i="6"/>
  <c r="K10" i="6"/>
  <c r="H22" i="6"/>
  <c r="H44" i="6"/>
  <c r="H15" i="6"/>
  <c r="H76" i="6"/>
  <c r="H40" i="6"/>
  <c r="H45" i="6"/>
  <c r="J87" i="5"/>
  <c r="K90" i="5"/>
  <c r="H25" i="8"/>
  <c r="G26" i="8"/>
  <c r="G28" i="6"/>
  <c r="G29" i="6"/>
  <c r="I101" i="1"/>
  <c r="E94" i="6"/>
  <c r="O102" i="2"/>
  <c r="K12" i="6"/>
  <c r="K13" i="6"/>
  <c r="K15" i="6"/>
  <c r="K40" i="6"/>
  <c r="K41" i="6"/>
  <c r="L44" i="6"/>
  <c r="L47" i="6" s="1"/>
  <c r="K45" i="6"/>
  <c r="L52" i="6"/>
  <c r="K53" i="6"/>
  <c r="K55" i="6"/>
  <c r="K58" i="6"/>
  <c r="K76" i="6"/>
  <c r="K78" i="6"/>
  <c r="K82" i="6"/>
  <c r="K93" i="6"/>
  <c r="K94" i="6"/>
  <c r="K95" i="6"/>
  <c r="C64" i="8"/>
  <c r="C63" i="8" s="1"/>
  <c r="K22" i="6"/>
  <c r="K25" i="6"/>
  <c r="K27" i="6"/>
  <c r="K34" i="6"/>
  <c r="K36" i="6"/>
  <c r="K37" i="6"/>
  <c r="K38" i="6"/>
  <c r="K44" i="6"/>
  <c r="K50" i="6"/>
  <c r="K52" i="6"/>
  <c r="K57" i="6"/>
  <c r="K59" i="6"/>
  <c r="K66" i="6"/>
  <c r="K68" i="6"/>
  <c r="K75" i="6"/>
  <c r="K77" i="6"/>
  <c r="K81" i="6"/>
  <c r="B86" i="6"/>
  <c r="K88" i="6"/>
  <c r="J44" i="6"/>
  <c r="J47" i="6" s="1"/>
  <c r="H65" i="6"/>
  <c r="AL25" i="8"/>
  <c r="AI25" i="8"/>
  <c r="AJ25" i="8" s="1"/>
  <c r="AL26" i="8"/>
  <c r="AI26" i="8"/>
  <c r="AJ26" i="8" s="1"/>
  <c r="AL29" i="8"/>
  <c r="AI29" i="8"/>
  <c r="AJ29" i="8" s="1"/>
  <c r="AO50" i="8"/>
  <c r="AL50" i="8"/>
  <c r="AM50" i="8" s="1"/>
  <c r="AO51" i="8"/>
  <c r="AL51" i="8"/>
  <c r="AM51" i="8" s="1"/>
  <c r="AO56" i="8"/>
  <c r="AL56" i="8"/>
  <c r="AM56" i="8" s="1"/>
  <c r="AO72" i="8"/>
  <c r="AL72" i="8"/>
  <c r="AM72" i="8" s="1"/>
  <c r="AI10" i="8"/>
  <c r="AJ10" i="8" s="1"/>
  <c r="AO78" i="8"/>
  <c r="R26" i="9"/>
  <c r="T75" i="9"/>
  <c r="S77" i="9" s="1"/>
  <c r="H16" i="12"/>
  <c r="AL11" i="8"/>
  <c r="AI11" i="8"/>
  <c r="AJ11" i="8" s="1"/>
  <c r="AL12" i="8"/>
  <c r="AI12" i="8"/>
  <c r="AJ12" i="8" s="1"/>
  <c r="AL14" i="8"/>
  <c r="AI14" i="8"/>
  <c r="AJ14" i="8" s="1"/>
  <c r="AL21" i="8"/>
  <c r="AI21" i="8"/>
  <c r="AJ21" i="8" s="1"/>
  <c r="AL23" i="8"/>
  <c r="AI23" i="8"/>
  <c r="AJ23" i="8" s="1"/>
  <c r="AL24" i="8"/>
  <c r="AI24" i="8"/>
  <c r="AJ24" i="8" s="1"/>
  <c r="AO52" i="8"/>
  <c r="AL52" i="8"/>
  <c r="AM52" i="8" s="1"/>
  <c r="AO54" i="8"/>
  <c r="AL54" i="8"/>
  <c r="AM54" i="8" s="1"/>
  <c r="AO57" i="8"/>
  <c r="AL57" i="8"/>
  <c r="AM57" i="8" s="1"/>
  <c r="K66" i="8"/>
  <c r="AI4" i="8"/>
  <c r="AI5" i="8"/>
  <c r="AJ5" i="8" s="1"/>
  <c r="AI6" i="8"/>
  <c r="AJ6" i="8" s="1"/>
  <c r="AI7" i="8"/>
  <c r="AJ7" i="8" s="1"/>
  <c r="D52" i="8"/>
  <c r="K19" i="9" s="1"/>
  <c r="Y54" i="8"/>
  <c r="C53" i="8"/>
  <c r="C52" i="8" s="1"/>
  <c r="AO61" i="8"/>
  <c r="R21" i="9"/>
  <c r="J19" i="13"/>
  <c r="N19" i="13" s="1"/>
  <c r="C25" i="8" l="1"/>
  <c r="C49" i="8"/>
  <c r="C50" i="27"/>
  <c r="C47" i="27" s="1"/>
  <c r="D11" i="9"/>
  <c r="G11" i="9" s="1"/>
  <c r="C43" i="8"/>
  <c r="C44" i="27"/>
  <c r="C41" i="27" s="1"/>
  <c r="E38" i="7"/>
  <c r="E32" i="7"/>
  <c r="P46" i="5"/>
  <c r="K43" i="5"/>
  <c r="K45" i="5"/>
  <c r="L58" i="5"/>
  <c r="L59" i="5" s="1"/>
  <c r="O45" i="5"/>
  <c r="K46" i="5"/>
  <c r="O43" i="5"/>
  <c r="O44" i="5"/>
  <c r="K44" i="5"/>
  <c r="K42" i="5"/>
  <c r="H47" i="5"/>
  <c r="K58" i="5"/>
  <c r="K59" i="5" s="1"/>
  <c r="P43" i="5"/>
  <c r="M58" i="5"/>
  <c r="M59" i="5" s="1"/>
  <c r="O42" i="5"/>
  <c r="P45" i="5"/>
  <c r="O46" i="5"/>
  <c r="F47" i="5"/>
  <c r="P42" i="5"/>
  <c r="N41" i="5"/>
  <c r="N47" i="5" s="1"/>
  <c r="L46" i="5"/>
  <c r="F48" i="5"/>
  <c r="D16" i="10" s="1"/>
  <c r="J16" i="10" s="1"/>
  <c r="N44" i="5"/>
  <c r="P41" i="5"/>
  <c r="H48" i="5"/>
  <c r="F16" i="10" s="1"/>
  <c r="L69" i="1"/>
  <c r="P44" i="5"/>
  <c r="C41" i="8"/>
  <c r="J143" i="5"/>
  <c r="L83" i="1"/>
  <c r="J83" i="1" s="1"/>
  <c r="E135" i="7" s="1"/>
  <c r="N135" i="7" s="1"/>
  <c r="L80" i="1"/>
  <c r="J80" i="1" s="1"/>
  <c r="E28" i="6" s="1"/>
  <c r="J94" i="5"/>
  <c r="L98" i="1"/>
  <c r="J98" i="1" s="1"/>
  <c r="E64" i="6" s="1"/>
  <c r="H64" i="6" s="1"/>
  <c r="L138" i="1"/>
  <c r="J138" i="1" s="1"/>
  <c r="E87" i="7" s="1"/>
  <c r="J52" i="6"/>
  <c r="N140" i="7"/>
  <c r="N125" i="7"/>
  <c r="N35" i="7"/>
  <c r="N25" i="7"/>
  <c r="N26" i="7" s="1"/>
  <c r="N127" i="7"/>
  <c r="N33" i="7"/>
  <c r="N31" i="7"/>
  <c r="N53" i="7"/>
  <c r="N47" i="7"/>
  <c r="N45" i="7"/>
  <c r="N69" i="7"/>
  <c r="N37" i="7"/>
  <c r="N126" i="7"/>
  <c r="N68" i="7"/>
  <c r="N65" i="7"/>
  <c r="J16" i="12"/>
  <c r="L16" i="12" s="1"/>
  <c r="L127" i="1"/>
  <c r="L74" i="1"/>
  <c r="J74" i="1" s="1"/>
  <c r="E59" i="6" s="1"/>
  <c r="H59" i="6" s="1"/>
  <c r="H25" i="6"/>
  <c r="L53" i="1"/>
  <c r="L41" i="5"/>
  <c r="L129" i="1"/>
  <c r="G47" i="5"/>
  <c r="M16" i="13"/>
  <c r="P16" i="13"/>
  <c r="P17" i="13"/>
  <c r="H77" i="6"/>
  <c r="L87" i="1"/>
  <c r="J87" i="1" s="1"/>
  <c r="E82" i="7" s="1"/>
  <c r="L135" i="1"/>
  <c r="J135" i="1" s="1"/>
  <c r="E85" i="7" s="1"/>
  <c r="L75" i="1"/>
  <c r="L29" i="1"/>
  <c r="M29" i="1" s="1"/>
  <c r="L99" i="1"/>
  <c r="J99" i="1" s="1"/>
  <c r="L95" i="1"/>
  <c r="J95" i="1" s="1"/>
  <c r="L27" i="1"/>
  <c r="M27" i="1" s="1"/>
  <c r="H55" i="6"/>
  <c r="L88" i="1"/>
  <c r="J88" i="1" s="1"/>
  <c r="E137" i="7" s="1"/>
  <c r="L71" i="1"/>
  <c r="J71" i="1" s="1"/>
  <c r="E74" i="7" s="1"/>
  <c r="L97" i="1"/>
  <c r="J97" i="1" s="1"/>
  <c r="L30" i="1"/>
  <c r="M30" i="1" s="1"/>
  <c r="L90" i="1"/>
  <c r="J90" i="1" s="1"/>
  <c r="L78" i="1"/>
  <c r="J78" i="1" s="1"/>
  <c r="N169" i="7" s="1"/>
  <c r="L96" i="1"/>
  <c r="J96" i="1" s="1"/>
  <c r="L141" i="1"/>
  <c r="J141" i="1" s="1"/>
  <c r="E48" i="7" s="1"/>
  <c r="L133" i="1"/>
  <c r="J133" i="1" s="1"/>
  <c r="E84" i="7" s="1"/>
  <c r="L77" i="1"/>
  <c r="J77" i="1" s="1"/>
  <c r="E133" i="7" s="1"/>
  <c r="N133" i="7" s="1"/>
  <c r="L73" i="1"/>
  <c r="J73" i="1" s="1"/>
  <c r="E75" i="7" s="1"/>
  <c r="N75" i="7" s="1"/>
  <c r="L39" i="1"/>
  <c r="L51" i="1"/>
  <c r="L134" i="1"/>
  <c r="J134" i="1" s="1"/>
  <c r="E139" i="7" s="1"/>
  <c r="L139" i="1"/>
  <c r="J139" i="1" s="1"/>
  <c r="E141" i="7" s="1"/>
  <c r="H24" i="6"/>
  <c r="L86" i="1"/>
  <c r="J86" i="1" s="1"/>
  <c r="E136" i="7" s="1"/>
  <c r="L91" i="1"/>
  <c r="J91" i="1" s="1"/>
  <c r="L140" i="1"/>
  <c r="J140" i="1" s="1"/>
  <c r="L136" i="1"/>
  <c r="J136" i="1" s="1"/>
  <c r="E86" i="7" s="1"/>
  <c r="L76" i="1"/>
  <c r="L72" i="1"/>
  <c r="J72" i="1" s="1"/>
  <c r="E80" i="6" s="1"/>
  <c r="L79" i="1"/>
  <c r="J79" i="1" s="1"/>
  <c r="H19" i="6"/>
  <c r="H20" i="6" s="1"/>
  <c r="L89" i="1"/>
  <c r="J89" i="1" s="1"/>
  <c r="A2" i="8"/>
  <c r="A2" i="2"/>
  <c r="L84" i="1"/>
  <c r="J84" i="1" s="1"/>
  <c r="E80" i="7" s="1"/>
  <c r="L85" i="1"/>
  <c r="J85" i="1" s="1"/>
  <c r="E81" i="7" s="1"/>
  <c r="E93" i="6"/>
  <c r="L82" i="1"/>
  <c r="J82" i="1" s="1"/>
  <c r="E79" i="7" s="1"/>
  <c r="M47" i="5"/>
  <c r="K46" i="6"/>
  <c r="K47" i="6" s="1"/>
  <c r="L199" i="1"/>
  <c r="J199" i="1" s="1"/>
  <c r="L210" i="1"/>
  <c r="J210" i="1" s="1"/>
  <c r="L209" i="1"/>
  <c r="J209" i="1" s="1"/>
  <c r="L208" i="1"/>
  <c r="J208" i="1" s="1"/>
  <c r="L213" i="1"/>
  <c r="J213" i="1" s="1"/>
  <c r="L212" i="1"/>
  <c r="J212" i="1" s="1"/>
  <c r="L211" i="1"/>
  <c r="J211" i="1" s="1"/>
  <c r="L33" i="1"/>
  <c r="M33" i="1" s="1"/>
  <c r="L32" i="1"/>
  <c r="M32" i="1" s="1"/>
  <c r="L35" i="1"/>
  <c r="M35" i="1" s="1"/>
  <c r="L34" i="1"/>
  <c r="M34" i="1" s="1"/>
  <c r="L126" i="1"/>
  <c r="L55" i="1"/>
  <c r="L57" i="1"/>
  <c r="L56" i="1"/>
  <c r="J159" i="1"/>
  <c r="E149" i="7" s="1"/>
  <c r="J171" i="1"/>
  <c r="J147" i="1"/>
  <c r="E144" i="7" s="1"/>
  <c r="J167" i="1"/>
  <c r="E152" i="7" s="1"/>
  <c r="J144" i="1"/>
  <c r="J148" i="1"/>
  <c r="E92" i="7" s="1"/>
  <c r="J151" i="1"/>
  <c r="J153" i="1"/>
  <c r="E94" i="7" s="1"/>
  <c r="J157" i="1"/>
  <c r="E148" i="7" s="1"/>
  <c r="J160" i="1"/>
  <c r="J166" i="1"/>
  <c r="E101" i="7" s="1"/>
  <c r="J173" i="1"/>
  <c r="E104" i="7" s="1"/>
  <c r="J177" i="1"/>
  <c r="E156" i="7" s="1"/>
  <c r="J180" i="1"/>
  <c r="J145" i="1"/>
  <c r="J149" i="1"/>
  <c r="E145" i="7" s="1"/>
  <c r="J154" i="1"/>
  <c r="E147" i="7" s="1"/>
  <c r="J158" i="1"/>
  <c r="E97" i="7" s="1"/>
  <c r="J161" i="1"/>
  <c r="J165" i="1"/>
  <c r="E100" i="7" s="1"/>
  <c r="J169" i="1"/>
  <c r="E153" i="7" s="1"/>
  <c r="J174" i="1"/>
  <c r="E155" i="7" s="1"/>
  <c r="J178" i="1"/>
  <c r="E107" i="7" s="1"/>
  <c r="J181" i="1"/>
  <c r="E52" i="7" s="1"/>
  <c r="J146" i="1"/>
  <c r="E91" i="7" s="1"/>
  <c r="J155" i="1"/>
  <c r="E95" i="7" s="1"/>
  <c r="J164" i="1"/>
  <c r="E151" i="7" s="1"/>
  <c r="J168" i="1"/>
  <c r="E102" i="7" s="1"/>
  <c r="J175" i="1"/>
  <c r="E105" i="7" s="1"/>
  <c r="J179" i="1"/>
  <c r="E157" i="7" s="1"/>
  <c r="J143" i="1"/>
  <c r="E50" i="7" s="1"/>
  <c r="J150" i="1"/>
  <c r="J156" i="1"/>
  <c r="E96" i="7" s="1"/>
  <c r="J163" i="1"/>
  <c r="E99" i="7" s="1"/>
  <c r="J170" i="1"/>
  <c r="J176" i="1"/>
  <c r="E106" i="7" s="1"/>
  <c r="L107" i="1"/>
  <c r="J107" i="1" s="1"/>
  <c r="L113" i="1"/>
  <c r="J113" i="1" s="1"/>
  <c r="L112" i="1"/>
  <c r="J112" i="1" s="1"/>
  <c r="L111" i="1"/>
  <c r="J111" i="1" s="1"/>
  <c r="L110" i="1"/>
  <c r="J110" i="1" s="1"/>
  <c r="L109" i="1"/>
  <c r="J109" i="1" s="1"/>
  <c r="L114" i="1"/>
  <c r="J114" i="1" s="1"/>
  <c r="L60" i="1"/>
  <c r="L63" i="1"/>
  <c r="L64" i="1"/>
  <c r="L65" i="1"/>
  <c r="L131" i="1"/>
  <c r="L67" i="1"/>
  <c r="L204" i="1"/>
  <c r="L61" i="1"/>
  <c r="H30" i="6"/>
  <c r="L40" i="1"/>
  <c r="L202" i="1"/>
  <c r="J202" i="1" s="1"/>
  <c r="E111" i="7" s="1"/>
  <c r="N111" i="7" s="1"/>
  <c r="G48" i="5"/>
  <c r="E16" i="10" s="1"/>
  <c r="L203" i="1"/>
  <c r="J203" i="1" s="1"/>
  <c r="G29" i="10"/>
  <c r="AL45" i="8"/>
  <c r="AM45" i="8" s="1"/>
  <c r="L201" i="1"/>
  <c r="J201" i="1" s="1"/>
  <c r="L25" i="1"/>
  <c r="O41" i="5"/>
  <c r="K19" i="6"/>
  <c r="K20" i="6" s="1"/>
  <c r="K24" i="6"/>
  <c r="K96" i="6"/>
  <c r="H47" i="6"/>
  <c r="G25" i="8"/>
  <c r="H9" i="6"/>
  <c r="R19" i="9"/>
  <c r="K52" i="8"/>
  <c r="AI45" i="8"/>
  <c r="AJ4" i="8"/>
  <c r="AJ45" i="8" s="1"/>
  <c r="H94" i="6"/>
  <c r="L106" i="1"/>
  <c r="J106" i="1" s="1"/>
  <c r="L105" i="1"/>
  <c r="J105" i="1" s="1"/>
  <c r="L104" i="1"/>
  <c r="J104" i="1" s="1"/>
  <c r="L103" i="1"/>
  <c r="J103" i="1" s="1"/>
  <c r="L102" i="1"/>
  <c r="J102" i="1" s="1"/>
  <c r="K29" i="6"/>
  <c r="H29" i="6"/>
  <c r="K28" i="6"/>
  <c r="M25" i="8"/>
  <c r="AO79" i="8"/>
  <c r="AP79" i="8" s="1"/>
  <c r="AM79" i="8"/>
  <c r="G33" i="8"/>
  <c r="M48" i="5"/>
  <c r="C40" i="27" l="1"/>
  <c r="A19" i="8"/>
  <c r="G31" i="8"/>
  <c r="G32" i="27"/>
  <c r="H28" i="6"/>
  <c r="P47" i="5"/>
  <c r="K48" i="5"/>
  <c r="O47" i="5"/>
  <c r="K47" i="5"/>
  <c r="L48" i="5"/>
  <c r="E57" i="6"/>
  <c r="E84" i="6"/>
  <c r="E159" i="7"/>
  <c r="J75" i="1"/>
  <c r="E132" i="7" s="1"/>
  <c r="N132" i="7" s="1"/>
  <c r="J76" i="1"/>
  <c r="E77" i="7" s="1"/>
  <c r="E62" i="6"/>
  <c r="E109" i="7"/>
  <c r="E58" i="6"/>
  <c r="H58" i="6" s="1"/>
  <c r="E85" i="6"/>
  <c r="E160" i="7"/>
  <c r="E95" i="6"/>
  <c r="J95" i="6" s="1"/>
  <c r="E171" i="7"/>
  <c r="N171" i="7" s="1"/>
  <c r="N172" i="7" s="1"/>
  <c r="E63" i="6"/>
  <c r="E110" i="7"/>
  <c r="L47" i="5"/>
  <c r="P11" i="9"/>
  <c r="E76" i="7"/>
  <c r="N76" i="7" s="1"/>
  <c r="E38" i="6"/>
  <c r="H38" i="6" s="1"/>
  <c r="N50" i="7"/>
  <c r="N151" i="7"/>
  <c r="N101" i="7"/>
  <c r="N144" i="7"/>
  <c r="N85" i="7"/>
  <c r="N99" i="7"/>
  <c r="N157" i="7"/>
  <c r="N95" i="7"/>
  <c r="N155" i="7"/>
  <c r="N97" i="7"/>
  <c r="N92" i="7"/>
  <c r="N81" i="7"/>
  <c r="N136" i="7"/>
  <c r="N84" i="7"/>
  <c r="N82" i="7"/>
  <c r="N96" i="7"/>
  <c r="N105" i="7"/>
  <c r="N91" i="7"/>
  <c r="N153" i="7"/>
  <c r="N156" i="7"/>
  <c r="N148" i="7"/>
  <c r="N80" i="7"/>
  <c r="N74" i="7"/>
  <c r="N106" i="7"/>
  <c r="N102" i="7"/>
  <c r="N100" i="7"/>
  <c r="N145" i="7"/>
  <c r="N104" i="7"/>
  <c r="N94" i="7"/>
  <c r="N152" i="7"/>
  <c r="N79" i="7"/>
  <c r="N137" i="7"/>
  <c r="E89" i="7"/>
  <c r="A2" i="10"/>
  <c r="H93" i="6"/>
  <c r="D3" i="9"/>
  <c r="E82" i="6"/>
  <c r="E131" i="7"/>
  <c r="E67" i="6"/>
  <c r="E114" i="7"/>
  <c r="E87" i="6"/>
  <c r="E162" i="7"/>
  <c r="E66" i="6"/>
  <c r="H66" i="6" s="1"/>
  <c r="E113" i="7"/>
  <c r="N113" i="7" s="1"/>
  <c r="E88" i="6"/>
  <c r="H88" i="6" s="1"/>
  <c r="E163" i="7"/>
  <c r="N163" i="7" s="1"/>
  <c r="J204" i="1"/>
  <c r="E55" i="7" s="1"/>
  <c r="E90" i="7"/>
  <c r="E36" i="7"/>
  <c r="E31" i="6"/>
  <c r="E39" i="7"/>
  <c r="E68" i="6"/>
  <c r="H68" i="6" s="1"/>
  <c r="E115" i="7"/>
  <c r="N115" i="7" s="1"/>
  <c r="H57" i="6"/>
  <c r="E143" i="7"/>
  <c r="E51" i="7"/>
  <c r="P171" i="7" l="1"/>
  <c r="E81" i="6"/>
  <c r="H81" i="6" s="1"/>
  <c r="E60" i="6"/>
  <c r="H95" i="6"/>
  <c r="H96" i="6" s="1"/>
  <c r="A2" i="13"/>
  <c r="N51" i="7"/>
  <c r="N36" i="7"/>
  <c r="N90" i="7"/>
  <c r="N143" i="7"/>
  <c r="N39" i="7"/>
  <c r="N89" i="7"/>
  <c r="H82" i="6"/>
  <c r="E41" i="6"/>
  <c r="J41" i="6" l="1"/>
  <c r="H41" i="6"/>
  <c r="H33" i="8" l="1"/>
  <c r="D17" i="9" l="1"/>
  <c r="M33" i="8"/>
  <c r="P17" i="9" l="1"/>
  <c r="G17" i="9"/>
  <c r="K408" i="2"/>
  <c r="K409" i="2" l="1"/>
  <c r="I408" i="2" l="1"/>
  <c r="I409" i="2" l="1"/>
  <c r="H408" i="2" l="1"/>
  <c r="H409" i="2" l="1"/>
  <c r="G408" i="2" l="1"/>
  <c r="G409" i="2" l="1"/>
  <c r="H29" i="12" l="1"/>
  <c r="J29" i="12" s="1"/>
  <c r="L29" i="12" s="1"/>
  <c r="F238" i="2" l="1"/>
  <c r="F31" i="2" l="1"/>
  <c r="F17" i="2"/>
  <c r="C45" i="8" l="1"/>
  <c r="L389" i="2" l="1"/>
  <c r="L388" i="2"/>
  <c r="L279" i="2"/>
  <c r="L277" i="2"/>
  <c r="L276" i="2"/>
  <c r="L274" i="2"/>
  <c r="L273" i="2"/>
  <c r="L270" i="2"/>
  <c r="L268" i="2"/>
  <c r="L267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47" i="2"/>
  <c r="L246" i="2"/>
  <c r="L245" i="2"/>
  <c r="L244" i="2"/>
  <c r="L243" i="2"/>
  <c r="L242" i="2"/>
  <c r="L241" i="2"/>
  <c r="L240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17" i="2"/>
  <c r="L216" i="2"/>
  <c r="L215" i="2"/>
  <c r="L214" i="2"/>
  <c r="L213" i="2"/>
  <c r="L212" i="2"/>
  <c r="L211" i="2"/>
  <c r="L121" i="2"/>
  <c r="L81" i="2"/>
  <c r="L76" i="2"/>
  <c r="L75" i="2"/>
  <c r="L38" i="2"/>
  <c r="L27" i="2"/>
  <c r="L21" i="2"/>
  <c r="L122" i="2" l="1"/>
  <c r="L29" i="2"/>
  <c r="L73" i="2"/>
  <c r="L113" i="2"/>
  <c r="L221" i="2"/>
  <c r="L253" i="2"/>
  <c r="L392" i="2"/>
  <c r="L28" i="2"/>
  <c r="L72" i="2"/>
  <c r="L80" i="2"/>
  <c r="L112" i="2"/>
  <c r="L120" i="2"/>
  <c r="L252" i="2"/>
  <c r="L391" i="2"/>
  <c r="L114" i="2"/>
  <c r="L390" i="2"/>
  <c r="L78" i="2"/>
  <c r="L218" i="2"/>
  <c r="L25" i="2"/>
  <c r="L77" i="2"/>
  <c r="L109" i="2"/>
  <c r="L117" i="2"/>
  <c r="L209" i="2"/>
  <c r="L249" i="2"/>
  <c r="L22" i="2"/>
  <c r="L74" i="2"/>
  <c r="L79" i="2"/>
  <c r="L111" i="2"/>
  <c r="L119" i="2"/>
  <c r="L219" i="2"/>
  <c r="L251" i="2"/>
  <c r="L26" i="2"/>
  <c r="L70" i="2"/>
  <c r="L118" i="2"/>
  <c r="L210" i="2"/>
  <c r="L17" i="2"/>
  <c r="L24" i="2"/>
  <c r="L40" i="2"/>
  <c r="L61" i="2"/>
  <c r="L108" i="2"/>
  <c r="L116" i="2"/>
  <c r="L124" i="2"/>
  <c r="L208" i="2"/>
  <c r="L248" i="2"/>
  <c r="L30" i="2"/>
  <c r="L82" i="2"/>
  <c r="L222" i="2"/>
  <c r="L71" i="2"/>
  <c r="L110" i="2"/>
  <c r="L250" i="2"/>
  <c r="L23" i="2"/>
  <c r="L31" i="2"/>
  <c r="L39" i="2"/>
  <c r="L83" i="2"/>
  <c r="L107" i="2"/>
  <c r="L115" i="2"/>
  <c r="L123" i="2"/>
  <c r="J9" i="7" l="1"/>
  <c r="L291" i="2" l="1"/>
  <c r="L289" i="2"/>
  <c r="L288" i="2"/>
  <c r="L287" i="2"/>
  <c r="L286" i="2"/>
  <c r="L285" i="2"/>
  <c r="L284" i="2"/>
  <c r="L283" i="2"/>
  <c r="L282" i="2"/>
  <c r="L281" i="2"/>
  <c r="L280" i="2"/>
  <c r="L191" i="2"/>
  <c r="L189" i="2"/>
  <c r="L188" i="2"/>
  <c r="L187" i="2"/>
  <c r="L185" i="2"/>
  <c r="L184" i="2"/>
  <c r="L182" i="2"/>
  <c r="L181" i="2"/>
  <c r="L179" i="2"/>
  <c r="L178" i="2"/>
  <c r="L173" i="2"/>
  <c r="L172" i="2"/>
  <c r="L171" i="2"/>
  <c r="L170" i="2"/>
  <c r="L169" i="2"/>
  <c r="G54" i="6" l="1"/>
  <c r="N70" i="7"/>
  <c r="K54" i="6" l="1"/>
  <c r="H54" i="6"/>
  <c r="K306" i="2" l="1"/>
  <c r="K304" i="2"/>
  <c r="K303" i="2"/>
  <c r="K301" i="2"/>
  <c r="K300" i="2"/>
  <c r="K299" i="2"/>
  <c r="K298" i="2"/>
  <c r="K295" i="2"/>
  <c r="K294" i="2"/>
  <c r="K293" i="2"/>
  <c r="K292" i="2"/>
  <c r="K291" i="2"/>
  <c r="K289" i="2"/>
  <c r="K288" i="2"/>
  <c r="K287" i="2"/>
  <c r="K286" i="2"/>
  <c r="K285" i="2"/>
  <c r="K284" i="2"/>
  <c r="K283" i="2"/>
  <c r="K282" i="2"/>
  <c r="K281" i="2"/>
  <c r="K280" i="2"/>
  <c r="K279" i="2"/>
  <c r="K277" i="2"/>
  <c r="K276" i="2"/>
  <c r="K274" i="2"/>
  <c r="K273" i="2"/>
  <c r="K271" i="2"/>
  <c r="K270" i="2"/>
  <c r="K267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47" i="2"/>
  <c r="K246" i="2"/>
  <c r="K245" i="2"/>
  <c r="K244" i="2"/>
  <c r="K243" i="2"/>
  <c r="K242" i="2"/>
  <c r="K241" i="2"/>
  <c r="K240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17" i="2"/>
  <c r="K216" i="2"/>
  <c r="K215" i="2"/>
  <c r="K214" i="2"/>
  <c r="K213" i="2"/>
  <c r="K212" i="2"/>
  <c r="K211" i="2"/>
  <c r="K173" i="2"/>
  <c r="K172" i="2"/>
  <c r="K171" i="2"/>
  <c r="K121" i="2"/>
  <c r="K38" i="2"/>
  <c r="K27" i="2"/>
  <c r="K21" i="2"/>
  <c r="K17" i="2"/>
  <c r="K22" i="2" l="1"/>
  <c r="K24" i="2"/>
  <c r="K26" i="2"/>
  <c r="K28" i="2"/>
  <c r="K30" i="2"/>
  <c r="K40" i="2"/>
  <c r="K70" i="2"/>
  <c r="K72" i="2"/>
  <c r="K74" i="2"/>
  <c r="K108" i="2"/>
  <c r="K110" i="2"/>
  <c r="K112" i="2"/>
  <c r="K114" i="2"/>
  <c r="K116" i="2"/>
  <c r="K118" i="2"/>
  <c r="K120" i="2"/>
  <c r="K122" i="2"/>
  <c r="K124" i="2"/>
  <c r="K248" i="2"/>
  <c r="K250" i="2"/>
  <c r="K252" i="2"/>
  <c r="K389" i="2"/>
  <c r="K391" i="2"/>
  <c r="K23" i="2"/>
  <c r="K25" i="2"/>
  <c r="K29" i="2"/>
  <c r="K31" i="2"/>
  <c r="K39" i="2"/>
  <c r="K69" i="2"/>
  <c r="K71" i="2"/>
  <c r="K73" i="2"/>
  <c r="K107" i="2"/>
  <c r="K109" i="2"/>
  <c r="K111" i="2"/>
  <c r="K113" i="2"/>
  <c r="K115" i="2"/>
  <c r="K117" i="2"/>
  <c r="K119" i="2"/>
  <c r="K123" i="2"/>
  <c r="K249" i="2"/>
  <c r="K251" i="2"/>
  <c r="K253" i="2"/>
  <c r="K388" i="2"/>
  <c r="K390" i="2"/>
  <c r="K392" i="2"/>
  <c r="K208" i="2"/>
  <c r="K210" i="2"/>
  <c r="K218" i="2"/>
  <c r="K222" i="2"/>
  <c r="K209" i="2"/>
  <c r="K219" i="2"/>
  <c r="K221" i="2"/>
  <c r="J417" i="2" l="1"/>
  <c r="M417" i="2" s="1"/>
  <c r="J416" i="2"/>
  <c r="M416" i="2" s="1"/>
  <c r="J415" i="2"/>
  <c r="M415" i="2" s="1"/>
  <c r="J409" i="2"/>
  <c r="M409" i="2" s="1"/>
  <c r="J408" i="2"/>
  <c r="M408" i="2" s="1"/>
  <c r="J407" i="2"/>
  <c r="M407" i="2" s="1"/>
  <c r="J406" i="2"/>
  <c r="M406" i="2" s="1"/>
  <c r="J405" i="2"/>
  <c r="M405" i="2" s="1"/>
  <c r="J401" i="2"/>
  <c r="M401" i="2" s="1"/>
  <c r="J400" i="2"/>
  <c r="M400" i="2" s="1"/>
  <c r="J399" i="2"/>
  <c r="M399" i="2" s="1"/>
  <c r="J303" i="2"/>
  <c r="J301" i="2"/>
  <c r="J300" i="2"/>
  <c r="J298" i="2"/>
  <c r="J297" i="2"/>
  <c r="J295" i="2"/>
  <c r="J294" i="2"/>
  <c r="J293" i="2"/>
  <c r="J292" i="2"/>
  <c r="J291" i="2"/>
  <c r="J289" i="2"/>
  <c r="J288" i="2"/>
  <c r="J287" i="2"/>
  <c r="J286" i="2"/>
  <c r="J285" i="2"/>
  <c r="J284" i="2"/>
  <c r="J283" i="2"/>
  <c r="J282" i="2"/>
  <c r="J281" i="2"/>
  <c r="J280" i="2"/>
  <c r="J279" i="2"/>
  <c r="J277" i="2"/>
  <c r="J276" i="2"/>
  <c r="J274" i="2"/>
  <c r="J273" i="2"/>
  <c r="J270" i="2"/>
  <c r="J268" i="2"/>
  <c r="J267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47" i="2"/>
  <c r="J246" i="2"/>
  <c r="J245" i="2"/>
  <c r="J244" i="2"/>
  <c r="J243" i="2"/>
  <c r="J242" i="2"/>
  <c r="J241" i="2"/>
  <c r="J240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0" i="2"/>
  <c r="J217" i="2"/>
  <c r="J216" i="2"/>
  <c r="J215" i="2"/>
  <c r="J214" i="2"/>
  <c r="J213" i="2"/>
  <c r="J212" i="2"/>
  <c r="J211" i="2"/>
  <c r="J191" i="2"/>
  <c r="J189" i="2"/>
  <c r="J188" i="2"/>
  <c r="J173" i="2"/>
  <c r="J172" i="2"/>
  <c r="J171" i="2"/>
  <c r="J121" i="2"/>
  <c r="J38" i="2"/>
  <c r="J27" i="2"/>
  <c r="J21" i="2"/>
  <c r="J17" i="2" l="1"/>
  <c r="J22" i="2"/>
  <c r="J24" i="2"/>
  <c r="J26" i="2"/>
  <c r="J28" i="2"/>
  <c r="J30" i="2"/>
  <c r="J40" i="2"/>
  <c r="J54" i="2"/>
  <c r="J61" i="2"/>
  <c r="J70" i="2"/>
  <c r="J72" i="2"/>
  <c r="J74" i="2"/>
  <c r="J108" i="2"/>
  <c r="J110" i="2"/>
  <c r="J112" i="2"/>
  <c r="J114" i="2"/>
  <c r="J116" i="2"/>
  <c r="J118" i="2"/>
  <c r="J120" i="2"/>
  <c r="J122" i="2"/>
  <c r="J124" i="2"/>
  <c r="J179" i="2"/>
  <c r="J185" i="2"/>
  <c r="J187" i="2"/>
  <c r="J250" i="2"/>
  <c r="J252" i="2"/>
  <c r="J389" i="2"/>
  <c r="J391" i="2"/>
  <c r="J403" i="2"/>
  <c r="M403" i="2" s="1"/>
  <c r="G85" i="5"/>
  <c r="J413" i="2"/>
  <c r="M413" i="2" s="1"/>
  <c r="J419" i="2"/>
  <c r="M419" i="2" s="1"/>
  <c r="J423" i="2"/>
  <c r="M423" i="2" s="1"/>
  <c r="J425" i="2"/>
  <c r="M425" i="2" s="1"/>
  <c r="J23" i="2"/>
  <c r="J25" i="2"/>
  <c r="J29" i="2"/>
  <c r="J31" i="2"/>
  <c r="J39" i="2"/>
  <c r="J58" i="2"/>
  <c r="J60" i="2"/>
  <c r="J69" i="2"/>
  <c r="J71" i="2"/>
  <c r="J73" i="2"/>
  <c r="J107" i="2"/>
  <c r="J109" i="2"/>
  <c r="J111" i="2"/>
  <c r="J113" i="2"/>
  <c r="J115" i="2"/>
  <c r="J117" i="2"/>
  <c r="J119" i="2"/>
  <c r="J123" i="2"/>
  <c r="J178" i="2"/>
  <c r="J182" i="2"/>
  <c r="J249" i="2"/>
  <c r="J251" i="2"/>
  <c r="J253" i="2"/>
  <c r="J388" i="2"/>
  <c r="J390" i="2"/>
  <c r="J392" i="2"/>
  <c r="J402" i="2"/>
  <c r="M402" i="2" s="1"/>
  <c r="J404" i="2"/>
  <c r="M404" i="2" s="1"/>
  <c r="J412" i="2"/>
  <c r="M412" i="2" s="1"/>
  <c r="J414" i="2"/>
  <c r="M414" i="2" s="1"/>
  <c r="J418" i="2"/>
  <c r="M418" i="2" s="1"/>
  <c r="J420" i="2"/>
  <c r="M420" i="2" s="1"/>
  <c r="J422" i="2"/>
  <c r="M422" i="2" s="1"/>
  <c r="J424" i="2"/>
  <c r="M424" i="2" s="1"/>
  <c r="J426" i="2"/>
  <c r="M426" i="2" s="1"/>
  <c r="J208" i="2"/>
  <c r="J210" i="2"/>
  <c r="J218" i="2"/>
  <c r="J222" i="2"/>
  <c r="J209" i="2"/>
  <c r="J219" i="2"/>
  <c r="J221" i="2"/>
  <c r="G90" i="5" l="1"/>
  <c r="O90" i="5" s="1"/>
  <c r="F91" i="5"/>
  <c r="K91" i="5" s="1"/>
  <c r="F89" i="5"/>
  <c r="N89" i="5" s="1"/>
  <c r="G92" i="5"/>
  <c r="L92" i="5" s="1"/>
  <c r="G91" i="5"/>
  <c r="L91" i="5" s="1"/>
  <c r="G89" i="5"/>
  <c r="L89" i="5" s="1"/>
  <c r="G87" i="5"/>
  <c r="L87" i="5" s="1"/>
  <c r="F92" i="5"/>
  <c r="H87" i="5"/>
  <c r="M87" i="5" s="1"/>
  <c r="H90" i="5"/>
  <c r="M90" i="5" s="1"/>
  <c r="H92" i="5"/>
  <c r="M92" i="5" s="1"/>
  <c r="H91" i="5"/>
  <c r="M91" i="5" s="1"/>
  <c r="H89" i="5"/>
  <c r="F87" i="5"/>
  <c r="L85" i="5"/>
  <c r="N91" i="5" l="1"/>
  <c r="K89" i="5"/>
  <c r="L90" i="5"/>
  <c r="L93" i="5" s="1"/>
  <c r="O92" i="5"/>
  <c r="O91" i="5"/>
  <c r="G93" i="5"/>
  <c r="E19" i="10" s="1"/>
  <c r="N92" i="5"/>
  <c r="O89" i="5"/>
  <c r="P89" i="5"/>
  <c r="K92" i="5"/>
  <c r="P87" i="5"/>
  <c r="F93" i="5"/>
  <c r="D19" i="10" s="1"/>
  <c r="J19" i="10" s="1"/>
  <c r="P90" i="5"/>
  <c r="N87" i="5"/>
  <c r="O87" i="5"/>
  <c r="K87" i="5"/>
  <c r="M89" i="5"/>
  <c r="M93" i="5" s="1"/>
  <c r="H93" i="5"/>
  <c r="F19" i="10" s="1"/>
  <c r="P91" i="5"/>
  <c r="P92" i="5"/>
  <c r="N93" i="5" l="1"/>
  <c r="K93" i="5"/>
  <c r="O93" i="5"/>
  <c r="P93" i="5"/>
  <c r="S118" i="5" l="1"/>
  <c r="F392" i="2" l="1"/>
  <c r="F391" i="2"/>
  <c r="F390" i="2"/>
  <c r="F389" i="2"/>
  <c r="F388" i="2"/>
  <c r="F279" i="2"/>
  <c r="F278" i="2"/>
  <c r="F277" i="2"/>
  <c r="F276" i="2"/>
  <c r="F274" i="2"/>
  <c r="F273" i="2"/>
  <c r="F271" i="2"/>
  <c r="F270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191" i="2"/>
  <c r="F140" i="2"/>
  <c r="F139" i="2"/>
  <c r="F138" i="2"/>
  <c r="F124" i="2"/>
  <c r="F123" i="2"/>
  <c r="F122" i="2"/>
  <c r="F121" i="2"/>
  <c r="F120" i="2"/>
  <c r="F119" i="2"/>
  <c r="F83" i="2"/>
  <c r="F82" i="2"/>
  <c r="F81" i="2"/>
  <c r="F80" i="2"/>
  <c r="F79" i="2"/>
  <c r="F78" i="2"/>
  <c r="F77" i="2"/>
  <c r="F76" i="2"/>
  <c r="F75" i="2"/>
  <c r="F30" i="2"/>
  <c r="F29" i="2"/>
  <c r="F28" i="2"/>
  <c r="F27" i="2"/>
  <c r="F26" i="2"/>
  <c r="F25" i="2"/>
  <c r="F24" i="2"/>
  <c r="F23" i="2"/>
  <c r="F22" i="2"/>
  <c r="F21" i="2"/>
  <c r="F182" i="2" l="1"/>
  <c r="J166" i="7" l="1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18" i="7"/>
  <c r="J106" i="7"/>
  <c r="J105" i="7"/>
  <c r="J104" i="7"/>
  <c r="J103" i="7"/>
  <c r="J102" i="7"/>
  <c r="J101" i="7"/>
  <c r="J100" i="7"/>
  <c r="J99" i="7"/>
  <c r="J98" i="7"/>
  <c r="J92" i="7"/>
  <c r="J91" i="7"/>
  <c r="J90" i="7"/>
  <c r="J89" i="7"/>
  <c r="J88" i="7"/>
  <c r="J85" i="7"/>
  <c r="J84" i="7"/>
  <c r="J83" i="7"/>
  <c r="J97" i="7"/>
  <c r="J96" i="7"/>
  <c r="J95" i="7"/>
  <c r="J51" i="7"/>
  <c r="J50" i="7"/>
  <c r="J49" i="7"/>
  <c r="J43" i="7"/>
  <c r="J18" i="7"/>
  <c r="J33" i="7" l="1"/>
  <c r="J29" i="7"/>
  <c r="J19" i="7"/>
  <c r="J125" i="7" l="1"/>
  <c r="J126" i="7"/>
  <c r="J127" i="7"/>
  <c r="J131" i="7"/>
  <c r="J132" i="7"/>
  <c r="J133" i="7"/>
  <c r="J158" i="7"/>
  <c r="J161" i="7"/>
  <c r="J164" i="7"/>
  <c r="J167" i="7"/>
  <c r="J168" i="7"/>
  <c r="G9" i="7" l="1"/>
  <c r="F19" i="7" l="1"/>
  <c r="F23" i="7" l="1"/>
  <c r="F24" i="7"/>
  <c r="F26" i="7"/>
  <c r="F27" i="7"/>
  <c r="F40" i="7"/>
  <c r="F41" i="7"/>
  <c r="F56" i="7"/>
  <c r="F57" i="7"/>
  <c r="F61" i="7"/>
  <c r="F62" i="7"/>
  <c r="F64" i="7"/>
  <c r="F119" i="7"/>
  <c r="F121" i="7"/>
  <c r="F167" i="7"/>
  <c r="F168" i="7"/>
  <c r="O170" i="7"/>
  <c r="P170" i="7" l="1"/>
  <c r="I94" i="6"/>
  <c r="L94" i="6" l="1"/>
  <c r="J94" i="6"/>
  <c r="F289" i="2" l="1"/>
  <c r="F288" i="2"/>
  <c r="F287" i="2"/>
  <c r="F286" i="2"/>
  <c r="F285" i="2"/>
  <c r="F284" i="2"/>
  <c r="F283" i="2"/>
  <c r="F282" i="2"/>
  <c r="F281" i="2"/>
  <c r="F280" i="2"/>
  <c r="I392" i="2" l="1"/>
  <c r="I391" i="2"/>
  <c r="I390" i="2"/>
  <c r="I389" i="2"/>
  <c r="I388" i="2"/>
  <c r="I291" i="2"/>
  <c r="I289" i="2"/>
  <c r="I288" i="2"/>
  <c r="I287" i="2"/>
  <c r="I286" i="2"/>
  <c r="I285" i="2"/>
  <c r="I284" i="2"/>
  <c r="I283" i="2"/>
  <c r="I282" i="2"/>
  <c r="I281" i="2"/>
  <c r="I280" i="2"/>
  <c r="I279" i="2"/>
  <c r="I277" i="2"/>
  <c r="I276" i="2"/>
  <c r="I274" i="2"/>
  <c r="I273" i="2"/>
  <c r="I271" i="2"/>
  <c r="I270" i="2"/>
  <c r="I268" i="2"/>
  <c r="I267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8" i="2"/>
  <c r="I189" i="2"/>
  <c r="I121" i="2"/>
  <c r="I107" i="2"/>
  <c r="I81" i="2"/>
  <c r="M81" i="2" s="1"/>
  <c r="I76" i="2"/>
  <c r="M76" i="2" s="1"/>
  <c r="I75" i="2"/>
  <c r="M75" i="2" s="1"/>
  <c r="G38" i="5" l="1"/>
  <c r="L38" i="5" s="1"/>
  <c r="I31" i="2"/>
  <c r="I66" i="2"/>
  <c r="I69" i="2"/>
  <c r="I71" i="2"/>
  <c r="I73" i="2"/>
  <c r="I77" i="2"/>
  <c r="M77" i="2" s="1"/>
  <c r="I79" i="2"/>
  <c r="M79" i="2" s="1"/>
  <c r="O81" i="2"/>
  <c r="F37" i="5"/>
  <c r="I83" i="2"/>
  <c r="M83" i="2" s="1"/>
  <c r="I109" i="2"/>
  <c r="I111" i="2"/>
  <c r="I113" i="2"/>
  <c r="I115" i="2"/>
  <c r="I117" i="2"/>
  <c r="I119" i="2"/>
  <c r="I123" i="2"/>
  <c r="I17" i="2"/>
  <c r="I30" i="2"/>
  <c r="I54" i="2"/>
  <c r="I61" i="2"/>
  <c r="I65" i="2"/>
  <c r="I67" i="2"/>
  <c r="I70" i="2"/>
  <c r="I72" i="2"/>
  <c r="I74" i="2"/>
  <c r="I78" i="2"/>
  <c r="M78" i="2" s="1"/>
  <c r="I80" i="2"/>
  <c r="M80" i="2" s="1"/>
  <c r="I82" i="2"/>
  <c r="M82" i="2" s="1"/>
  <c r="I108" i="2"/>
  <c r="I110" i="2"/>
  <c r="I112" i="2"/>
  <c r="I114" i="2"/>
  <c r="I116" i="2"/>
  <c r="I118" i="2"/>
  <c r="I120" i="2"/>
  <c r="I122" i="2"/>
  <c r="I124" i="2"/>
  <c r="O82" i="2" l="1"/>
  <c r="G37" i="5"/>
  <c r="O37" i="5" s="1"/>
  <c r="H36" i="5"/>
  <c r="M36" i="5" s="1"/>
  <c r="O80" i="2"/>
  <c r="O78" i="2"/>
  <c r="F36" i="5"/>
  <c r="H37" i="5"/>
  <c r="M37" i="5" s="1"/>
  <c r="O83" i="2"/>
  <c r="K37" i="5"/>
  <c r="O79" i="2"/>
  <c r="G36" i="5"/>
  <c r="H38" i="5"/>
  <c r="M38" i="5" l="1"/>
  <c r="P38" i="5"/>
  <c r="L36" i="5"/>
  <c r="P36" i="5"/>
  <c r="O36" i="5"/>
  <c r="K36" i="5"/>
  <c r="N36" i="5"/>
  <c r="L37" i="5"/>
  <c r="P37" i="5"/>
  <c r="H31" i="2" l="1"/>
  <c r="H30" i="2"/>
  <c r="H166" i="7" l="1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0" i="7"/>
  <c r="H139" i="7"/>
  <c r="H138" i="7"/>
  <c r="H137" i="7"/>
  <c r="H136" i="7"/>
  <c r="H135" i="7"/>
  <c r="H134" i="7"/>
  <c r="H128" i="7"/>
  <c r="H118" i="7"/>
  <c r="H106" i="7"/>
  <c r="H105" i="7"/>
  <c r="H104" i="7"/>
  <c r="H103" i="7"/>
  <c r="H102" i="7"/>
  <c r="H101" i="7"/>
  <c r="H100" i="7"/>
  <c r="H99" i="7"/>
  <c r="H98" i="7"/>
  <c r="H92" i="7"/>
  <c r="H91" i="7"/>
  <c r="H90" i="7"/>
  <c r="H89" i="7"/>
  <c r="H88" i="7"/>
  <c r="H86" i="7"/>
  <c r="H85" i="7"/>
  <c r="H84" i="7"/>
  <c r="H83" i="7"/>
  <c r="H97" i="7"/>
  <c r="H96" i="7"/>
  <c r="H95" i="7"/>
  <c r="H94" i="7"/>
  <c r="H93" i="7"/>
  <c r="H82" i="7"/>
  <c r="H81" i="7"/>
  <c r="H80" i="7"/>
  <c r="H79" i="7"/>
  <c r="H78" i="7"/>
  <c r="H52" i="7"/>
  <c r="H51" i="7"/>
  <c r="H50" i="7"/>
  <c r="H49" i="7"/>
  <c r="H43" i="7"/>
  <c r="H18" i="7"/>
  <c r="H33" i="7" l="1"/>
  <c r="H29" i="7"/>
  <c r="H19" i="7"/>
  <c r="H125" i="7" l="1"/>
  <c r="H130" i="7"/>
  <c r="H131" i="7"/>
  <c r="H132" i="7"/>
  <c r="H133" i="7"/>
  <c r="H158" i="7"/>
  <c r="H161" i="7"/>
  <c r="H162" i="7"/>
  <c r="H164" i="7"/>
  <c r="H167" i="7"/>
  <c r="H168" i="7"/>
  <c r="H9" i="7"/>
  <c r="H392" i="2" l="1"/>
  <c r="H391" i="2"/>
  <c r="H390" i="2"/>
  <c r="H389" i="2"/>
  <c r="H388" i="2"/>
  <c r="H291" i="2"/>
  <c r="H289" i="2"/>
  <c r="H288" i="2"/>
  <c r="H287" i="2"/>
  <c r="H286" i="2"/>
  <c r="H285" i="2"/>
  <c r="H284" i="2"/>
  <c r="H283" i="2"/>
  <c r="H282" i="2"/>
  <c r="H281" i="2"/>
  <c r="H280" i="2"/>
  <c r="H279" i="2"/>
  <c r="H277" i="2"/>
  <c r="H274" i="2"/>
  <c r="H271" i="2"/>
  <c r="H270" i="2"/>
  <c r="H268" i="2"/>
  <c r="H267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M242" i="2" s="1"/>
  <c r="H241" i="2"/>
  <c r="H240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173" i="2"/>
  <c r="H172" i="2"/>
  <c r="H171" i="2"/>
  <c r="H170" i="2"/>
  <c r="H169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74" i="2"/>
  <c r="H73" i="2"/>
  <c r="H72" i="2"/>
  <c r="H61" i="2"/>
  <c r="H60" i="2"/>
  <c r="H58" i="2"/>
  <c r="H40" i="2"/>
  <c r="H39" i="2"/>
  <c r="H38" i="2"/>
  <c r="H29" i="2"/>
  <c r="H28" i="2"/>
  <c r="H27" i="2"/>
  <c r="H26" i="2"/>
  <c r="H25" i="2"/>
  <c r="H24" i="2"/>
  <c r="H23" i="2"/>
  <c r="H22" i="2"/>
  <c r="H21" i="2"/>
  <c r="H17" i="2"/>
  <c r="G166" i="7" l="1"/>
  <c r="G157" i="7"/>
  <c r="G156" i="7"/>
  <c r="G155" i="7"/>
  <c r="G154" i="7"/>
  <c r="G153" i="7"/>
  <c r="G152" i="7"/>
  <c r="G151" i="7"/>
  <c r="G150" i="7"/>
  <c r="G149" i="7"/>
  <c r="G148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28" i="7"/>
  <c r="G118" i="7"/>
  <c r="G106" i="7"/>
  <c r="G105" i="7"/>
  <c r="G104" i="7"/>
  <c r="G103" i="7"/>
  <c r="G102" i="7"/>
  <c r="G101" i="7"/>
  <c r="G100" i="7"/>
  <c r="G99" i="7"/>
  <c r="G98" i="7"/>
  <c r="G92" i="7"/>
  <c r="G91" i="7"/>
  <c r="G90" i="7"/>
  <c r="G89" i="7"/>
  <c r="G88" i="7"/>
  <c r="G85" i="7"/>
  <c r="G84" i="7"/>
  <c r="G83" i="7"/>
  <c r="G97" i="7"/>
  <c r="G96" i="7"/>
  <c r="G95" i="7"/>
  <c r="G94" i="7"/>
  <c r="G93" i="7"/>
  <c r="G81" i="7"/>
  <c r="G80" i="7"/>
  <c r="G79" i="7"/>
  <c r="G78" i="7"/>
  <c r="G52" i="7"/>
  <c r="G51" i="7"/>
  <c r="G50" i="7"/>
  <c r="G49" i="7"/>
  <c r="G43" i="7"/>
  <c r="G18" i="7"/>
  <c r="G29" i="7" l="1"/>
  <c r="G19" i="7"/>
  <c r="G125" i="7" l="1"/>
  <c r="G127" i="7"/>
  <c r="G129" i="7"/>
  <c r="G130" i="7"/>
  <c r="G131" i="7"/>
  <c r="G132" i="7"/>
  <c r="G133" i="7"/>
  <c r="G158" i="7"/>
  <c r="G160" i="7"/>
  <c r="G161" i="7"/>
  <c r="G163" i="7"/>
  <c r="G164" i="7"/>
  <c r="G167" i="7"/>
  <c r="G168" i="7"/>
  <c r="G169" i="7"/>
  <c r="O169" i="7" s="1"/>
  <c r="P169" i="7" l="1"/>
  <c r="P172" i="7" s="1"/>
  <c r="I93" i="6"/>
  <c r="J93" i="6" l="1"/>
  <c r="J96" i="6" s="1"/>
  <c r="L93" i="6"/>
  <c r="L96" i="6" s="1"/>
  <c r="M398" i="2" l="1"/>
  <c r="M397" i="2"/>
  <c r="M395" i="2"/>
  <c r="M394" i="2"/>
  <c r="G392" i="2"/>
  <c r="M392" i="2" s="1"/>
  <c r="G391" i="2"/>
  <c r="M391" i="2" s="1"/>
  <c r="G390" i="2"/>
  <c r="M390" i="2" s="1"/>
  <c r="G389" i="2"/>
  <c r="M389" i="2" s="1"/>
  <c r="G388" i="2"/>
  <c r="M388" i="2" s="1"/>
  <c r="G291" i="2"/>
  <c r="G290" i="2"/>
  <c r="G289" i="2"/>
  <c r="M289" i="2" s="1"/>
  <c r="G288" i="2"/>
  <c r="M288" i="2" s="1"/>
  <c r="G287" i="2"/>
  <c r="M287" i="2" s="1"/>
  <c r="G286" i="2"/>
  <c r="M286" i="2" s="1"/>
  <c r="G285" i="2"/>
  <c r="M285" i="2" s="1"/>
  <c r="G284" i="2"/>
  <c r="M284" i="2" s="1"/>
  <c r="G283" i="2"/>
  <c r="M283" i="2" s="1"/>
  <c r="G282" i="2"/>
  <c r="M282" i="2" s="1"/>
  <c r="G281" i="2"/>
  <c r="M281" i="2" s="1"/>
  <c r="G280" i="2"/>
  <c r="M280" i="2" s="1"/>
  <c r="G279" i="2"/>
  <c r="M279" i="2" s="1"/>
  <c r="G278" i="2"/>
  <c r="G277" i="2"/>
  <c r="M277" i="2" s="1"/>
  <c r="G276" i="2"/>
  <c r="G274" i="2"/>
  <c r="M274" i="2" s="1"/>
  <c r="G273" i="2"/>
  <c r="G271" i="2"/>
  <c r="G270" i="2"/>
  <c r="M270" i="2" s="1"/>
  <c r="G268" i="2"/>
  <c r="G267" i="2"/>
  <c r="M267" i="2" s="1"/>
  <c r="G266" i="2"/>
  <c r="G265" i="2"/>
  <c r="M265" i="2" s="1"/>
  <c r="G264" i="2"/>
  <c r="M264" i="2" s="1"/>
  <c r="G263" i="2"/>
  <c r="M263" i="2" s="1"/>
  <c r="G262" i="2"/>
  <c r="M262" i="2" s="1"/>
  <c r="G261" i="2"/>
  <c r="M261" i="2" s="1"/>
  <c r="G260" i="2"/>
  <c r="M260" i="2" s="1"/>
  <c r="G259" i="2"/>
  <c r="M259" i="2" s="1"/>
  <c r="G258" i="2"/>
  <c r="M258" i="2" s="1"/>
  <c r="G257" i="2"/>
  <c r="M257" i="2" s="1"/>
  <c r="G256" i="2"/>
  <c r="M256" i="2" s="1"/>
  <c r="G255" i="2"/>
  <c r="M255" i="2" s="1"/>
  <c r="G254" i="2"/>
  <c r="M254" i="2" s="1"/>
  <c r="G253" i="2"/>
  <c r="M253" i="2" s="1"/>
  <c r="G252" i="2"/>
  <c r="M252" i="2" s="1"/>
  <c r="G251" i="2"/>
  <c r="M251" i="2" s="1"/>
  <c r="G250" i="2"/>
  <c r="M250" i="2" s="1"/>
  <c r="G249" i="2"/>
  <c r="M249" i="2" s="1"/>
  <c r="G248" i="2"/>
  <c r="G247" i="2"/>
  <c r="M247" i="2" s="1"/>
  <c r="G246" i="2"/>
  <c r="M246" i="2" s="1"/>
  <c r="G245" i="2"/>
  <c r="M245" i="2" s="1"/>
  <c r="G244" i="2"/>
  <c r="M244" i="2" s="1"/>
  <c r="G243" i="2"/>
  <c r="M243" i="2" s="1"/>
  <c r="G241" i="2"/>
  <c r="M241" i="2" s="1"/>
  <c r="G240" i="2"/>
  <c r="M240" i="2" s="1"/>
  <c r="G238" i="2"/>
  <c r="M238" i="2" s="1"/>
  <c r="G237" i="2"/>
  <c r="M237" i="2" s="1"/>
  <c r="G236" i="2"/>
  <c r="M236" i="2" s="1"/>
  <c r="G235" i="2"/>
  <c r="M235" i="2" s="1"/>
  <c r="G234" i="2"/>
  <c r="M234" i="2" s="1"/>
  <c r="G233" i="2"/>
  <c r="M233" i="2" s="1"/>
  <c r="G232" i="2"/>
  <c r="M232" i="2" s="1"/>
  <c r="G231" i="2"/>
  <c r="M231" i="2" s="1"/>
  <c r="G230" i="2"/>
  <c r="M230" i="2" s="1"/>
  <c r="G229" i="2"/>
  <c r="M229" i="2" s="1"/>
  <c r="G228" i="2"/>
  <c r="M228" i="2" s="1"/>
  <c r="G227" i="2"/>
  <c r="M227" i="2" s="1"/>
  <c r="G226" i="2"/>
  <c r="M226" i="2" s="1"/>
  <c r="G225" i="2"/>
  <c r="M225" i="2" s="1"/>
  <c r="G224" i="2"/>
  <c r="M224" i="2" s="1"/>
  <c r="G223" i="2"/>
  <c r="M223" i="2" s="1"/>
  <c r="G222" i="2"/>
  <c r="M222" i="2" s="1"/>
  <c r="G221" i="2"/>
  <c r="M221" i="2" s="1"/>
  <c r="G220" i="2"/>
  <c r="G219" i="2"/>
  <c r="M219" i="2" s="1"/>
  <c r="G218" i="2"/>
  <c r="M218" i="2" s="1"/>
  <c r="G217" i="2"/>
  <c r="M217" i="2" s="1"/>
  <c r="G216" i="2"/>
  <c r="M216" i="2" s="1"/>
  <c r="G215" i="2"/>
  <c r="M215" i="2" s="1"/>
  <c r="G214" i="2"/>
  <c r="M214" i="2" s="1"/>
  <c r="G213" i="2"/>
  <c r="M213" i="2" s="1"/>
  <c r="G212" i="2"/>
  <c r="M212" i="2" s="1"/>
  <c r="G211" i="2"/>
  <c r="M211" i="2" s="1"/>
  <c r="G210" i="2"/>
  <c r="M210" i="2" s="1"/>
  <c r="G209" i="2"/>
  <c r="M209" i="2" s="1"/>
  <c r="G208" i="2"/>
  <c r="M208" i="2" s="1"/>
  <c r="G191" i="2"/>
  <c r="G189" i="2"/>
  <c r="G173" i="2"/>
  <c r="M173" i="2" s="1"/>
  <c r="G172" i="2"/>
  <c r="M172" i="2" s="1"/>
  <c r="G171" i="2"/>
  <c r="M171" i="2" s="1"/>
  <c r="G124" i="2"/>
  <c r="M124" i="2" s="1"/>
  <c r="G123" i="2"/>
  <c r="M123" i="2" s="1"/>
  <c r="G122" i="2"/>
  <c r="M122" i="2" s="1"/>
  <c r="G121" i="2"/>
  <c r="M121" i="2" s="1"/>
  <c r="G120" i="2"/>
  <c r="M120" i="2" s="1"/>
  <c r="G119" i="2"/>
  <c r="M119" i="2" s="1"/>
  <c r="G118" i="2"/>
  <c r="G117" i="2"/>
  <c r="G116" i="2"/>
  <c r="G115" i="2"/>
  <c r="G114" i="2"/>
  <c r="G113" i="2"/>
  <c r="G112" i="2"/>
  <c r="G111" i="2"/>
  <c r="G110" i="2"/>
  <c r="G109" i="2"/>
  <c r="G108" i="2"/>
  <c r="G107" i="2"/>
  <c r="G74" i="2"/>
  <c r="G73" i="2"/>
  <c r="G72" i="2"/>
  <c r="G61" i="2"/>
  <c r="G60" i="2"/>
  <c r="G59" i="2"/>
  <c r="G54" i="2"/>
  <c r="G40" i="2"/>
  <c r="G39" i="2"/>
  <c r="G38" i="2"/>
  <c r="G31" i="2"/>
  <c r="M31" i="2" s="1"/>
  <c r="O31" i="2" s="1"/>
  <c r="G30" i="2"/>
  <c r="M30" i="2" s="1"/>
  <c r="O30" i="2" s="1"/>
  <c r="G29" i="2"/>
  <c r="M29" i="2" s="1"/>
  <c r="O29" i="2" s="1"/>
  <c r="G28" i="2"/>
  <c r="M28" i="2" s="1"/>
  <c r="O28" i="2" s="1"/>
  <c r="G27" i="2"/>
  <c r="M27" i="2" s="1"/>
  <c r="G26" i="2"/>
  <c r="M26" i="2" s="1"/>
  <c r="G25" i="2"/>
  <c r="M25" i="2" s="1"/>
  <c r="G24" i="2"/>
  <c r="M24" i="2" s="1"/>
  <c r="G23" i="2"/>
  <c r="M23" i="2" s="1"/>
  <c r="O23" i="2" s="1"/>
  <c r="G22" i="2"/>
  <c r="M22" i="2" s="1"/>
  <c r="O22" i="2" s="1"/>
  <c r="G21" i="2"/>
  <c r="M21" i="2" s="1"/>
  <c r="G17" i="2"/>
  <c r="M17" i="2" s="1"/>
  <c r="O17" i="2" s="1"/>
  <c r="G55" i="5" l="1"/>
  <c r="L55" i="5" s="1"/>
  <c r="G116" i="5"/>
  <c r="H117" i="5"/>
  <c r="M117" i="5" s="1"/>
  <c r="G70" i="5"/>
  <c r="G71" i="5" s="1"/>
  <c r="G123" i="5"/>
  <c r="L123" i="5" s="1"/>
  <c r="H82" i="5"/>
  <c r="M82" i="5" s="1"/>
  <c r="G81" i="5"/>
  <c r="L81" i="5" s="1"/>
  <c r="G83" i="5"/>
  <c r="G54" i="5"/>
  <c r="L54" i="5" s="1"/>
  <c r="F55" i="5"/>
  <c r="N55" i="5" s="1"/>
  <c r="F116" i="5"/>
  <c r="K116" i="5" s="1"/>
  <c r="G117" i="5"/>
  <c r="L117" i="5" s="1"/>
  <c r="H70" i="5"/>
  <c r="M70" i="5" s="1"/>
  <c r="M71" i="5" s="1"/>
  <c r="H73" i="5"/>
  <c r="M73" i="5" s="1"/>
  <c r="G119" i="5"/>
  <c r="L119" i="5" s="1"/>
  <c r="H122" i="5"/>
  <c r="M122" i="5" s="1"/>
  <c r="H120" i="5"/>
  <c r="G121" i="5"/>
  <c r="L121" i="5" s="1"/>
  <c r="G82" i="5"/>
  <c r="L82" i="5" s="1"/>
  <c r="H81" i="5"/>
  <c r="M81" i="5" s="1"/>
  <c r="F14" i="5"/>
  <c r="O24" i="2"/>
  <c r="H14" i="5"/>
  <c r="M14" i="5" s="1"/>
  <c r="O26" i="2"/>
  <c r="F54" i="5"/>
  <c r="F117" i="5"/>
  <c r="H74" i="5"/>
  <c r="M74" i="5" s="1"/>
  <c r="H76" i="5"/>
  <c r="M76" i="5" s="1"/>
  <c r="G77" i="5"/>
  <c r="G75" i="5"/>
  <c r="F81" i="5"/>
  <c r="G84" i="5"/>
  <c r="F85" i="5"/>
  <c r="P85" i="5" s="1"/>
  <c r="O21" i="2"/>
  <c r="O25" i="2"/>
  <c r="G14" i="5"/>
  <c r="O27" i="2"/>
  <c r="H55" i="5"/>
  <c r="M55" i="5" s="1"/>
  <c r="H116" i="5"/>
  <c r="G73" i="5"/>
  <c r="G76" i="5"/>
  <c r="G74" i="5"/>
  <c r="L74" i="5" s="1"/>
  <c r="F77" i="5"/>
  <c r="F75" i="5"/>
  <c r="H77" i="5"/>
  <c r="M77" i="5" s="1"/>
  <c r="H75" i="5"/>
  <c r="M75" i="5" s="1"/>
  <c r="H121" i="5"/>
  <c r="H84" i="5"/>
  <c r="M84" i="5" s="1"/>
  <c r="H83" i="5"/>
  <c r="M83" i="5" s="1"/>
  <c r="O55" i="5" l="1"/>
  <c r="F118" i="5"/>
  <c r="L83" i="5"/>
  <c r="N116" i="5"/>
  <c r="H71" i="5"/>
  <c r="O116" i="5"/>
  <c r="G118" i="5"/>
  <c r="L70" i="5"/>
  <c r="L71" i="5" s="1"/>
  <c r="L116" i="5"/>
  <c r="L118" i="5" s="1"/>
  <c r="P81" i="5"/>
  <c r="P116" i="5"/>
  <c r="K55" i="5"/>
  <c r="G86" i="5"/>
  <c r="E14" i="10" s="1"/>
  <c r="K77" i="5"/>
  <c r="R77" i="5"/>
  <c r="O77" i="5"/>
  <c r="K85" i="5"/>
  <c r="O85" i="5"/>
  <c r="H86" i="5"/>
  <c r="O81" i="5"/>
  <c r="K81" i="5"/>
  <c r="P75" i="5"/>
  <c r="L75" i="5"/>
  <c r="M78" i="5"/>
  <c r="P55" i="5"/>
  <c r="O75" i="5"/>
  <c r="R75" i="5"/>
  <c r="K75" i="5"/>
  <c r="L76" i="5"/>
  <c r="P76" i="5"/>
  <c r="L73" i="5"/>
  <c r="G78" i="5"/>
  <c r="E17" i="10" s="1"/>
  <c r="M116" i="5"/>
  <c r="M118" i="5" s="1"/>
  <c r="H118" i="5"/>
  <c r="P14" i="5"/>
  <c r="L14" i="5"/>
  <c r="L84" i="5"/>
  <c r="M86" i="5"/>
  <c r="L77" i="5"/>
  <c r="P77" i="5"/>
  <c r="H78" i="5"/>
  <c r="F17" i="10" s="1"/>
  <c r="K117" i="5"/>
  <c r="K118" i="5" s="1"/>
  <c r="P117" i="5"/>
  <c r="N117" i="5"/>
  <c r="O117" i="5"/>
  <c r="K54" i="5"/>
  <c r="O54" i="5"/>
  <c r="N54" i="5"/>
  <c r="O14" i="5"/>
  <c r="R14" i="5"/>
  <c r="K14" i="5"/>
  <c r="N14" i="5"/>
  <c r="L86" i="5" l="1"/>
  <c r="P118" i="5"/>
  <c r="N118" i="5"/>
  <c r="O118" i="5"/>
  <c r="F14" i="10"/>
  <c r="L78" i="5"/>
  <c r="L69" i="2" l="1"/>
  <c r="L271" i="2" l="1"/>
  <c r="J271" i="2" l="1"/>
  <c r="M271" i="2" s="1"/>
  <c r="H119" i="5" l="1"/>
  <c r="M119" i="5" s="1"/>
  <c r="L16" i="2" l="1"/>
  <c r="K16" i="2" l="1"/>
  <c r="J16" i="2" l="1"/>
  <c r="H16" i="2" l="1"/>
  <c r="G16" i="2" l="1"/>
  <c r="M16" i="2" s="1"/>
  <c r="O16" i="2" s="1"/>
  <c r="H290" i="2" l="1"/>
  <c r="H278" i="2"/>
  <c r="K290" i="2" l="1"/>
  <c r="K278" i="2"/>
  <c r="K268" i="2"/>
  <c r="M268" i="2" s="1"/>
  <c r="K266" i="2"/>
  <c r="K61" i="2"/>
  <c r="O61" i="2" s="1"/>
  <c r="K54" i="2"/>
  <c r="H123" i="5" l="1"/>
  <c r="M123" i="5" s="1"/>
  <c r="J278" i="2" l="1"/>
  <c r="J266" i="2"/>
  <c r="M248" i="2"/>
  <c r="F74" i="5" l="1"/>
  <c r="F76" i="5"/>
  <c r="R74" i="5" l="1"/>
  <c r="K74" i="5"/>
  <c r="O76" i="5"/>
  <c r="K76" i="5"/>
  <c r="R76" i="5"/>
  <c r="I290" i="2" l="1"/>
  <c r="I278" i="2"/>
  <c r="H191" i="2" l="1"/>
  <c r="L306" i="2" l="1"/>
  <c r="L304" i="2"/>
  <c r="L303" i="2"/>
  <c r="L301" i="2"/>
  <c r="L300" i="2"/>
  <c r="L299" i="2"/>
  <c r="L298" i="2"/>
  <c r="L297" i="2"/>
  <c r="L295" i="2"/>
  <c r="L294" i="2"/>
  <c r="L292" i="2"/>
  <c r="L290" i="2"/>
  <c r="L278" i="2"/>
  <c r="M278" i="2" s="1"/>
  <c r="L266" i="2"/>
  <c r="L220" i="2"/>
  <c r="N136" i="5" l="1"/>
  <c r="H10" i="7" l="1"/>
  <c r="H13" i="7"/>
  <c r="H14" i="7"/>
  <c r="H15" i="7"/>
  <c r="H16" i="7"/>
  <c r="H23" i="7"/>
  <c r="H24" i="7"/>
  <c r="H25" i="7"/>
  <c r="H26" i="7"/>
  <c r="H27" i="7"/>
  <c r="H28" i="7"/>
  <c r="H31" i="7"/>
  <c r="H34" i="7"/>
  <c r="H35" i="7"/>
  <c r="H36" i="7"/>
  <c r="H37" i="7"/>
  <c r="H40" i="7"/>
  <c r="H41" i="7"/>
  <c r="H45" i="7"/>
  <c r="H46" i="7"/>
  <c r="H48" i="7"/>
  <c r="H53" i="7"/>
  <c r="H54" i="7"/>
  <c r="H56" i="7"/>
  <c r="H57" i="7"/>
  <c r="H58" i="7"/>
  <c r="H59" i="7"/>
  <c r="H60" i="7"/>
  <c r="H61" i="7"/>
  <c r="H62" i="7"/>
  <c r="H64" i="7"/>
  <c r="H68" i="7"/>
  <c r="H69" i="7"/>
  <c r="H73" i="7"/>
  <c r="H74" i="7"/>
  <c r="H75" i="7"/>
  <c r="H76" i="7"/>
  <c r="H108" i="7"/>
  <c r="H111" i="7"/>
  <c r="H112" i="7"/>
  <c r="H113" i="7"/>
  <c r="H115" i="7"/>
  <c r="H116" i="7"/>
  <c r="H117" i="7"/>
  <c r="H119" i="7"/>
  <c r="H121" i="7"/>
  <c r="H65" i="7" l="1"/>
  <c r="H66" i="7"/>
  <c r="G14" i="7" l="1"/>
  <c r="G16" i="7"/>
  <c r="G23" i="7"/>
  <c r="G24" i="7"/>
  <c r="G26" i="7"/>
  <c r="G27" i="7"/>
  <c r="G28" i="7"/>
  <c r="G31" i="7"/>
  <c r="G34" i="7"/>
  <c r="G35" i="7"/>
  <c r="G36" i="7"/>
  <c r="G37" i="7"/>
  <c r="G40" i="7"/>
  <c r="G41" i="7"/>
  <c r="G45" i="7"/>
  <c r="G46" i="7"/>
  <c r="G53" i="7"/>
  <c r="G54" i="7"/>
  <c r="G56" i="7"/>
  <c r="G57" i="7"/>
  <c r="G58" i="7"/>
  <c r="G59" i="7"/>
  <c r="G60" i="7"/>
  <c r="G61" i="7"/>
  <c r="G62" i="7"/>
  <c r="G64" i="7"/>
  <c r="G68" i="7"/>
  <c r="G69" i="7"/>
  <c r="G73" i="7"/>
  <c r="G74" i="7"/>
  <c r="G75" i="7"/>
  <c r="G76" i="7"/>
  <c r="G108" i="7"/>
  <c r="G111" i="7"/>
  <c r="G112" i="7"/>
  <c r="G113" i="7"/>
  <c r="G116" i="7"/>
  <c r="G117" i="7"/>
  <c r="G119" i="7"/>
  <c r="G121" i="7"/>
  <c r="G65" i="7" l="1"/>
  <c r="K166" i="7" l="1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0" i="7"/>
  <c r="K138" i="7"/>
  <c r="K137" i="7"/>
  <c r="K136" i="7"/>
  <c r="K135" i="7"/>
  <c r="K134" i="7"/>
  <c r="K128" i="7"/>
  <c r="K118" i="7"/>
  <c r="K106" i="7"/>
  <c r="K105" i="7"/>
  <c r="K104" i="7"/>
  <c r="K103" i="7"/>
  <c r="K102" i="7"/>
  <c r="K101" i="7"/>
  <c r="K100" i="7"/>
  <c r="K99" i="7"/>
  <c r="K98" i="7"/>
  <c r="K92" i="7"/>
  <c r="K91" i="7"/>
  <c r="K90" i="7"/>
  <c r="K89" i="7"/>
  <c r="K88" i="7"/>
  <c r="K85" i="7"/>
  <c r="K84" i="7"/>
  <c r="K83" i="7"/>
  <c r="K97" i="7"/>
  <c r="K96" i="7"/>
  <c r="K95" i="7"/>
  <c r="K94" i="7"/>
  <c r="K93" i="7"/>
  <c r="K81" i="7"/>
  <c r="K80" i="7"/>
  <c r="K79" i="7"/>
  <c r="K78" i="7"/>
  <c r="K71" i="7"/>
  <c r="K52" i="7"/>
  <c r="K51" i="7"/>
  <c r="K50" i="7"/>
  <c r="K49" i="7"/>
  <c r="K43" i="7"/>
  <c r="K18" i="7"/>
  <c r="K29" i="7" l="1"/>
  <c r="K19" i="7"/>
  <c r="K13" i="7" l="1"/>
  <c r="K14" i="7"/>
  <c r="K16" i="7"/>
  <c r="K25" i="7"/>
  <c r="K26" i="7"/>
  <c r="K27" i="7"/>
  <c r="K30" i="7"/>
  <c r="K31" i="7"/>
  <c r="K34" i="7"/>
  <c r="K36" i="7"/>
  <c r="K37" i="7"/>
  <c r="K40" i="7"/>
  <c r="K41" i="7"/>
  <c r="K45" i="7"/>
  <c r="K46" i="7"/>
  <c r="K47" i="7"/>
  <c r="K53" i="7"/>
  <c r="K54" i="7"/>
  <c r="K56" i="7"/>
  <c r="K57" i="7"/>
  <c r="K58" i="7"/>
  <c r="K59" i="7"/>
  <c r="K60" i="7"/>
  <c r="K61" i="7"/>
  <c r="K62" i="7"/>
  <c r="K64" i="7"/>
  <c r="K68" i="7"/>
  <c r="K69" i="7"/>
  <c r="K70" i="7"/>
  <c r="K72" i="7"/>
  <c r="K73" i="7"/>
  <c r="K74" i="7"/>
  <c r="K75" i="7"/>
  <c r="K76" i="7"/>
  <c r="K108" i="7"/>
  <c r="K111" i="7"/>
  <c r="K113" i="7"/>
  <c r="K115" i="7"/>
  <c r="K116" i="7"/>
  <c r="K117" i="7"/>
  <c r="K119" i="7"/>
  <c r="K121" i="7"/>
  <c r="K125" i="7"/>
  <c r="K127" i="7"/>
  <c r="K130" i="7"/>
  <c r="K131" i="7"/>
  <c r="K132" i="7"/>
  <c r="K133" i="7"/>
  <c r="K158" i="7"/>
  <c r="K160" i="7"/>
  <c r="K161" i="7"/>
  <c r="K163" i="7"/>
  <c r="K164" i="7"/>
  <c r="K165" i="7"/>
  <c r="K167" i="7"/>
  <c r="K168" i="7"/>
  <c r="K9" i="7"/>
  <c r="K65" i="7" l="1"/>
  <c r="K220" i="2" l="1"/>
  <c r="M220" i="2" s="1"/>
  <c r="F70" i="5" s="1"/>
  <c r="F71" i="5" s="1"/>
  <c r="K70" i="5" l="1"/>
  <c r="K71" i="5" s="1"/>
  <c r="R70" i="5"/>
  <c r="R71" i="5" s="1"/>
  <c r="O70" i="5"/>
  <c r="J290" i="2" l="1"/>
  <c r="H71" i="7" l="1"/>
  <c r="H30" i="7" l="1"/>
  <c r="L183" i="2" l="1"/>
  <c r="L176" i="2"/>
  <c r="L152" i="2"/>
  <c r="C46" i="8" l="1"/>
  <c r="C40" i="8" l="1"/>
  <c r="C39" i="8" s="1"/>
  <c r="K23" i="7" l="1"/>
  <c r="K24" i="7"/>
  <c r="L151" i="2" l="1"/>
  <c r="L150" i="2"/>
  <c r="C60" i="8" l="1"/>
  <c r="D58" i="8" l="1"/>
  <c r="C59" i="8"/>
  <c r="C58" i="8" s="1"/>
  <c r="K58" i="8" l="1"/>
  <c r="R18" i="9" l="1"/>
  <c r="J71" i="7" l="1"/>
  <c r="J184" i="2" l="1"/>
  <c r="J183" i="2"/>
  <c r="J181" i="2"/>
  <c r="J152" i="2"/>
  <c r="J151" i="2"/>
  <c r="J130" i="2"/>
  <c r="I23" i="7" l="1"/>
  <c r="I24" i="7"/>
  <c r="I26" i="7"/>
  <c r="I27" i="7"/>
  <c r="I40" i="7"/>
  <c r="I41" i="7"/>
  <c r="I56" i="7"/>
  <c r="I57" i="7"/>
  <c r="I61" i="7"/>
  <c r="I62" i="7"/>
  <c r="I64" i="7"/>
  <c r="I119" i="7"/>
  <c r="I121" i="7"/>
  <c r="I266" i="2" l="1"/>
  <c r="H37" i="2" l="1"/>
  <c r="H107" i="7" l="1"/>
  <c r="H87" i="7"/>
  <c r="H77" i="7" l="1"/>
  <c r="H194" i="2" l="1"/>
  <c r="H189" i="2"/>
  <c r="H188" i="2"/>
  <c r="H187" i="2"/>
  <c r="H185" i="2"/>
  <c r="H184" i="2"/>
  <c r="H183" i="2"/>
  <c r="H182" i="2"/>
  <c r="H181" i="2"/>
  <c r="H179" i="2"/>
  <c r="H178" i="2"/>
  <c r="H175" i="2"/>
  <c r="H167" i="2"/>
  <c r="H151" i="2"/>
  <c r="H149" i="2"/>
  <c r="H146" i="2"/>
  <c r="H143" i="2"/>
  <c r="H142" i="2"/>
  <c r="H131" i="2"/>
  <c r="H62" i="2"/>
  <c r="H44" i="2"/>
  <c r="G71" i="7" l="1"/>
  <c r="G10" i="7" l="1"/>
  <c r="G188" i="2" l="1"/>
  <c r="G187" i="2"/>
  <c r="G185" i="2"/>
  <c r="G184" i="2"/>
  <c r="G183" i="2"/>
  <c r="G182" i="2"/>
  <c r="G181" i="2"/>
  <c r="G179" i="2"/>
  <c r="G178" i="2"/>
  <c r="G131" i="2"/>
  <c r="G130" i="2"/>
  <c r="G71" i="2"/>
  <c r="G70" i="2"/>
  <c r="G37" i="2"/>
  <c r="F188" i="2" l="1"/>
  <c r="F187" i="2"/>
  <c r="F185" i="2"/>
  <c r="F184" i="2"/>
  <c r="F181" i="2"/>
  <c r="F179" i="2"/>
  <c r="F178" i="2"/>
  <c r="F118" i="2"/>
  <c r="M118" i="2" s="1"/>
  <c r="F117" i="2"/>
  <c r="M117" i="2" s="1"/>
  <c r="F116" i="2"/>
  <c r="M116" i="2" s="1"/>
  <c r="F115" i="2"/>
  <c r="M115" i="2" s="1"/>
  <c r="F114" i="2"/>
  <c r="M114" i="2" s="1"/>
  <c r="F113" i="2"/>
  <c r="M113" i="2" s="1"/>
  <c r="F112" i="2"/>
  <c r="M112" i="2" s="1"/>
  <c r="F111" i="2"/>
  <c r="M111" i="2" s="1"/>
  <c r="F110" i="2"/>
  <c r="M110" i="2" s="1"/>
  <c r="F109" i="2"/>
  <c r="M109" i="2" s="1"/>
  <c r="F108" i="2"/>
  <c r="M108" i="2" s="1"/>
  <c r="F107" i="2"/>
  <c r="M107" i="2" s="1"/>
  <c r="M74" i="2"/>
  <c r="M73" i="2"/>
  <c r="M72" i="2"/>
  <c r="H51" i="5" l="1"/>
  <c r="M51" i="5" s="1"/>
  <c r="G52" i="5"/>
  <c r="L52" i="5" s="1"/>
  <c r="F50" i="5"/>
  <c r="D20" i="10" s="1"/>
  <c r="J20" i="10" s="1"/>
  <c r="H50" i="5"/>
  <c r="M50" i="5" s="1"/>
  <c r="G51" i="5"/>
  <c r="L51" i="5" s="1"/>
  <c r="H52" i="5"/>
  <c r="M52" i="5" s="1"/>
  <c r="G53" i="5"/>
  <c r="L53" i="5" s="1"/>
  <c r="H54" i="5"/>
  <c r="H53" i="5"/>
  <c r="M53" i="5" s="1"/>
  <c r="F53" i="5"/>
  <c r="F52" i="5"/>
  <c r="F51" i="5"/>
  <c r="G50" i="5"/>
  <c r="H35" i="5"/>
  <c r="M35" i="5" s="1"/>
  <c r="O74" i="2"/>
  <c r="O73" i="2"/>
  <c r="G35" i="5"/>
  <c r="F35" i="5"/>
  <c r="O72" i="2"/>
  <c r="F38" i="5"/>
  <c r="P52" i="5" l="1"/>
  <c r="P51" i="5"/>
  <c r="M54" i="5"/>
  <c r="M56" i="5" s="1"/>
  <c r="P54" i="5"/>
  <c r="P53" i="5"/>
  <c r="H56" i="5"/>
  <c r="N53" i="5"/>
  <c r="K53" i="5"/>
  <c r="O53" i="5"/>
  <c r="K52" i="5"/>
  <c r="O52" i="5"/>
  <c r="N52" i="5"/>
  <c r="O51" i="5"/>
  <c r="N51" i="5"/>
  <c r="K51" i="5"/>
  <c r="P50" i="5"/>
  <c r="G56" i="5"/>
  <c r="L50" i="5"/>
  <c r="L56" i="5" s="1"/>
  <c r="N50" i="5"/>
  <c r="F56" i="5"/>
  <c r="O50" i="5"/>
  <c r="K50" i="5"/>
  <c r="L35" i="5"/>
  <c r="P35" i="5"/>
  <c r="K38" i="5"/>
  <c r="O38" i="5"/>
  <c r="K35" i="5"/>
  <c r="R35" i="5"/>
  <c r="O35" i="5"/>
  <c r="N35" i="5"/>
  <c r="K56" i="5" l="1"/>
  <c r="I303" i="2" l="1"/>
  <c r="I301" i="2"/>
  <c r="I300" i="2"/>
  <c r="I298" i="2"/>
  <c r="I297" i="2"/>
  <c r="I295" i="2"/>
  <c r="I294" i="2"/>
  <c r="I293" i="2"/>
  <c r="I292" i="2"/>
  <c r="H34" i="2" l="1"/>
  <c r="H67" i="7" l="1"/>
  <c r="H17" i="7" l="1"/>
  <c r="H47" i="7"/>
  <c r="H70" i="7"/>
  <c r="H72" i="7"/>
  <c r="H165" i="7"/>
  <c r="H303" i="2" l="1"/>
  <c r="H301" i="2"/>
  <c r="H300" i="2"/>
  <c r="H298" i="2"/>
  <c r="H297" i="2"/>
  <c r="H295" i="2"/>
  <c r="H294" i="2"/>
  <c r="H293" i="2"/>
  <c r="H292" i="2"/>
  <c r="H176" i="2"/>
  <c r="H152" i="2"/>
  <c r="H150" i="2"/>
  <c r="H148" i="2"/>
  <c r="H71" i="2"/>
  <c r="H70" i="2"/>
  <c r="H69" i="2"/>
  <c r="H126" i="5" l="1"/>
  <c r="G197" i="2"/>
  <c r="G47" i="7" l="1"/>
  <c r="G70" i="7"/>
  <c r="G72" i="7"/>
  <c r="G165" i="7"/>
  <c r="G206" i="2" l="1"/>
  <c r="M206" i="2" s="1"/>
  <c r="G207" i="2"/>
  <c r="M207" i="2" s="1"/>
  <c r="H114" i="5" l="1"/>
  <c r="M114" i="5" s="1"/>
  <c r="G114" i="5"/>
  <c r="G204" i="2"/>
  <c r="G201" i="2"/>
  <c r="L114" i="5" l="1"/>
  <c r="G301" i="2" l="1"/>
  <c r="G300" i="2"/>
  <c r="G298" i="2"/>
  <c r="G297" i="2"/>
  <c r="G295" i="2"/>
  <c r="G294" i="2"/>
  <c r="G293" i="2"/>
  <c r="G292" i="2"/>
  <c r="G194" i="2"/>
  <c r="G170" i="2"/>
  <c r="G169" i="2"/>
  <c r="G152" i="2"/>
  <c r="G151" i="2"/>
  <c r="G150" i="2"/>
  <c r="G69" i="2"/>
  <c r="G126" i="5" l="1"/>
  <c r="G203" i="2"/>
  <c r="M203" i="2" s="1"/>
  <c r="G200" i="2"/>
  <c r="M200" i="2" s="1"/>
  <c r="G113" i="5" l="1"/>
  <c r="G112" i="5"/>
  <c r="L113" i="5" l="1"/>
  <c r="G115" i="5"/>
  <c r="E30" i="10" s="1"/>
  <c r="L112" i="5"/>
  <c r="L115" i="5" l="1"/>
  <c r="F303" i="2" l="1"/>
  <c r="F301" i="2"/>
  <c r="M301" i="2" s="1"/>
  <c r="F300" i="2"/>
  <c r="M300" i="2" s="1"/>
  <c r="F298" i="2"/>
  <c r="M298" i="2" s="1"/>
  <c r="F297" i="2"/>
  <c r="F295" i="2"/>
  <c r="M295" i="2" s="1"/>
  <c r="F294" i="2"/>
  <c r="M294" i="2" s="1"/>
  <c r="M71" i="2"/>
  <c r="M70" i="2"/>
  <c r="M40" i="2"/>
  <c r="O40" i="2" s="1"/>
  <c r="M39" i="2"/>
  <c r="O39" i="2" s="1"/>
  <c r="M38" i="2"/>
  <c r="H125" i="5" l="1"/>
  <c r="M125" i="5" s="1"/>
  <c r="L126" i="5"/>
  <c r="G127" i="5"/>
  <c r="L127" i="5" s="1"/>
  <c r="M126" i="5"/>
  <c r="H127" i="5"/>
  <c r="O38" i="2"/>
  <c r="H34" i="5"/>
  <c r="O71" i="2"/>
  <c r="O70" i="2"/>
  <c r="G34" i="5"/>
  <c r="M127" i="5" l="1"/>
  <c r="M34" i="5"/>
  <c r="M39" i="5" s="1"/>
  <c r="H39" i="5"/>
  <c r="F15" i="10" s="1"/>
  <c r="G39" i="5"/>
  <c r="E15" i="10" s="1"/>
  <c r="L34" i="5"/>
  <c r="L39" i="5" s="1"/>
  <c r="M293" i="2" l="1"/>
  <c r="F125" i="5" l="1"/>
  <c r="N125" i="5" l="1"/>
  <c r="K125" i="5"/>
  <c r="R125" i="5"/>
  <c r="F292" i="2" l="1"/>
  <c r="M292" i="2" s="1"/>
  <c r="F291" i="2"/>
  <c r="M291" i="2" s="1"/>
  <c r="F290" i="2"/>
  <c r="M290" i="2" s="1"/>
  <c r="M69" i="2"/>
  <c r="F67" i="2"/>
  <c r="M67" i="2" s="1"/>
  <c r="O67" i="2" s="1"/>
  <c r="F66" i="2"/>
  <c r="M66" i="2" s="1"/>
  <c r="O66" i="2" s="1"/>
  <c r="F65" i="2"/>
  <c r="M65" i="2" s="1"/>
  <c r="O65" i="2" s="1"/>
  <c r="F60" i="2"/>
  <c r="F59" i="2"/>
  <c r="F58" i="2"/>
  <c r="F124" i="5" l="1"/>
  <c r="H136" i="5"/>
  <c r="M136" i="5" s="1"/>
  <c r="H124" i="5"/>
  <c r="G124" i="5"/>
  <c r="G136" i="5"/>
  <c r="O69" i="2"/>
  <c r="F34" i="5"/>
  <c r="M124" i="5" l="1"/>
  <c r="L124" i="5"/>
  <c r="L136" i="5"/>
  <c r="O136" i="5"/>
  <c r="P136" i="5"/>
  <c r="R124" i="5"/>
  <c r="P124" i="5"/>
  <c r="O124" i="5"/>
  <c r="N124" i="5"/>
  <c r="K124" i="5"/>
  <c r="P34" i="5"/>
  <c r="R34" i="5"/>
  <c r="R39" i="5" s="1"/>
  <c r="N34" i="5"/>
  <c r="O34" i="5"/>
  <c r="F39" i="5"/>
  <c r="D15" i="10" s="1"/>
  <c r="J15" i="10" s="1"/>
  <c r="K34" i="5"/>
  <c r="K39" i="5" s="1"/>
  <c r="G58" i="2" l="1"/>
  <c r="F54" i="2" l="1"/>
  <c r="H158" i="2" l="1"/>
  <c r="H204" i="2" l="1"/>
  <c r="M204" i="2" s="1"/>
  <c r="H201" i="2"/>
  <c r="M201" i="2" s="1"/>
  <c r="H113" i="5" l="1"/>
  <c r="M113" i="5" s="1"/>
  <c r="H112" i="5"/>
  <c r="M112" i="5" s="1"/>
  <c r="M115" i="5" l="1"/>
  <c r="H115" i="5"/>
  <c r="F30" i="10" s="1"/>
  <c r="H276" i="2"/>
  <c r="M276" i="2" s="1"/>
  <c r="H266" i="2"/>
  <c r="M266" i="2" s="1"/>
  <c r="H145" i="2"/>
  <c r="H132" i="2"/>
  <c r="H63" i="2"/>
  <c r="H59" i="2"/>
  <c r="H57" i="2"/>
  <c r="H54" i="2"/>
  <c r="G120" i="5" l="1"/>
  <c r="F123" i="5"/>
  <c r="H46" i="2"/>
  <c r="L120" i="5" l="1"/>
  <c r="K122" i="5"/>
  <c r="N122" i="5"/>
  <c r="R122" i="5"/>
  <c r="N123" i="5"/>
  <c r="K123" i="5"/>
  <c r="R123" i="5"/>
  <c r="O123" i="5"/>
  <c r="P123" i="5"/>
  <c r="G158" i="2" l="1"/>
  <c r="G156" i="2"/>
  <c r="G52" i="2"/>
  <c r="G51" i="2"/>
  <c r="G82" i="7" l="1"/>
  <c r="G13" i="7" l="1"/>
  <c r="G30" i="7"/>
  <c r="G155" i="2" l="1"/>
  <c r="G149" i="2"/>
  <c r="G146" i="2"/>
  <c r="G143" i="2"/>
  <c r="L64" i="2" l="1"/>
  <c r="L60" i="2"/>
  <c r="L53" i="2"/>
  <c r="L158" i="2"/>
  <c r="L157" i="2"/>
  <c r="L156" i="2"/>
  <c r="L52" i="2"/>
  <c r="L51" i="2"/>
  <c r="L167" i="2" l="1"/>
  <c r="L131" i="2"/>
  <c r="L130" i="2"/>
  <c r="L54" i="2"/>
  <c r="M54" i="2" s="1"/>
  <c r="O54" i="2" s="1"/>
  <c r="K52" i="2" l="1"/>
  <c r="K158" i="2" l="1"/>
  <c r="K28" i="7" l="1"/>
  <c r="K159" i="7"/>
  <c r="K189" i="2" l="1"/>
  <c r="M189" i="2" s="1"/>
  <c r="K188" i="2"/>
  <c r="M188" i="2" s="1"/>
  <c r="K187" i="2"/>
  <c r="M187" i="2" s="1"/>
  <c r="K185" i="2"/>
  <c r="M185" i="2" s="1"/>
  <c r="K184" i="2"/>
  <c r="M184" i="2" s="1"/>
  <c r="K182" i="2"/>
  <c r="M182" i="2" s="1"/>
  <c r="K181" i="2"/>
  <c r="M181" i="2" s="1"/>
  <c r="K179" i="2"/>
  <c r="M179" i="2" s="1"/>
  <c r="K178" i="2"/>
  <c r="M178" i="2" s="1"/>
  <c r="K167" i="2"/>
  <c r="K154" i="2"/>
  <c r="K152" i="2"/>
  <c r="K151" i="2"/>
  <c r="K150" i="2"/>
  <c r="K146" i="2"/>
  <c r="K145" i="2"/>
  <c r="K131" i="2"/>
  <c r="K130" i="2"/>
  <c r="K64" i="2"/>
  <c r="K60" i="2"/>
  <c r="K59" i="2"/>
  <c r="K58" i="2"/>
  <c r="H109" i="5" l="1"/>
  <c r="H110" i="5"/>
  <c r="H107" i="5"/>
  <c r="H108" i="5"/>
  <c r="G109" i="5"/>
  <c r="G110" i="5"/>
  <c r="G108" i="5"/>
  <c r="G107" i="5"/>
  <c r="K170" i="2"/>
  <c r="K169" i="2"/>
  <c r="J158" i="2" l="1"/>
  <c r="J157" i="2"/>
  <c r="J53" i="2" l="1"/>
  <c r="M133" i="2" l="1"/>
  <c r="G62" i="5" l="1"/>
  <c r="L62" i="5" l="1"/>
  <c r="M158" i="2" l="1"/>
  <c r="H104" i="5" l="1"/>
  <c r="M104" i="5" s="1"/>
  <c r="M152" i="2" l="1"/>
  <c r="M151" i="2"/>
  <c r="M60" i="2"/>
  <c r="G102" i="5" l="1"/>
  <c r="L102" i="5" s="1"/>
  <c r="H28" i="5"/>
  <c r="M28" i="5" s="1"/>
  <c r="H102" i="5"/>
  <c r="M102" i="5" s="1"/>
  <c r="H159" i="7" l="1"/>
  <c r="G31" i="6" l="1"/>
  <c r="N38" i="7"/>
  <c r="K31" i="6" l="1"/>
  <c r="H31" i="6"/>
  <c r="J82" i="7" l="1"/>
  <c r="J81" i="7"/>
  <c r="J80" i="7"/>
  <c r="J79" i="7"/>
  <c r="J78" i="7"/>
  <c r="J13" i="7" l="1"/>
  <c r="J14" i="7"/>
  <c r="J16" i="7"/>
  <c r="J23" i="7"/>
  <c r="J24" i="7"/>
  <c r="J25" i="7"/>
  <c r="J26" i="7"/>
  <c r="J27" i="7"/>
  <c r="J30" i="7"/>
  <c r="J31" i="7"/>
  <c r="J34" i="7"/>
  <c r="J35" i="7"/>
  <c r="J37" i="7"/>
  <c r="J40" i="7"/>
  <c r="J41" i="7"/>
  <c r="J45" i="7"/>
  <c r="J46" i="7"/>
  <c r="J48" i="7"/>
  <c r="J53" i="7"/>
  <c r="J54" i="7"/>
  <c r="J56" i="7"/>
  <c r="J57" i="7"/>
  <c r="J58" i="7"/>
  <c r="J59" i="7"/>
  <c r="J60" i="7"/>
  <c r="J61" i="7"/>
  <c r="J62" i="7"/>
  <c r="J64" i="7"/>
  <c r="J68" i="7"/>
  <c r="J69" i="7"/>
  <c r="J70" i="7"/>
  <c r="J72" i="7"/>
  <c r="J73" i="7"/>
  <c r="J74" i="7"/>
  <c r="J75" i="7"/>
  <c r="J76" i="7"/>
  <c r="J108" i="7"/>
  <c r="J111" i="7"/>
  <c r="J112" i="7"/>
  <c r="J113" i="7"/>
  <c r="J115" i="7"/>
  <c r="J116" i="7"/>
  <c r="J117" i="7"/>
  <c r="J119" i="7"/>
  <c r="J121" i="7"/>
  <c r="J65" i="7" l="1"/>
  <c r="J52" i="2" l="1"/>
  <c r="J51" i="2"/>
  <c r="N28" i="7" l="1"/>
  <c r="G23" i="6"/>
  <c r="K23" i="6" l="1"/>
  <c r="H23" i="6"/>
  <c r="J306" i="2" l="1"/>
  <c r="J304" i="2"/>
  <c r="J299" i="2"/>
  <c r="J59" i="2"/>
  <c r="I382" i="2" l="1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0" i="2"/>
  <c r="I309" i="2"/>
  <c r="I307" i="2"/>
  <c r="I306" i="2"/>
  <c r="I304" i="2"/>
  <c r="I299" i="2"/>
  <c r="H53" i="2" l="1"/>
  <c r="M53" i="2" s="1"/>
  <c r="H24" i="5" s="1"/>
  <c r="M24" i="5" s="1"/>
  <c r="H52" i="2"/>
  <c r="H51" i="2"/>
  <c r="H49" i="2" l="1"/>
  <c r="H22" i="7" l="1"/>
  <c r="H109" i="7" l="1"/>
  <c r="H306" i="2" l="1"/>
  <c r="H304" i="2"/>
  <c r="H299" i="2"/>
  <c r="H166" i="2"/>
  <c r="H165" i="2"/>
  <c r="H64" i="2"/>
  <c r="H45" i="2"/>
  <c r="H43" i="2"/>
  <c r="H12" i="2"/>
  <c r="G306" i="2" l="1"/>
  <c r="G304" i="2"/>
  <c r="G303" i="2"/>
  <c r="M303" i="2" s="1"/>
  <c r="G299" i="2"/>
  <c r="G132" i="2"/>
  <c r="N107" i="7" l="1"/>
  <c r="N87" i="7"/>
  <c r="F382" i="2" l="1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07" i="2"/>
  <c r="F306" i="2"/>
  <c r="M306" i="2" s="1"/>
  <c r="F192" i="2"/>
  <c r="F304" i="2" l="1"/>
  <c r="F299" i="2"/>
  <c r="M299" i="2" s="1"/>
  <c r="H128" i="5" l="1"/>
  <c r="M304" i="2"/>
  <c r="F127" i="5"/>
  <c r="M128" i="5" l="1"/>
  <c r="P127" i="5"/>
  <c r="K127" i="5"/>
  <c r="R127" i="5"/>
  <c r="N127" i="5"/>
  <c r="O127" i="5"/>
  <c r="G22" i="7" l="1"/>
  <c r="G48" i="7" l="1"/>
  <c r="G159" i="7"/>
  <c r="G167" i="2" l="1"/>
  <c r="G64" i="2"/>
  <c r="G56" i="2"/>
  <c r="M52" i="2" l="1"/>
  <c r="G24" i="5" s="1"/>
  <c r="L24" i="5" s="1"/>
  <c r="F183" i="2" l="1"/>
  <c r="J129" i="7" l="1"/>
  <c r="J154" i="2" l="1"/>
  <c r="J64" i="2"/>
  <c r="M64" i="2" s="1"/>
  <c r="J44" i="2"/>
  <c r="J34" i="2"/>
  <c r="O64" i="2" l="1"/>
  <c r="H31" i="5"/>
  <c r="M31" i="5" l="1"/>
  <c r="M32" i="5" s="1"/>
  <c r="H32" i="5"/>
  <c r="F11" i="10" s="1"/>
  <c r="L140" i="2" l="1"/>
  <c r="L139" i="2"/>
  <c r="L138" i="2"/>
  <c r="L137" i="2"/>
  <c r="L136" i="2"/>
  <c r="L20" i="2"/>
  <c r="K161" i="2" l="1"/>
  <c r="M161" i="2" s="1"/>
  <c r="H105" i="5" s="1"/>
  <c r="K157" i="2"/>
  <c r="M157" i="2" s="1"/>
  <c r="G104" i="5" s="1"/>
  <c r="L104" i="5" s="1"/>
  <c r="M105" i="5" l="1"/>
  <c r="K156" i="2"/>
  <c r="K51" i="2" l="1"/>
  <c r="M51" i="2" s="1"/>
  <c r="F24" i="5" l="1"/>
  <c r="N24" i="5" l="1"/>
  <c r="P24" i="5"/>
  <c r="K24" i="5"/>
  <c r="O24" i="5"/>
  <c r="R24" i="5"/>
  <c r="K139" i="7" l="1"/>
  <c r="K33" i="7" l="1"/>
  <c r="K129" i="7" l="1"/>
  <c r="G63" i="6" l="1"/>
  <c r="N110" i="7"/>
  <c r="K63" i="6" l="1"/>
  <c r="H63" i="6"/>
  <c r="K148" i="2" l="1"/>
  <c r="K140" i="2"/>
  <c r="K139" i="2"/>
  <c r="K138" i="2"/>
  <c r="K20" i="2" l="1"/>
  <c r="C10" i="8" l="1"/>
  <c r="B10" i="8" l="1"/>
  <c r="H20" i="2" l="1"/>
  <c r="B7" i="8" l="1"/>
  <c r="C7" i="8" l="1"/>
  <c r="L15" i="2" l="1"/>
  <c r="L166" i="7" l="1"/>
  <c r="O166" i="7" s="1"/>
  <c r="P166" i="7" s="1"/>
  <c r="L157" i="7"/>
  <c r="O157" i="7" s="1"/>
  <c r="P157" i="7" s="1"/>
  <c r="L156" i="7"/>
  <c r="O156" i="7" s="1"/>
  <c r="P156" i="7" s="1"/>
  <c r="L155" i="7"/>
  <c r="O155" i="7" s="1"/>
  <c r="P155" i="7" s="1"/>
  <c r="L154" i="7"/>
  <c r="O154" i="7" s="1"/>
  <c r="P154" i="7" s="1"/>
  <c r="L153" i="7"/>
  <c r="O153" i="7" s="1"/>
  <c r="P153" i="7" s="1"/>
  <c r="L152" i="7"/>
  <c r="O152" i="7" s="1"/>
  <c r="P152" i="7" s="1"/>
  <c r="L151" i="7"/>
  <c r="O151" i="7" s="1"/>
  <c r="P151" i="7" s="1"/>
  <c r="L150" i="7"/>
  <c r="O150" i="7" s="1"/>
  <c r="P150" i="7" s="1"/>
  <c r="L149" i="7"/>
  <c r="L148" i="7"/>
  <c r="O148" i="7" s="1"/>
  <c r="P148" i="7" s="1"/>
  <c r="L146" i="7"/>
  <c r="O146" i="7" s="1"/>
  <c r="P146" i="7" s="1"/>
  <c r="L145" i="7"/>
  <c r="O145" i="7" s="1"/>
  <c r="P145" i="7" s="1"/>
  <c r="L144" i="7"/>
  <c r="O144" i="7" s="1"/>
  <c r="P144" i="7" s="1"/>
  <c r="L143" i="7"/>
  <c r="O143" i="7" s="1"/>
  <c r="P143" i="7" s="1"/>
  <c r="L142" i="7"/>
  <c r="O142" i="7" s="1"/>
  <c r="P142" i="7" s="1"/>
  <c r="L140" i="7"/>
  <c r="O140" i="7" s="1"/>
  <c r="P140" i="7" s="1"/>
  <c r="L138" i="7"/>
  <c r="O138" i="7" s="1"/>
  <c r="P138" i="7" s="1"/>
  <c r="L137" i="7"/>
  <c r="O137" i="7" s="1"/>
  <c r="P137" i="7" s="1"/>
  <c r="L136" i="7"/>
  <c r="O136" i="7" s="1"/>
  <c r="P136" i="7" s="1"/>
  <c r="L135" i="7"/>
  <c r="O135" i="7" s="1"/>
  <c r="P135" i="7" s="1"/>
  <c r="L134" i="7"/>
  <c r="O134" i="7" s="1"/>
  <c r="P134" i="7" s="1"/>
  <c r="L128" i="7"/>
  <c r="L118" i="7"/>
  <c r="O118" i="7" s="1"/>
  <c r="P118" i="7" s="1"/>
  <c r="L106" i="7"/>
  <c r="O106" i="7" s="1"/>
  <c r="P106" i="7" s="1"/>
  <c r="L105" i="7"/>
  <c r="O105" i="7" s="1"/>
  <c r="P105" i="7" s="1"/>
  <c r="L104" i="7"/>
  <c r="O104" i="7" s="1"/>
  <c r="P104" i="7" s="1"/>
  <c r="L103" i="7"/>
  <c r="O103" i="7" s="1"/>
  <c r="P103" i="7" s="1"/>
  <c r="L102" i="7"/>
  <c r="O102" i="7" s="1"/>
  <c r="P102" i="7" s="1"/>
  <c r="L101" i="7"/>
  <c r="O101" i="7" s="1"/>
  <c r="P101" i="7" s="1"/>
  <c r="L100" i="7"/>
  <c r="O100" i="7" s="1"/>
  <c r="P100" i="7" s="1"/>
  <c r="L99" i="7"/>
  <c r="O99" i="7" s="1"/>
  <c r="P99" i="7" s="1"/>
  <c r="L98" i="7"/>
  <c r="O98" i="7" s="1"/>
  <c r="P98" i="7" s="1"/>
  <c r="L92" i="7"/>
  <c r="O92" i="7" s="1"/>
  <c r="P92" i="7" s="1"/>
  <c r="L91" i="7"/>
  <c r="O91" i="7" s="1"/>
  <c r="P91" i="7" s="1"/>
  <c r="L90" i="7"/>
  <c r="O90" i="7" s="1"/>
  <c r="P90" i="7" s="1"/>
  <c r="L89" i="7"/>
  <c r="O89" i="7" s="1"/>
  <c r="P89" i="7" s="1"/>
  <c r="L88" i="7"/>
  <c r="O88" i="7" s="1"/>
  <c r="P88" i="7" s="1"/>
  <c r="L86" i="7"/>
  <c r="L85" i="7"/>
  <c r="O85" i="7" s="1"/>
  <c r="P85" i="7" s="1"/>
  <c r="L84" i="7"/>
  <c r="O84" i="7" s="1"/>
  <c r="P84" i="7" s="1"/>
  <c r="L83" i="7"/>
  <c r="O83" i="7" s="1"/>
  <c r="P83" i="7" s="1"/>
  <c r="L97" i="7"/>
  <c r="O97" i="7" s="1"/>
  <c r="P97" i="7" s="1"/>
  <c r="L96" i="7"/>
  <c r="O96" i="7" s="1"/>
  <c r="P96" i="7" s="1"/>
  <c r="L95" i="7"/>
  <c r="O95" i="7" s="1"/>
  <c r="P95" i="7" s="1"/>
  <c r="L94" i="7"/>
  <c r="L93" i="7"/>
  <c r="L82" i="7"/>
  <c r="L81" i="7"/>
  <c r="O81" i="7" s="1"/>
  <c r="P81" i="7" s="1"/>
  <c r="L80" i="7"/>
  <c r="O80" i="7" s="1"/>
  <c r="P80" i="7" s="1"/>
  <c r="L79" i="7"/>
  <c r="O79" i="7" s="1"/>
  <c r="P79" i="7" s="1"/>
  <c r="L78" i="7"/>
  <c r="O78" i="7" s="1"/>
  <c r="P78" i="7" s="1"/>
  <c r="L71" i="7"/>
  <c r="O71" i="7" s="1"/>
  <c r="P71" i="7" s="1"/>
  <c r="L51" i="7"/>
  <c r="O51" i="7" s="1"/>
  <c r="P51" i="7" s="1"/>
  <c r="L50" i="7"/>
  <c r="O50" i="7" s="1"/>
  <c r="P50" i="7" s="1"/>
  <c r="L49" i="7"/>
  <c r="O49" i="7" s="1"/>
  <c r="P49" i="7" s="1"/>
  <c r="L43" i="7"/>
  <c r="O43" i="7" s="1"/>
  <c r="P43" i="7" s="1"/>
  <c r="L18" i="7"/>
  <c r="O18" i="7" s="1"/>
  <c r="P18" i="7" s="1"/>
  <c r="L33" i="7" l="1"/>
  <c r="L29" i="7"/>
  <c r="O29" i="7" s="1"/>
  <c r="P29" i="7" s="1"/>
  <c r="L19" i="7"/>
  <c r="O19" i="7" s="1"/>
  <c r="P19" i="7" s="1"/>
  <c r="L22" i="7"/>
  <c r="L10" i="7" l="1"/>
  <c r="L13" i="7"/>
  <c r="O13" i="7" s="1"/>
  <c r="L14" i="7"/>
  <c r="O14" i="7" s="1"/>
  <c r="L16" i="7"/>
  <c r="O16" i="7" s="1"/>
  <c r="L23" i="7"/>
  <c r="O23" i="7" s="1"/>
  <c r="I17" i="6" s="1"/>
  <c r="L24" i="7"/>
  <c r="O24" i="7" s="1"/>
  <c r="I18" i="6" s="1"/>
  <c r="L25" i="7"/>
  <c r="O25" i="7" s="1"/>
  <c r="L26" i="7"/>
  <c r="O26" i="7" s="1"/>
  <c r="I20" i="6" s="1"/>
  <c r="L27" i="7"/>
  <c r="O27" i="7" s="1"/>
  <c r="I22" i="6" s="1"/>
  <c r="L28" i="7"/>
  <c r="L30" i="7"/>
  <c r="O30" i="7" s="1"/>
  <c r="L31" i="7"/>
  <c r="O31" i="7" s="1"/>
  <c r="L34" i="7"/>
  <c r="O34" i="7" s="1"/>
  <c r="L35" i="7"/>
  <c r="L36" i="7"/>
  <c r="L37" i="7"/>
  <c r="O37" i="7" s="1"/>
  <c r="L40" i="7"/>
  <c r="O40" i="7" s="1"/>
  <c r="L41" i="7"/>
  <c r="O41" i="7" s="1"/>
  <c r="I34" i="6" s="1"/>
  <c r="L45" i="7"/>
  <c r="O45" i="7" s="1"/>
  <c r="L46" i="7"/>
  <c r="O46" i="7" s="1"/>
  <c r="L47" i="7"/>
  <c r="L53" i="7"/>
  <c r="O53" i="7" s="1"/>
  <c r="L54" i="7"/>
  <c r="O54" i="7" s="1"/>
  <c r="P54" i="7" s="1"/>
  <c r="L55" i="7"/>
  <c r="L56" i="7"/>
  <c r="O56" i="7" s="1"/>
  <c r="L57" i="7"/>
  <c r="O57" i="7" s="1"/>
  <c r="L58" i="7"/>
  <c r="O58" i="7" s="1"/>
  <c r="I45" i="6" s="1"/>
  <c r="L59" i="7"/>
  <c r="O59" i="7" s="1"/>
  <c r="I46" i="6" s="1"/>
  <c r="L60" i="7"/>
  <c r="O60" i="7" s="1"/>
  <c r="L61" i="7"/>
  <c r="O61" i="7" s="1"/>
  <c r="L62" i="7"/>
  <c r="O62" i="7" s="1"/>
  <c r="L64" i="7"/>
  <c r="O64" i="7" s="1"/>
  <c r="I50" i="6" s="1"/>
  <c r="L68" i="7"/>
  <c r="O68" i="7" s="1"/>
  <c r="L69" i="7"/>
  <c r="O69" i="7" s="1"/>
  <c r="L70" i="7"/>
  <c r="O70" i="7" s="1"/>
  <c r="L72" i="7"/>
  <c r="O72" i="7" s="1"/>
  <c r="P72" i="7" s="1"/>
  <c r="L73" i="7"/>
  <c r="O73" i="7" s="1"/>
  <c r="L74" i="7"/>
  <c r="O74" i="7" s="1"/>
  <c r="L75" i="7"/>
  <c r="O75" i="7" s="1"/>
  <c r="L76" i="7"/>
  <c r="O76" i="7" s="1"/>
  <c r="L108" i="7"/>
  <c r="O108" i="7" s="1"/>
  <c r="L112" i="7"/>
  <c r="L113" i="7"/>
  <c r="O113" i="7" s="1"/>
  <c r="L115" i="7"/>
  <c r="L116" i="7"/>
  <c r="O116" i="7" s="1"/>
  <c r="L117" i="7"/>
  <c r="O117" i="7" s="1"/>
  <c r="P117" i="7" s="1"/>
  <c r="L119" i="7"/>
  <c r="O119" i="7" s="1"/>
  <c r="L121" i="7"/>
  <c r="O121" i="7" s="1"/>
  <c r="L125" i="7"/>
  <c r="O125" i="7" s="1"/>
  <c r="L127" i="7"/>
  <c r="L129" i="7"/>
  <c r="L130" i="7"/>
  <c r="L131" i="7"/>
  <c r="L132" i="7"/>
  <c r="O132" i="7" s="1"/>
  <c r="L133" i="7"/>
  <c r="O133" i="7" s="1"/>
  <c r="L158" i="7"/>
  <c r="O158" i="7" s="1"/>
  <c r="P158" i="7" s="1"/>
  <c r="L161" i="7"/>
  <c r="O161" i="7" s="1"/>
  <c r="L163" i="7"/>
  <c r="L164" i="7"/>
  <c r="O164" i="7" s="1"/>
  <c r="P164" i="7" s="1"/>
  <c r="L165" i="7"/>
  <c r="L167" i="7"/>
  <c r="O167" i="7" s="1"/>
  <c r="L168" i="7"/>
  <c r="O168" i="7" s="1"/>
  <c r="L9" i="7"/>
  <c r="O9" i="7" s="1"/>
  <c r="I9" i="6" s="1"/>
  <c r="I60" i="6" l="1"/>
  <c r="P76" i="7"/>
  <c r="P68" i="7"/>
  <c r="I53" i="6"/>
  <c r="P25" i="7"/>
  <c r="P26" i="7" s="1"/>
  <c r="I19" i="6"/>
  <c r="J9" i="6"/>
  <c r="L9" i="6"/>
  <c r="P125" i="7"/>
  <c r="I75" i="6"/>
  <c r="I67" i="6"/>
  <c r="P113" i="7"/>
  <c r="P74" i="7"/>
  <c r="I58" i="6"/>
  <c r="P53" i="7"/>
  <c r="I40" i="6"/>
  <c r="P30" i="7"/>
  <c r="I24" i="6"/>
  <c r="I15" i="6"/>
  <c r="P16" i="7"/>
  <c r="L34" i="6"/>
  <c r="J34" i="6"/>
  <c r="P116" i="7"/>
  <c r="I70" i="6"/>
  <c r="J18" i="6"/>
  <c r="L18" i="6"/>
  <c r="P69" i="7"/>
  <c r="I54" i="6"/>
  <c r="I59" i="6"/>
  <c r="P75" i="7"/>
  <c r="I25" i="6"/>
  <c r="P31" i="7"/>
  <c r="J50" i="6"/>
  <c r="J71" i="6" s="1"/>
  <c r="L50" i="6"/>
  <c r="L71" i="6" s="1"/>
  <c r="P34" i="7"/>
  <c r="I27" i="6"/>
  <c r="I62" i="6"/>
  <c r="P108" i="7"/>
  <c r="I55" i="6"/>
  <c r="P70" i="7"/>
  <c r="I37" i="6"/>
  <c r="P46" i="7"/>
  <c r="I12" i="6"/>
  <c r="P13" i="7"/>
  <c r="P132" i="7"/>
  <c r="I81" i="6"/>
  <c r="L46" i="6"/>
  <c r="J46" i="6"/>
  <c r="I30" i="6"/>
  <c r="P37" i="7"/>
  <c r="J22" i="6"/>
  <c r="L22" i="6"/>
  <c r="I13" i="6"/>
  <c r="P14" i="7"/>
  <c r="I86" i="6"/>
  <c r="P161" i="7"/>
  <c r="I36" i="6"/>
  <c r="P45" i="7"/>
  <c r="J45" i="6"/>
  <c r="L45" i="6"/>
  <c r="P133" i="7"/>
  <c r="I82" i="6"/>
  <c r="I57" i="6"/>
  <c r="P73" i="7"/>
  <c r="L65" i="7"/>
  <c r="O65" i="7" s="1"/>
  <c r="P65" i="7" s="1"/>
  <c r="L40" i="6" l="1"/>
  <c r="J40" i="6"/>
  <c r="L12" i="6"/>
  <c r="J12" i="6"/>
  <c r="J57" i="6"/>
  <c r="L57" i="6"/>
  <c r="L62" i="6"/>
  <c r="J62" i="6"/>
  <c r="L60" i="6"/>
  <c r="J60" i="6"/>
  <c r="J24" i="6"/>
  <c r="L24" i="6"/>
  <c r="L36" i="6"/>
  <c r="J36" i="6"/>
  <c r="J55" i="6"/>
  <c r="L55" i="6"/>
  <c r="J59" i="6"/>
  <c r="L59" i="6"/>
  <c r="L15" i="6"/>
  <c r="J15" i="6"/>
  <c r="J67" i="6"/>
  <c r="L67" i="6"/>
  <c r="J54" i="6"/>
  <c r="L54" i="6"/>
  <c r="J70" i="6"/>
  <c r="L70" i="6"/>
  <c r="L75" i="6"/>
  <c r="J75" i="6"/>
  <c r="L81" i="6"/>
  <c r="J81" i="6"/>
  <c r="L53" i="6"/>
  <c r="J53" i="6"/>
  <c r="L13" i="6"/>
  <c r="J13" i="6"/>
  <c r="J37" i="6"/>
  <c r="L37" i="6"/>
  <c r="J25" i="6"/>
  <c r="L25" i="6"/>
  <c r="H32" i="27"/>
  <c r="M32" i="27" s="1"/>
  <c r="H31" i="8"/>
  <c r="L30" i="6"/>
  <c r="J30" i="6"/>
  <c r="J82" i="6"/>
  <c r="L82" i="6"/>
  <c r="J27" i="6"/>
  <c r="L27" i="6"/>
  <c r="L58" i="6"/>
  <c r="J58" i="6"/>
  <c r="J19" i="6"/>
  <c r="J20" i="6" s="1"/>
  <c r="L19" i="6"/>
  <c r="L20" i="6" s="1"/>
  <c r="D15" i="9" l="1"/>
  <c r="M31" i="8"/>
  <c r="G15" i="9" l="1"/>
  <c r="P15" i="9"/>
  <c r="L382" i="2" l="1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0" i="2"/>
  <c r="L309" i="2"/>
  <c r="L307" i="2"/>
  <c r="K163" i="2" l="1"/>
  <c r="K160" i="2"/>
  <c r="K22" i="7" l="1"/>
  <c r="K10" i="7" l="1"/>
  <c r="K35" i="7"/>
  <c r="O35" i="7" s="1"/>
  <c r="K42" i="7"/>
  <c r="K126" i="7"/>
  <c r="I28" i="6" l="1"/>
  <c r="P35" i="7"/>
  <c r="J28" i="6" l="1"/>
  <c r="L28" i="6"/>
  <c r="K313" i="2" l="1"/>
  <c r="K312" i="2"/>
  <c r="K310" i="2"/>
  <c r="K307" i="2"/>
  <c r="K149" i="2"/>
  <c r="K57" i="2"/>
  <c r="K44" i="2"/>
  <c r="K37" i="2"/>
  <c r="K34" i="2"/>
  <c r="J22" i="7" l="1"/>
  <c r="O22" i="7" s="1"/>
  <c r="P22" i="7" s="1"/>
  <c r="J10" i="7" l="1"/>
  <c r="O10" i="7" s="1"/>
  <c r="J28" i="7"/>
  <c r="O28" i="7" s="1"/>
  <c r="J159" i="7"/>
  <c r="P28" i="7" l="1"/>
  <c r="I23" i="6"/>
  <c r="I10" i="6"/>
  <c r="P10" i="7"/>
  <c r="J23" i="6" l="1"/>
  <c r="L23" i="6"/>
  <c r="J10" i="6"/>
  <c r="L10" i="6"/>
  <c r="H26" i="8"/>
  <c r="H27" i="27"/>
  <c r="M26" i="8" l="1"/>
  <c r="D12" i="9"/>
  <c r="M27" i="27"/>
  <c r="G12" i="9" l="1"/>
  <c r="P12" i="9"/>
  <c r="N26" i="8"/>
  <c r="N27" i="27"/>
  <c r="S71" i="5"/>
  <c r="S94" i="5" l="1"/>
  <c r="G12" i="10"/>
  <c r="G21" i="10" s="1"/>
  <c r="J313" i="2" l="1"/>
  <c r="J312" i="2"/>
  <c r="J310" i="2"/>
  <c r="J309" i="2"/>
  <c r="J307" i="2"/>
  <c r="J175" i="2"/>
  <c r="J155" i="2"/>
  <c r="J143" i="2"/>
  <c r="J140" i="2"/>
  <c r="J139" i="2"/>
  <c r="J138" i="2"/>
  <c r="J37" i="2"/>
  <c r="H382" i="2" l="1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0" i="2"/>
  <c r="H309" i="2"/>
  <c r="H307" i="2"/>
  <c r="H140" i="2"/>
  <c r="H139" i="2"/>
  <c r="H138" i="2"/>
  <c r="H137" i="2"/>
  <c r="H136" i="2"/>
  <c r="G140" i="2" l="1"/>
  <c r="G139" i="2"/>
  <c r="G138" i="2"/>
  <c r="G137" i="2"/>
  <c r="G136" i="2"/>
  <c r="L163" i="2" l="1"/>
  <c r="L126" i="7" l="1"/>
  <c r="L159" i="7"/>
  <c r="O159" i="7" s="1"/>
  <c r="I84" i="6" l="1"/>
  <c r="P159" i="7"/>
  <c r="M159" i="7"/>
  <c r="L84" i="6" l="1"/>
  <c r="J84" i="6"/>
  <c r="N159" i="7"/>
  <c r="G84" i="6"/>
  <c r="H84" i="6" l="1"/>
  <c r="K84" i="6"/>
  <c r="L149" i="2" l="1"/>
  <c r="L146" i="2"/>
  <c r="L145" i="2"/>
  <c r="L143" i="2"/>
  <c r="L44" i="2"/>
  <c r="L37" i="2"/>
  <c r="M37" i="2" s="1"/>
  <c r="H18" i="5" l="1"/>
  <c r="O37" i="2"/>
  <c r="M18" i="5" l="1"/>
  <c r="K15" i="2" l="1"/>
  <c r="K82" i="7" l="1"/>
  <c r="O82" i="7" s="1"/>
  <c r="P82" i="7" s="1"/>
  <c r="K55" i="7" l="1"/>
  <c r="K162" i="7"/>
  <c r="K176" i="2" l="1"/>
  <c r="K175" i="2"/>
  <c r="K143" i="2"/>
  <c r="M143" i="2" s="1"/>
  <c r="H96" i="5" s="1"/>
  <c r="K137" i="2"/>
  <c r="K132" i="2"/>
  <c r="F23" i="10" l="1"/>
  <c r="M96" i="5"/>
  <c r="J156" i="2" l="1"/>
  <c r="M156" i="2" s="1"/>
  <c r="F104" i="5" l="1"/>
  <c r="R104" i="5" l="1"/>
  <c r="P104" i="5"/>
  <c r="K104" i="5"/>
  <c r="N104" i="5"/>
  <c r="O104" i="5"/>
  <c r="J67" i="7" l="1"/>
  <c r="J55" i="7" l="1"/>
  <c r="J167" i="2" l="1"/>
  <c r="M167" i="2" s="1"/>
  <c r="H99" i="5" s="1"/>
  <c r="J166" i="2"/>
  <c r="J150" i="2"/>
  <c r="J149" i="2"/>
  <c r="M149" i="2" s="1"/>
  <c r="H98" i="5" s="1"/>
  <c r="M98" i="5" s="1"/>
  <c r="J145" i="2"/>
  <c r="J131" i="2"/>
  <c r="M131" i="2" s="1"/>
  <c r="H61" i="5" s="1"/>
  <c r="M61" i="5" s="1"/>
  <c r="J57" i="2"/>
  <c r="J20" i="2"/>
  <c r="J170" i="2" l="1"/>
  <c r="M170" i="2" s="1"/>
  <c r="H101" i="5" s="1"/>
  <c r="J169" i="2"/>
  <c r="M169" i="2" s="1"/>
  <c r="G101" i="5" s="1"/>
  <c r="M99" i="5"/>
  <c r="F26" i="10"/>
  <c r="F28" i="10" l="1"/>
  <c r="M101" i="5"/>
  <c r="L101" i="5"/>
  <c r="E28" i="10"/>
  <c r="H32" i="2" l="1"/>
  <c r="H141" i="7" l="1"/>
  <c r="H55" i="7" l="1"/>
  <c r="H126" i="7"/>
  <c r="H127" i="7"/>
  <c r="O127" i="7" s="1"/>
  <c r="H129" i="7"/>
  <c r="O129" i="7" s="1"/>
  <c r="H160" i="7"/>
  <c r="H163" i="7"/>
  <c r="P129" i="7" l="1"/>
  <c r="I78" i="6"/>
  <c r="P127" i="7"/>
  <c r="I77" i="6"/>
  <c r="L78" i="6" l="1"/>
  <c r="J78" i="6"/>
  <c r="J77" i="6"/>
  <c r="L77" i="6"/>
  <c r="G15" i="2" l="1"/>
  <c r="G33" i="7" l="1"/>
  <c r="O33" i="7" s="1"/>
  <c r="P33" i="7" s="1"/>
  <c r="G57" i="2" l="1"/>
  <c r="G44" i="2"/>
  <c r="M44" i="2" s="1"/>
  <c r="G43" i="2"/>
  <c r="G20" i="2"/>
  <c r="M20" i="2" s="1"/>
  <c r="G12" i="2"/>
  <c r="H21" i="5" l="1"/>
  <c r="M21" i="5" s="1"/>
  <c r="O44" i="2"/>
  <c r="O20" i="2"/>
  <c r="H13" i="5"/>
  <c r="M13" i="5" l="1"/>
  <c r="M15" i="5" s="1"/>
  <c r="H15" i="5"/>
  <c r="F7" i="10" s="1"/>
  <c r="H387" i="2" l="1"/>
  <c r="H302" i="2"/>
  <c r="H195" i="2"/>
  <c r="H192" i="2"/>
  <c r="H8" i="2"/>
  <c r="H7" i="2"/>
  <c r="G195" i="2" l="1"/>
  <c r="G124" i="7" l="1"/>
  <c r="G67" i="7" l="1"/>
  <c r="G42" i="7" l="1"/>
  <c r="G126" i="7"/>
  <c r="O126" i="7" s="1"/>
  <c r="P126" i="7" l="1"/>
  <c r="I76" i="6"/>
  <c r="J76" i="6" l="1"/>
  <c r="L76" i="6"/>
  <c r="G387" i="2" l="1"/>
  <c r="G302" i="2"/>
  <c r="G192" i="2"/>
  <c r="G166" i="2"/>
  <c r="F49" i="2" l="1"/>
  <c r="F67" i="7" l="1"/>
  <c r="F42" i="7" l="1"/>
  <c r="F131" i="7"/>
  <c r="O131" i="7" s="1"/>
  <c r="M131" i="7" l="1"/>
  <c r="I80" i="6"/>
  <c r="P131" i="7"/>
  <c r="N131" i="7" l="1"/>
  <c r="G80" i="6"/>
  <c r="J80" i="6"/>
  <c r="L80" i="6"/>
  <c r="H80" i="6" l="1"/>
  <c r="K80" i="6"/>
  <c r="F166" i="2" l="1"/>
  <c r="F12" i="2"/>
  <c r="L59" i="2" l="1"/>
  <c r="M59" i="2" s="1"/>
  <c r="G28" i="5" s="1"/>
  <c r="L58" i="2"/>
  <c r="M58" i="2" s="1"/>
  <c r="L57" i="2"/>
  <c r="M57" i="2" s="1"/>
  <c r="L56" i="2"/>
  <c r="L50" i="2"/>
  <c r="P28" i="5" l="1"/>
  <c r="L28" i="5"/>
  <c r="F28" i="5"/>
  <c r="O57" i="2"/>
  <c r="H27" i="5"/>
  <c r="K28" i="5" l="1"/>
  <c r="R28" i="5"/>
  <c r="N28" i="5"/>
  <c r="O28" i="5"/>
  <c r="H29" i="5"/>
  <c r="F10" i="10" s="1"/>
  <c r="M27" i="5"/>
  <c r="M29" i="5" s="1"/>
  <c r="L196" i="2" l="1"/>
  <c r="L387" i="2" l="1"/>
  <c r="L275" i="2"/>
  <c r="L269" i="2"/>
  <c r="L195" i="2"/>
  <c r="L192" i="2"/>
  <c r="L166" i="2"/>
  <c r="L43" i="2"/>
  <c r="L34" i="2"/>
  <c r="L67" i="7" l="1"/>
  <c r="K195" i="2" l="1"/>
  <c r="K67" i="7" l="1"/>
  <c r="O67" i="7" s="1"/>
  <c r="P67" i="7" s="1"/>
  <c r="K387" i="2" l="1"/>
  <c r="K305" i="2"/>
  <c r="K302" i="2"/>
  <c r="K192" i="2"/>
  <c r="K166" i="2"/>
  <c r="M166" i="2" s="1"/>
  <c r="G99" i="5" s="1"/>
  <c r="L99" i="5" l="1"/>
  <c r="E26" i="10"/>
  <c r="H14" i="12" l="1"/>
  <c r="J14" i="12" s="1"/>
  <c r="L14" i="12" s="1"/>
  <c r="I14" i="12"/>
  <c r="J160" i="2" l="1"/>
  <c r="J195" i="2" l="1"/>
  <c r="M195" i="2" s="1"/>
  <c r="H67" i="5" l="1"/>
  <c r="M67" i="5" s="1"/>
  <c r="J128" i="7" l="1"/>
  <c r="O128" i="7" s="1"/>
  <c r="P128" i="7" s="1"/>
  <c r="J94" i="7"/>
  <c r="O94" i="7" s="1"/>
  <c r="P94" i="7" s="1"/>
  <c r="J93" i="7"/>
  <c r="O93" i="7" s="1"/>
  <c r="P93" i="7" s="1"/>
  <c r="J12" i="7" l="1"/>
  <c r="J36" i="7"/>
  <c r="O36" i="7" s="1"/>
  <c r="J130" i="7"/>
  <c r="O130" i="7" s="1"/>
  <c r="P130" i="7" s="1"/>
  <c r="P36" i="7" l="1"/>
  <c r="I29" i="6"/>
  <c r="J29" i="6" l="1"/>
  <c r="L29" i="6"/>
  <c r="J387" i="2" l="1"/>
  <c r="M387" i="2" s="1"/>
  <c r="J305" i="2"/>
  <c r="J302" i="2"/>
  <c r="M269" i="2"/>
  <c r="J192" i="2"/>
  <c r="M192" i="2" s="1"/>
  <c r="F82" i="5" l="1"/>
  <c r="F119" i="5"/>
  <c r="H66" i="5"/>
  <c r="P82" i="5" l="1"/>
  <c r="K82" i="5"/>
  <c r="R82" i="5"/>
  <c r="N82" i="5"/>
  <c r="O82" i="5"/>
  <c r="K119" i="5"/>
  <c r="N119" i="5"/>
  <c r="P119" i="5"/>
  <c r="O119" i="5"/>
  <c r="R119" i="5"/>
  <c r="H69" i="5"/>
  <c r="F13" i="10" s="1"/>
  <c r="M66" i="5"/>
  <c r="M69" i="5" s="1"/>
  <c r="I43" i="2" l="1"/>
  <c r="L42" i="7" l="1"/>
  <c r="L160" i="7"/>
  <c r="L311" i="2" l="1"/>
  <c r="L308" i="2"/>
  <c r="L305" i="2"/>
  <c r="L302" i="2"/>
  <c r="M302" i="2" s="1"/>
  <c r="L296" i="2"/>
  <c r="L272" i="2"/>
  <c r="L239" i="2"/>
  <c r="L193" i="2"/>
  <c r="L190" i="2"/>
  <c r="L186" i="2"/>
  <c r="L180" i="2"/>
  <c r="L177" i="2"/>
  <c r="L135" i="2"/>
  <c r="L134" i="2"/>
  <c r="L132" i="2"/>
  <c r="P128" i="5" l="1"/>
  <c r="R128" i="5"/>
  <c r="O128" i="5"/>
  <c r="K128" i="5"/>
  <c r="N128" i="5"/>
  <c r="K382" i="2" l="1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1" i="2"/>
  <c r="K297" i="2"/>
  <c r="M297" i="2" s="1"/>
  <c r="G125" i="5" s="1"/>
  <c r="K296" i="2"/>
  <c r="K275" i="2"/>
  <c r="K272" i="2"/>
  <c r="K239" i="2"/>
  <c r="K183" i="2"/>
  <c r="M183" i="2" s="1"/>
  <c r="F109" i="5" s="1"/>
  <c r="K134" i="2"/>
  <c r="K35" i="2"/>
  <c r="L125" i="5" l="1"/>
  <c r="O125" i="5"/>
  <c r="P125" i="5"/>
  <c r="N109" i="5"/>
  <c r="O109" i="5"/>
  <c r="R109" i="5"/>
  <c r="P109" i="5"/>
  <c r="J196" i="2" l="1"/>
  <c r="J193" i="2"/>
  <c r="J382" i="2" l="1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1" i="2"/>
  <c r="J296" i="2"/>
  <c r="J275" i="2"/>
  <c r="J272" i="2"/>
  <c r="J239" i="2"/>
  <c r="J190" i="2"/>
  <c r="J186" i="2"/>
  <c r="J180" i="2"/>
  <c r="J177" i="2"/>
  <c r="J134" i="2"/>
  <c r="I196" i="2" l="1"/>
  <c r="I296" i="2" l="1"/>
  <c r="I275" i="2"/>
  <c r="I272" i="2"/>
  <c r="I239" i="2"/>
  <c r="I193" i="2"/>
  <c r="I190" i="2"/>
  <c r="I186" i="2"/>
  <c r="I180" i="2"/>
  <c r="I177" i="2"/>
  <c r="I150" i="2"/>
  <c r="M150" i="2" s="1"/>
  <c r="I140" i="2"/>
  <c r="M140" i="2" s="1"/>
  <c r="I139" i="2"/>
  <c r="M139" i="2" s="1"/>
  <c r="I138" i="2"/>
  <c r="M138" i="2" s="1"/>
  <c r="F64" i="5" s="1"/>
  <c r="I137" i="2"/>
  <c r="I136" i="2"/>
  <c r="I135" i="2"/>
  <c r="I134" i="2"/>
  <c r="F102" i="5" l="1"/>
  <c r="N64" i="5"/>
  <c r="R64" i="5"/>
  <c r="K64" i="5"/>
  <c r="O64" i="5"/>
  <c r="O102" i="5" l="1"/>
  <c r="N102" i="5"/>
  <c r="K102" i="5"/>
  <c r="R102" i="5"/>
  <c r="P102" i="5"/>
  <c r="H308" i="2" l="1"/>
  <c r="H273" i="2"/>
  <c r="M273" i="2" s="1"/>
  <c r="G122" i="5" s="1"/>
  <c r="L122" i="5" l="1"/>
  <c r="O122" i="5"/>
  <c r="P122" i="5"/>
  <c r="L21" i="13" l="1"/>
  <c r="M21" i="13" s="1"/>
  <c r="G196" i="2" l="1"/>
  <c r="G275" i="2" l="1"/>
  <c r="G239" i="2" l="1"/>
  <c r="G382" i="2" l="1"/>
  <c r="M382" i="2" s="1"/>
  <c r="G381" i="2"/>
  <c r="M381" i="2" s="1"/>
  <c r="G380" i="2"/>
  <c r="M380" i="2" s="1"/>
  <c r="G379" i="2"/>
  <c r="M379" i="2" s="1"/>
  <c r="H141" i="5" s="1"/>
  <c r="M141" i="5" s="1"/>
  <c r="G378" i="2"/>
  <c r="M378" i="2" s="1"/>
  <c r="G141" i="5" s="1"/>
  <c r="L141" i="5" s="1"/>
  <c r="G377" i="2"/>
  <c r="M377" i="2" s="1"/>
  <c r="G376" i="2"/>
  <c r="M376" i="2" s="1"/>
  <c r="G375" i="2"/>
  <c r="M375" i="2" s="1"/>
  <c r="G138" i="5" s="1"/>
  <c r="L138" i="5" s="1"/>
  <c r="G374" i="2"/>
  <c r="M374" i="2" s="1"/>
  <c r="F138" i="5" s="1"/>
  <c r="G373" i="2"/>
  <c r="M373" i="2" s="1"/>
  <c r="G372" i="2"/>
  <c r="M372" i="2" s="1"/>
  <c r="G137" i="5" s="1"/>
  <c r="L137" i="5" s="1"/>
  <c r="G371" i="2"/>
  <c r="M371" i="2" s="1"/>
  <c r="F137" i="5" s="1"/>
  <c r="G370" i="2"/>
  <c r="M370" i="2" s="1"/>
  <c r="H139" i="5" s="1"/>
  <c r="M139" i="5" s="1"/>
  <c r="G369" i="2"/>
  <c r="M369" i="2" s="1"/>
  <c r="G139" i="5" s="1"/>
  <c r="L139" i="5" s="1"/>
  <c r="G368" i="2"/>
  <c r="M368" i="2" s="1"/>
  <c r="F139" i="5" s="1"/>
  <c r="G367" i="2"/>
  <c r="M367" i="2" s="1"/>
  <c r="H140" i="5" s="1"/>
  <c r="M140" i="5" s="1"/>
  <c r="G366" i="2"/>
  <c r="M366" i="2" s="1"/>
  <c r="G140" i="5" s="1"/>
  <c r="L140" i="5" s="1"/>
  <c r="G365" i="2"/>
  <c r="M365" i="2" s="1"/>
  <c r="F140" i="5" s="1"/>
  <c r="G364" i="2"/>
  <c r="M364" i="2" s="1"/>
  <c r="G363" i="2"/>
  <c r="M363" i="2" s="1"/>
  <c r="G132" i="5" s="1"/>
  <c r="L132" i="5" s="1"/>
  <c r="G362" i="2"/>
  <c r="M362" i="2" s="1"/>
  <c r="G361" i="2"/>
  <c r="M361" i="2" s="1"/>
  <c r="G360" i="2"/>
  <c r="M360" i="2" s="1"/>
  <c r="G133" i="5" s="1"/>
  <c r="L133" i="5" s="1"/>
  <c r="G359" i="2"/>
  <c r="M359" i="2" s="1"/>
  <c r="F133" i="5" s="1"/>
  <c r="G358" i="2"/>
  <c r="M358" i="2" s="1"/>
  <c r="G357" i="2"/>
  <c r="M357" i="2" s="1"/>
  <c r="G134" i="5" s="1"/>
  <c r="L134" i="5" s="1"/>
  <c r="G356" i="2"/>
  <c r="M356" i="2" s="1"/>
  <c r="F134" i="5" s="1"/>
  <c r="G355" i="2"/>
  <c r="M355" i="2" s="1"/>
  <c r="G354" i="2"/>
  <c r="M354" i="2" s="1"/>
  <c r="G130" i="5" s="1"/>
  <c r="L130" i="5" s="1"/>
  <c r="G353" i="2"/>
  <c r="M353" i="2" s="1"/>
  <c r="G352" i="2"/>
  <c r="M352" i="2" s="1"/>
  <c r="G351" i="2"/>
  <c r="M351" i="2" s="1"/>
  <c r="G135" i="5" s="1"/>
  <c r="L135" i="5" s="1"/>
  <c r="G350" i="2"/>
  <c r="M350" i="2" s="1"/>
  <c r="F135" i="5" s="1"/>
  <c r="G349" i="2"/>
  <c r="M349" i="2" s="1"/>
  <c r="G348" i="2"/>
  <c r="M348" i="2" s="1"/>
  <c r="G347" i="2"/>
  <c r="M347" i="2" s="1"/>
  <c r="G346" i="2"/>
  <c r="M346" i="2" s="1"/>
  <c r="G345" i="2"/>
  <c r="M345" i="2" s="1"/>
  <c r="G131" i="5" s="1"/>
  <c r="L131" i="5" s="1"/>
  <c r="G344" i="2"/>
  <c r="M344" i="2" s="1"/>
  <c r="G343" i="2"/>
  <c r="M343" i="2" s="1"/>
  <c r="G342" i="2"/>
  <c r="M342" i="2" s="1"/>
  <c r="G341" i="2"/>
  <c r="M341" i="2" s="1"/>
  <c r="G340" i="2"/>
  <c r="M340" i="2" s="1"/>
  <c r="G339" i="2"/>
  <c r="M339" i="2" s="1"/>
  <c r="G338" i="2"/>
  <c r="M338" i="2" s="1"/>
  <c r="G337" i="2"/>
  <c r="M337" i="2" s="1"/>
  <c r="G336" i="2"/>
  <c r="M336" i="2" s="1"/>
  <c r="G335" i="2"/>
  <c r="M335" i="2" s="1"/>
  <c r="G334" i="2"/>
  <c r="M334" i="2" s="1"/>
  <c r="G333" i="2"/>
  <c r="M333" i="2" s="1"/>
  <c r="G332" i="2"/>
  <c r="M332" i="2" s="1"/>
  <c r="G331" i="2"/>
  <c r="M331" i="2" s="1"/>
  <c r="G330" i="2"/>
  <c r="M330" i="2" s="1"/>
  <c r="G329" i="2"/>
  <c r="M329" i="2" s="1"/>
  <c r="G328" i="2"/>
  <c r="M328" i="2" s="1"/>
  <c r="G327" i="2"/>
  <c r="M327" i="2" s="1"/>
  <c r="G326" i="2"/>
  <c r="M326" i="2" s="1"/>
  <c r="G325" i="2"/>
  <c r="M325" i="2" s="1"/>
  <c r="G324" i="2"/>
  <c r="M324" i="2" s="1"/>
  <c r="G323" i="2"/>
  <c r="M323" i="2" s="1"/>
  <c r="G322" i="2"/>
  <c r="M322" i="2" s="1"/>
  <c r="G321" i="2"/>
  <c r="M321" i="2" s="1"/>
  <c r="G320" i="2"/>
  <c r="M320" i="2" s="1"/>
  <c r="G319" i="2"/>
  <c r="M319" i="2" s="1"/>
  <c r="H129" i="5" s="1"/>
  <c r="G318" i="2"/>
  <c r="M318" i="2" s="1"/>
  <c r="G129" i="5" s="1"/>
  <c r="G317" i="2"/>
  <c r="M317" i="2" s="1"/>
  <c r="G316" i="2"/>
  <c r="M316" i="2" s="1"/>
  <c r="G315" i="2"/>
  <c r="M315" i="2" s="1"/>
  <c r="G314" i="2"/>
  <c r="M314" i="2" s="1"/>
  <c r="F132" i="5" s="1"/>
  <c r="R132" i="5" s="1"/>
  <c r="G313" i="2"/>
  <c r="M313" i="2" s="1"/>
  <c r="G312" i="2"/>
  <c r="M312" i="2" s="1"/>
  <c r="G310" i="2"/>
  <c r="M310" i="2" s="1"/>
  <c r="G309" i="2"/>
  <c r="G308" i="2"/>
  <c r="G307" i="2"/>
  <c r="M307" i="2" s="1"/>
  <c r="G296" i="2"/>
  <c r="G272" i="2"/>
  <c r="G193" i="2"/>
  <c r="G190" i="2"/>
  <c r="G186" i="2"/>
  <c r="G180" i="2"/>
  <c r="G177" i="2"/>
  <c r="G135" i="2"/>
  <c r="G134" i="2"/>
  <c r="H133" i="5" l="1"/>
  <c r="M133" i="5" s="1"/>
  <c r="F141" i="5"/>
  <c r="H135" i="5"/>
  <c r="M135" i="5" s="1"/>
  <c r="O139" i="5"/>
  <c r="P139" i="5"/>
  <c r="K139" i="5"/>
  <c r="N139" i="5"/>
  <c r="H138" i="5"/>
  <c r="M138" i="5" s="1"/>
  <c r="M129" i="5"/>
  <c r="G142" i="5"/>
  <c r="E29" i="10" s="1"/>
  <c r="L129" i="5"/>
  <c r="N140" i="5"/>
  <c r="O140" i="5"/>
  <c r="P140" i="5"/>
  <c r="K140" i="5"/>
  <c r="H137" i="5"/>
  <c r="M137" i="5" s="1"/>
  <c r="H131" i="5"/>
  <c r="M131" i="5" s="1"/>
  <c r="P133" i="5"/>
  <c r="N133" i="5"/>
  <c r="K133" i="5"/>
  <c r="O133" i="5"/>
  <c r="O135" i="5"/>
  <c r="K135" i="5"/>
  <c r="N135" i="5"/>
  <c r="P135" i="5"/>
  <c r="N138" i="5"/>
  <c r="K138" i="5"/>
  <c r="P138" i="5"/>
  <c r="O138" i="5"/>
  <c r="O134" i="5"/>
  <c r="K134" i="5"/>
  <c r="P134" i="5"/>
  <c r="N134" i="5"/>
  <c r="H132" i="5"/>
  <c r="M132" i="5" s="1"/>
  <c r="P132" i="5"/>
  <c r="N132" i="5"/>
  <c r="O132" i="5"/>
  <c r="K132" i="5"/>
  <c r="H134" i="5"/>
  <c r="M134" i="5" s="1"/>
  <c r="H130" i="5"/>
  <c r="M130" i="5" s="1"/>
  <c r="O137" i="5"/>
  <c r="P137" i="5"/>
  <c r="K137" i="5"/>
  <c r="N137" i="5"/>
  <c r="M142" i="5" l="1"/>
  <c r="H142" i="5"/>
  <c r="N141" i="5"/>
  <c r="O141" i="5"/>
  <c r="P141" i="5"/>
  <c r="K141" i="5"/>
  <c r="P129" i="5"/>
  <c r="R129" i="5"/>
  <c r="N129" i="5"/>
  <c r="K129" i="5"/>
  <c r="O129" i="5"/>
  <c r="F29" i="10" l="1"/>
  <c r="G129" i="2" l="1"/>
  <c r="F196" i="2" l="1"/>
  <c r="N77" i="7" l="1"/>
  <c r="G60" i="6"/>
  <c r="K60" i="6" l="1"/>
  <c r="H60" i="6"/>
  <c r="F272" i="2" l="1"/>
  <c r="F239" i="2"/>
  <c r="F193" i="2"/>
  <c r="F190" i="2"/>
  <c r="F135" i="2"/>
  <c r="F134" i="2"/>
  <c r="F296" i="2" l="1"/>
  <c r="N67" i="7"/>
  <c r="K309" i="2" l="1"/>
  <c r="M309" i="2" s="1"/>
  <c r="K308" i="2"/>
  <c r="M308" i="2" s="1"/>
  <c r="F130" i="5" s="1"/>
  <c r="O130" i="5" l="1"/>
  <c r="K130" i="5"/>
  <c r="P130" i="5"/>
  <c r="R130" i="5"/>
  <c r="N130" i="5"/>
  <c r="L128" i="5"/>
  <c r="L142" i="5" s="1"/>
  <c r="J136" i="2" l="1"/>
  <c r="H311" i="2" l="1"/>
  <c r="G311" i="2" l="1"/>
  <c r="M311" i="2" s="1"/>
  <c r="F131" i="5" l="1"/>
  <c r="R131" i="5" l="1"/>
  <c r="N131" i="5"/>
  <c r="K131" i="5"/>
  <c r="P131" i="5"/>
  <c r="O131" i="5"/>
  <c r="L63" i="2" l="1"/>
  <c r="L47" i="2"/>
  <c r="L123" i="7" l="1"/>
  <c r="L15" i="7"/>
  <c r="L48" i="7"/>
  <c r="L162" i="7"/>
  <c r="L109" i="7" l="1"/>
  <c r="L165" i="2" l="1"/>
  <c r="L155" i="2"/>
  <c r="F13" i="12" l="1"/>
  <c r="D12" i="13" l="1"/>
  <c r="I12" i="13" s="1"/>
  <c r="L12" i="13" s="1"/>
  <c r="H13" i="12"/>
  <c r="J13" i="12" s="1"/>
  <c r="L13" i="12" s="1"/>
  <c r="I13" i="12"/>
  <c r="P12" i="13" l="1"/>
  <c r="M12" i="13"/>
  <c r="K47" i="2" l="1"/>
  <c r="K49" i="2" l="1"/>
  <c r="K48" i="2"/>
  <c r="K141" i="7" l="1"/>
  <c r="K123" i="7" l="1"/>
  <c r="K17" i="7"/>
  <c r="K32" i="7"/>
  <c r="K48" i="7"/>
  <c r="O48" i="7" s="1"/>
  <c r="M48" i="7" l="1"/>
  <c r="P48" i="7"/>
  <c r="I39" i="6"/>
  <c r="K66" i="7"/>
  <c r="K109" i="7"/>
  <c r="N48" i="7" l="1"/>
  <c r="G39" i="6"/>
  <c r="J39" i="6"/>
  <c r="L39" i="6"/>
  <c r="H39" i="6" l="1"/>
  <c r="K39" i="6"/>
  <c r="K165" i="2" l="1"/>
  <c r="K155" i="2"/>
  <c r="K12" i="2"/>
  <c r="K9" i="2"/>
  <c r="J17" i="7" l="1"/>
  <c r="J42" i="7"/>
  <c r="J162" i="7"/>
  <c r="J176" i="2" l="1"/>
  <c r="J168" i="2"/>
  <c r="J165" i="2"/>
  <c r="J146" i="2"/>
  <c r="M146" i="2" s="1"/>
  <c r="H97" i="5" s="1"/>
  <c r="M97" i="5" s="1"/>
  <c r="J137" i="2"/>
  <c r="M137" i="2" s="1"/>
  <c r="H63" i="5" s="1"/>
  <c r="J12" i="2"/>
  <c r="M63" i="5" l="1"/>
  <c r="I15" i="7" l="1"/>
  <c r="I42" i="7"/>
  <c r="I122" i="7"/>
  <c r="I165" i="2" l="1"/>
  <c r="I141" i="2"/>
  <c r="I63" i="2"/>
  <c r="I62" i="2"/>
  <c r="H163" i="2" l="1"/>
  <c r="H160" i="2"/>
  <c r="H50" i="2" l="1"/>
  <c r="H15" i="2"/>
  <c r="H38" i="7" l="1"/>
  <c r="H44" i="7" l="1"/>
  <c r="H12" i="7" l="1"/>
  <c r="H32" i="7"/>
  <c r="H39" i="7"/>
  <c r="H42" i="7"/>
  <c r="O42" i="7" s="1"/>
  <c r="P42" i="7" l="1"/>
  <c r="I35" i="6"/>
  <c r="M42" i="7"/>
  <c r="L35" i="6" l="1"/>
  <c r="J35" i="6"/>
  <c r="G35" i="6"/>
  <c r="N42" i="7"/>
  <c r="K35" i="6" l="1"/>
  <c r="K42" i="6" s="1"/>
  <c r="H35" i="6"/>
  <c r="H42" i="6" s="1"/>
  <c r="H174" i="2" l="1"/>
  <c r="H168" i="2"/>
  <c r="H154" i="2"/>
  <c r="H130" i="2"/>
  <c r="M130" i="2" s="1"/>
  <c r="G61" i="5" s="1"/>
  <c r="H56" i="2"/>
  <c r="L61" i="5" l="1"/>
  <c r="H129" i="2" l="1"/>
  <c r="F10" i="12" l="1"/>
  <c r="G163" i="2"/>
  <c r="G160" i="2"/>
  <c r="I10" i="12" l="1"/>
  <c r="H10" i="12"/>
  <c r="J10" i="12" s="1"/>
  <c r="L10" i="12" s="1"/>
  <c r="G18" i="2" l="1"/>
  <c r="G86" i="7" l="1"/>
  <c r="G123" i="7" l="1"/>
  <c r="G17" i="7"/>
  <c r="G32" i="7"/>
  <c r="G55" i="7"/>
  <c r="O55" i="7" s="1"/>
  <c r="M55" i="7" l="1"/>
  <c r="N55" i="7" s="1"/>
  <c r="P55" i="7"/>
  <c r="G66" i="7"/>
  <c r="G165" i="2" l="1"/>
  <c r="G153" i="2"/>
  <c r="F129" i="2" l="1"/>
  <c r="F124" i="7" l="1"/>
  <c r="F86" i="7"/>
  <c r="F15" i="7" l="1"/>
  <c r="F17" i="7"/>
  <c r="F66" i="7" l="1"/>
  <c r="F186" i="2" l="1"/>
  <c r="F180" i="2"/>
  <c r="F177" i="2"/>
  <c r="F165" i="2"/>
  <c r="M165" i="2" s="1"/>
  <c r="F142" i="2"/>
  <c r="F56" i="2"/>
  <c r="F99" i="5" l="1"/>
  <c r="D26" i="10" l="1"/>
  <c r="J26" i="10" s="1"/>
  <c r="P99" i="5"/>
  <c r="K99" i="5"/>
  <c r="R99" i="5"/>
  <c r="O99" i="5"/>
  <c r="N99" i="5"/>
  <c r="L205" i="2" l="1"/>
  <c r="C13" i="8" l="1"/>
  <c r="C13" i="27"/>
  <c r="B13" i="27" l="1"/>
  <c r="B13" i="8"/>
  <c r="K205" i="2" l="1"/>
  <c r="C12" i="27" l="1"/>
  <c r="C12" i="8"/>
  <c r="B12" i="27" l="1"/>
  <c r="B12" i="8"/>
  <c r="J205" i="2" l="1"/>
  <c r="C11" i="27" l="1"/>
  <c r="C11" i="8"/>
  <c r="B11" i="27" l="1"/>
  <c r="B11" i="8"/>
  <c r="S113" i="5" l="1"/>
  <c r="S115" i="5" s="1"/>
  <c r="S143" i="5" s="1"/>
  <c r="G30" i="10" l="1"/>
  <c r="U120" i="5"/>
  <c r="G31" i="10" l="1"/>
  <c r="G32" i="10" s="1"/>
  <c r="I205" i="2" l="1"/>
  <c r="C10" i="27"/>
  <c r="B10" i="27" l="1"/>
  <c r="H205" i="2" l="1"/>
  <c r="C9" i="27" l="1"/>
  <c r="C9" i="8"/>
  <c r="B9" i="8" l="1"/>
  <c r="B9" i="27"/>
  <c r="G205" i="2" l="1"/>
  <c r="C8" i="27" l="1"/>
  <c r="C8" i="8"/>
  <c r="C15" i="8" l="1"/>
  <c r="I25" i="8"/>
  <c r="T3" i="8" l="1"/>
  <c r="U3" i="8" s="1"/>
  <c r="D57" i="8"/>
  <c r="U143" i="5"/>
  <c r="J24" i="8"/>
  <c r="B8" i="27" l="1"/>
  <c r="B8" i="8"/>
  <c r="I24" i="8" l="1"/>
  <c r="B15" i="8"/>
  <c r="J23" i="8" l="1"/>
  <c r="U94" i="5"/>
  <c r="T2" i="8"/>
  <c r="U2" i="8" s="1"/>
  <c r="U5" i="8" s="1"/>
  <c r="I20" i="8"/>
  <c r="D56" i="8"/>
  <c r="M17" i="10"/>
  <c r="I19" i="8"/>
  <c r="D55" i="8" l="1"/>
  <c r="K55" i="8" l="1"/>
  <c r="F205" i="2" l="1"/>
  <c r="M205" i="2" s="1"/>
  <c r="F114" i="5" l="1"/>
  <c r="R114" i="5" l="1"/>
  <c r="K114" i="5"/>
  <c r="O114" i="5"/>
  <c r="L7" i="2" l="1"/>
  <c r="L8" i="2"/>
  <c r="L9" i="2"/>
  <c r="L162" i="2" l="1"/>
  <c r="L160" i="2"/>
  <c r="L159" i="2"/>
  <c r="L62" i="2" l="1"/>
  <c r="L55" i="2"/>
  <c r="L49" i="2" l="1"/>
  <c r="L48" i="2"/>
  <c r="L14" i="2"/>
  <c r="L13" i="2"/>
  <c r="L12" i="7" l="1"/>
  <c r="A13" i="27" l="1"/>
  <c r="L147" i="7" l="1"/>
  <c r="L141" i="7"/>
  <c r="O141" i="7" s="1"/>
  <c r="M141" i="7" s="1"/>
  <c r="L139" i="7"/>
  <c r="O139" i="7" s="1"/>
  <c r="L124" i="7"/>
  <c r="L107" i="7"/>
  <c r="L87" i="7"/>
  <c r="L52" i="7"/>
  <c r="L44" i="7"/>
  <c r="P139" i="7" l="1"/>
  <c r="M139" i="7"/>
  <c r="N139" i="7" s="1"/>
  <c r="P141" i="7"/>
  <c r="N141" i="7"/>
  <c r="L21" i="7"/>
  <c r="L20" i="7"/>
  <c r="L17" i="7" l="1"/>
  <c r="O17" i="7" s="1"/>
  <c r="L32" i="7"/>
  <c r="L38" i="7"/>
  <c r="L39" i="7"/>
  <c r="L77" i="7"/>
  <c r="L110" i="7"/>
  <c r="L111" i="7"/>
  <c r="O111" i="7" s="1"/>
  <c r="P111" i="7" s="1"/>
  <c r="L114" i="7"/>
  <c r="L122" i="7"/>
  <c r="M17" i="7" l="1"/>
  <c r="P17" i="7"/>
  <c r="I16" i="6"/>
  <c r="L66" i="7"/>
  <c r="G16" i="6" l="1"/>
  <c r="N17" i="7"/>
  <c r="J16" i="6"/>
  <c r="L16" i="6"/>
  <c r="K16" i="6" l="1"/>
  <c r="H16" i="6"/>
  <c r="L175" i="2" l="1"/>
  <c r="L174" i="2"/>
  <c r="L168" i="2"/>
  <c r="L154" i="2"/>
  <c r="L153" i="2"/>
  <c r="L148" i="2"/>
  <c r="L147" i="2"/>
  <c r="L144" i="2"/>
  <c r="L142" i="2"/>
  <c r="L141" i="2"/>
  <c r="L46" i="2"/>
  <c r="L45" i="2"/>
  <c r="L42" i="2"/>
  <c r="L36" i="2"/>
  <c r="L35" i="2"/>
  <c r="L33" i="2"/>
  <c r="L32" i="2"/>
  <c r="L19" i="2"/>
  <c r="L18" i="2"/>
  <c r="L12" i="2"/>
  <c r="M12" i="2" s="1"/>
  <c r="L11" i="2"/>
  <c r="L10" i="2"/>
  <c r="O12" i="2" l="1"/>
  <c r="H9" i="5"/>
  <c r="M9" i="5" s="1"/>
  <c r="L129" i="2" l="1"/>
  <c r="K162" i="2" l="1"/>
  <c r="K159" i="2"/>
  <c r="K197" i="2" l="1"/>
  <c r="M197" i="2" s="1"/>
  <c r="G68" i="5" s="1"/>
  <c r="L68" i="5" s="1"/>
  <c r="K196" i="2"/>
  <c r="K14" i="2" l="1"/>
  <c r="K13" i="2"/>
  <c r="A12" i="27" l="1"/>
  <c r="K124" i="7" l="1"/>
  <c r="K107" i="7"/>
  <c r="K87" i="7"/>
  <c r="K86" i="7"/>
  <c r="K44" i="7"/>
  <c r="K21" i="7" l="1"/>
  <c r="K20" i="7"/>
  <c r="K12" i="7" l="1"/>
  <c r="K15" i="7"/>
  <c r="K38" i="7"/>
  <c r="K39" i="7"/>
  <c r="K77" i="7"/>
  <c r="K110" i="7"/>
  <c r="K112" i="7"/>
  <c r="O112" i="7" s="1"/>
  <c r="K114" i="7"/>
  <c r="K122" i="7"/>
  <c r="I66" i="6" l="1"/>
  <c r="P112" i="7"/>
  <c r="J66" i="6" l="1"/>
  <c r="L66" i="6"/>
  <c r="M199" i="2" l="1"/>
  <c r="K194" i="2"/>
  <c r="M194" i="2" s="1"/>
  <c r="G67" i="5" s="1"/>
  <c r="L67" i="5" s="1"/>
  <c r="K193" i="2"/>
  <c r="K191" i="2"/>
  <c r="M191" i="2" s="1"/>
  <c r="G66" i="5" s="1"/>
  <c r="K190" i="2"/>
  <c r="K186" i="2"/>
  <c r="K180" i="2"/>
  <c r="K177" i="2"/>
  <c r="K174" i="2"/>
  <c r="K168" i="2"/>
  <c r="K153" i="2"/>
  <c r="K147" i="2"/>
  <c r="K144" i="2"/>
  <c r="K142" i="2"/>
  <c r="K141" i="2"/>
  <c r="K136" i="2"/>
  <c r="M136" i="2" s="1"/>
  <c r="G63" i="5" s="1"/>
  <c r="K135" i="2"/>
  <c r="K63" i="2"/>
  <c r="K62" i="2"/>
  <c r="K56" i="2"/>
  <c r="K55" i="2"/>
  <c r="K46" i="2"/>
  <c r="K45" i="2"/>
  <c r="K43" i="2"/>
  <c r="K42" i="2"/>
  <c r="K36" i="2"/>
  <c r="K33" i="2"/>
  <c r="K32" i="2"/>
  <c r="K19" i="2"/>
  <c r="K18" i="2"/>
  <c r="K11" i="2"/>
  <c r="K10" i="2"/>
  <c r="K8" i="2"/>
  <c r="K7" i="2"/>
  <c r="F112" i="5" l="1"/>
  <c r="L66" i="5"/>
  <c r="L69" i="5" s="1"/>
  <c r="G69" i="5"/>
  <c r="E13" i="10" s="1"/>
  <c r="L63" i="5"/>
  <c r="L65" i="5" s="1"/>
  <c r="P63" i="5"/>
  <c r="G65" i="5"/>
  <c r="E12" i="10" s="1"/>
  <c r="N112" i="5" l="1"/>
  <c r="K112" i="5"/>
  <c r="R112" i="5"/>
  <c r="P112" i="5"/>
  <c r="O112" i="5"/>
  <c r="K129" i="2" l="1"/>
  <c r="J163" i="2" l="1"/>
  <c r="J162" i="2"/>
  <c r="J159" i="2"/>
  <c r="J50" i="2" l="1"/>
  <c r="J49" i="2"/>
  <c r="J48" i="2"/>
  <c r="J47" i="2"/>
  <c r="J46" i="2"/>
  <c r="J45" i="2"/>
  <c r="J15" i="2"/>
  <c r="M15" i="2" s="1"/>
  <c r="J14" i="2"/>
  <c r="J13" i="2"/>
  <c r="O15" i="2" l="1"/>
  <c r="H10" i="5"/>
  <c r="M10" i="5" s="1"/>
  <c r="J122" i="7" l="1"/>
  <c r="J38" i="7" l="1"/>
  <c r="A11" i="27" l="1"/>
  <c r="J124" i="7" l="1"/>
  <c r="J107" i="7"/>
  <c r="J87" i="7"/>
  <c r="J86" i="7"/>
  <c r="J52" i="7"/>
  <c r="O52" i="7" s="1"/>
  <c r="J44" i="7"/>
  <c r="P52" i="7" l="1"/>
  <c r="M52" i="7"/>
  <c r="N52" i="7" s="1"/>
  <c r="J21" i="7"/>
  <c r="J20" i="7"/>
  <c r="J123" i="7" l="1"/>
  <c r="J15" i="7"/>
  <c r="J32" i="7"/>
  <c r="J39" i="7"/>
  <c r="J47" i="7"/>
  <c r="J77" i="7"/>
  <c r="J110" i="7"/>
  <c r="J114" i="7"/>
  <c r="J160" i="7"/>
  <c r="O160" i="7" s="1"/>
  <c r="J163" i="7"/>
  <c r="O163" i="7" s="1"/>
  <c r="J165" i="7"/>
  <c r="I88" i="6" l="1"/>
  <c r="P163" i="7"/>
  <c r="P160" i="7"/>
  <c r="M160" i="7"/>
  <c r="I85" i="6"/>
  <c r="J66" i="7"/>
  <c r="J109" i="7"/>
  <c r="L88" i="6" l="1"/>
  <c r="J88" i="6"/>
  <c r="G85" i="6"/>
  <c r="N160" i="7"/>
  <c r="L85" i="6"/>
  <c r="J85" i="6"/>
  <c r="K85" i="6" l="1"/>
  <c r="H85" i="6"/>
  <c r="M393" i="2" l="1"/>
  <c r="J174" i="2"/>
  <c r="J153" i="2"/>
  <c r="J148" i="2"/>
  <c r="J147" i="2"/>
  <c r="J144" i="2"/>
  <c r="J142" i="2"/>
  <c r="J141" i="2"/>
  <c r="J135" i="2"/>
  <c r="J132" i="2"/>
  <c r="M132" i="2" s="1"/>
  <c r="F62" i="5" s="1"/>
  <c r="J63" i="2"/>
  <c r="J62" i="2"/>
  <c r="J56" i="2"/>
  <c r="M56" i="2" s="1"/>
  <c r="J55" i="2"/>
  <c r="J43" i="2"/>
  <c r="M43" i="2" s="1"/>
  <c r="J42" i="2"/>
  <c r="J36" i="2"/>
  <c r="J35" i="2"/>
  <c r="J33" i="2"/>
  <c r="J32" i="2"/>
  <c r="J19" i="2"/>
  <c r="J18" i="2"/>
  <c r="J11" i="2"/>
  <c r="J10" i="2"/>
  <c r="J9" i="2"/>
  <c r="J8" i="2"/>
  <c r="J7" i="2"/>
  <c r="F84" i="5" l="1"/>
  <c r="R62" i="5"/>
  <c r="N62" i="5"/>
  <c r="O62" i="5"/>
  <c r="K62" i="5"/>
  <c r="G27" i="5"/>
  <c r="O56" i="2"/>
  <c r="G21" i="5"/>
  <c r="L21" i="5" s="1"/>
  <c r="O43" i="2"/>
  <c r="N85" i="5" l="1"/>
  <c r="R84" i="5"/>
  <c r="O84" i="5"/>
  <c r="P84" i="5"/>
  <c r="N84" i="5"/>
  <c r="K84" i="5"/>
  <c r="L27" i="5"/>
  <c r="L29" i="5" s="1"/>
  <c r="G29" i="5"/>
  <c r="E10" i="10" s="1"/>
  <c r="P27" i="5"/>
  <c r="P29" i="5" s="1"/>
  <c r="J129" i="2" l="1"/>
  <c r="I162" i="2" l="1"/>
  <c r="I159" i="2"/>
  <c r="I48" i="2" l="1"/>
  <c r="I47" i="2"/>
  <c r="I45" i="2"/>
  <c r="I14" i="2"/>
  <c r="I13" i="2"/>
  <c r="I11" i="7" l="1"/>
  <c r="A10" i="27" l="1"/>
  <c r="I124" i="7" l="1"/>
  <c r="I107" i="7"/>
  <c r="I87" i="7"/>
  <c r="I86" i="7"/>
  <c r="O86" i="7" s="1"/>
  <c r="I44" i="7"/>
  <c r="P86" i="7" l="1"/>
  <c r="M86" i="7"/>
  <c r="N86" i="7" s="1"/>
  <c r="I21" i="7"/>
  <c r="I20" i="7"/>
  <c r="I123" i="7" l="1"/>
  <c r="I32" i="7"/>
  <c r="O32" i="7" s="1"/>
  <c r="I38" i="7"/>
  <c r="I39" i="7"/>
  <c r="I47" i="7"/>
  <c r="O47" i="7" s="1"/>
  <c r="I77" i="7"/>
  <c r="I110" i="7"/>
  <c r="I114" i="7"/>
  <c r="I162" i="7"/>
  <c r="I165" i="7"/>
  <c r="O165" i="7" s="1"/>
  <c r="M165" i="7" s="1"/>
  <c r="G90" i="6" l="1"/>
  <c r="N165" i="7"/>
  <c r="I26" i="6"/>
  <c r="M32" i="7"/>
  <c r="P32" i="7"/>
  <c r="I90" i="6"/>
  <c r="P165" i="7"/>
  <c r="I38" i="6"/>
  <c r="P47" i="7"/>
  <c r="I66" i="7"/>
  <c r="O66" i="7" s="1"/>
  <c r="M66" i="7" s="1"/>
  <c r="K90" i="6" l="1"/>
  <c r="H90" i="6"/>
  <c r="L26" i="6"/>
  <c r="J26" i="6"/>
  <c r="N32" i="7"/>
  <c r="N40" i="7" s="1"/>
  <c r="G26" i="6"/>
  <c r="L90" i="6"/>
  <c r="J90" i="6"/>
  <c r="L38" i="6"/>
  <c r="L42" i="6" s="1"/>
  <c r="J38" i="6"/>
  <c r="J42" i="6" s="1"/>
  <c r="P66" i="7"/>
  <c r="G29" i="8" l="1"/>
  <c r="G30" i="27"/>
  <c r="H26" i="6"/>
  <c r="H32" i="6" s="1"/>
  <c r="K26" i="6"/>
  <c r="K32" i="6" s="1"/>
  <c r="N66" i="7"/>
  <c r="G51" i="6"/>
  <c r="H51" i="6" l="1"/>
  <c r="K51" i="6"/>
  <c r="M396" i="2" l="1"/>
  <c r="I175" i="2"/>
  <c r="I174" i="2"/>
  <c r="I168" i="2"/>
  <c r="I155" i="2"/>
  <c r="I154" i="2"/>
  <c r="I153" i="2"/>
  <c r="I148" i="2"/>
  <c r="I147" i="2"/>
  <c r="I145" i="2"/>
  <c r="I144" i="2"/>
  <c r="I55" i="2"/>
  <c r="I42" i="2"/>
  <c r="I36" i="2"/>
  <c r="I35" i="2"/>
  <c r="I33" i="2"/>
  <c r="I32" i="2"/>
  <c r="I19" i="2"/>
  <c r="I18" i="2"/>
  <c r="I11" i="2"/>
  <c r="I10" i="2"/>
  <c r="I9" i="2"/>
  <c r="I7" i="2"/>
  <c r="F83" i="5" l="1"/>
  <c r="O83" i="5" l="1"/>
  <c r="N83" i="5"/>
  <c r="P83" i="5"/>
  <c r="K83" i="5"/>
  <c r="K86" i="5" s="1"/>
  <c r="R83" i="5"/>
  <c r="R86" i="5" s="1"/>
  <c r="F86" i="5"/>
  <c r="D14" i="10" s="1"/>
  <c r="J14" i="10" s="1"/>
  <c r="I129" i="2" l="1"/>
  <c r="M129" i="2" s="1"/>
  <c r="F61" i="5" l="1"/>
  <c r="K61" i="5" l="1"/>
  <c r="R61" i="5"/>
  <c r="P61" i="5"/>
  <c r="N61" i="5"/>
  <c r="O61" i="5"/>
  <c r="H162" i="2" l="1"/>
  <c r="H159" i="2"/>
  <c r="H196" i="2" l="1"/>
  <c r="M196" i="2" s="1"/>
  <c r="F68" i="5" l="1"/>
  <c r="K68" i="5" l="1"/>
  <c r="P68" i="5"/>
  <c r="R68" i="5"/>
  <c r="N68" i="5"/>
  <c r="O68" i="5"/>
  <c r="H48" i="2"/>
  <c r="H14" i="2"/>
  <c r="H13" i="2"/>
  <c r="H33" i="2" l="1"/>
  <c r="A9" i="27" l="1"/>
  <c r="H124" i="7" l="1"/>
  <c r="O124" i="7" s="1"/>
  <c r="M124" i="7" l="1"/>
  <c r="N124" i="7" s="1"/>
  <c r="P124" i="7"/>
  <c r="H21" i="7"/>
  <c r="H20" i="7"/>
  <c r="H123" i="7" l="1"/>
  <c r="O123" i="7" s="1"/>
  <c r="H110" i="7"/>
  <c r="H114" i="7"/>
  <c r="H122" i="7"/>
  <c r="I74" i="6" l="1"/>
  <c r="M123" i="7"/>
  <c r="P123" i="7"/>
  <c r="L74" i="6" l="1"/>
  <c r="J74" i="6"/>
  <c r="N123" i="7"/>
  <c r="G74" i="6"/>
  <c r="K74" i="6" l="1"/>
  <c r="H74" i="6"/>
  <c r="M305" i="2" l="1"/>
  <c r="H296" i="2"/>
  <c r="M296" i="2" s="1"/>
  <c r="H275" i="2"/>
  <c r="M275" i="2" s="1"/>
  <c r="H272" i="2"/>
  <c r="M272" i="2" s="1"/>
  <c r="H239" i="2"/>
  <c r="M239" i="2" s="1"/>
  <c r="M202" i="2"/>
  <c r="H193" i="2"/>
  <c r="M193" i="2" s="1"/>
  <c r="H190" i="2"/>
  <c r="M190" i="2" s="1"/>
  <c r="H186" i="2"/>
  <c r="M186" i="2" s="1"/>
  <c r="F110" i="5" s="1"/>
  <c r="H180" i="2"/>
  <c r="M180" i="2" s="1"/>
  <c r="H177" i="2"/>
  <c r="M177" i="2" s="1"/>
  <c r="H155" i="2"/>
  <c r="M155" i="2" s="1"/>
  <c r="H103" i="5" s="1"/>
  <c r="H153" i="2"/>
  <c r="H147" i="2"/>
  <c r="H144" i="2"/>
  <c r="H141" i="2"/>
  <c r="H135" i="2"/>
  <c r="M135" i="2" s="1"/>
  <c r="H134" i="2"/>
  <c r="M134" i="2" s="1"/>
  <c r="H55" i="2"/>
  <c r="H47" i="2"/>
  <c r="H42" i="2"/>
  <c r="H36" i="2"/>
  <c r="H35" i="2"/>
  <c r="H19" i="2"/>
  <c r="H18" i="2"/>
  <c r="H11" i="2"/>
  <c r="H10" i="2"/>
  <c r="H9" i="2"/>
  <c r="F126" i="5" l="1"/>
  <c r="F120" i="5"/>
  <c r="F121" i="5"/>
  <c r="F73" i="5"/>
  <c r="F113" i="5"/>
  <c r="F67" i="5"/>
  <c r="F66" i="5"/>
  <c r="P110" i="5"/>
  <c r="R110" i="5"/>
  <c r="N110" i="5"/>
  <c r="O110" i="5"/>
  <c r="F108" i="5"/>
  <c r="F107" i="5"/>
  <c r="F24" i="10"/>
  <c r="M103" i="5"/>
  <c r="F63" i="5"/>
  <c r="H62" i="5"/>
  <c r="R126" i="5" l="1"/>
  <c r="K126" i="5"/>
  <c r="N126" i="5"/>
  <c r="O126" i="5"/>
  <c r="P126" i="5"/>
  <c r="O120" i="5"/>
  <c r="N120" i="5"/>
  <c r="P120" i="5"/>
  <c r="K120" i="5"/>
  <c r="R120" i="5"/>
  <c r="P121" i="5"/>
  <c r="K121" i="5"/>
  <c r="R121" i="5"/>
  <c r="O121" i="5"/>
  <c r="N121" i="5"/>
  <c r="F142" i="5"/>
  <c r="D29" i="10" s="1"/>
  <c r="J29" i="10" s="1"/>
  <c r="F78" i="5"/>
  <c r="D17" i="10" s="1"/>
  <c r="J17" i="10" s="1"/>
  <c r="K73" i="5"/>
  <c r="R73" i="5"/>
  <c r="R78" i="5" s="1"/>
  <c r="O73" i="5"/>
  <c r="O78" i="5" s="1"/>
  <c r="P73" i="5"/>
  <c r="P78" i="5" s="1"/>
  <c r="N73" i="5"/>
  <c r="N78" i="5" s="1"/>
  <c r="P113" i="5"/>
  <c r="P115" i="5" s="1"/>
  <c r="N113" i="5"/>
  <c r="N115" i="5" s="1"/>
  <c r="O113" i="5"/>
  <c r="O115" i="5" s="1"/>
  <c r="K113" i="5"/>
  <c r="K115" i="5" s="1"/>
  <c r="R113" i="5"/>
  <c r="R115" i="5" s="1"/>
  <c r="F115" i="5"/>
  <c r="D30" i="10" s="1"/>
  <c r="J30" i="10" s="1"/>
  <c r="N67" i="5"/>
  <c r="K67" i="5"/>
  <c r="O67" i="5"/>
  <c r="R67" i="5"/>
  <c r="P67" i="5"/>
  <c r="F69" i="5"/>
  <c r="D13" i="10" s="1"/>
  <c r="J13" i="10" s="1"/>
  <c r="P66" i="5"/>
  <c r="R66" i="5"/>
  <c r="N66" i="5"/>
  <c r="O66" i="5"/>
  <c r="K66" i="5"/>
  <c r="O108" i="5"/>
  <c r="R108" i="5"/>
  <c r="P108" i="5"/>
  <c r="N108" i="5"/>
  <c r="R107" i="5"/>
  <c r="O107" i="5"/>
  <c r="P107" i="5"/>
  <c r="N107" i="5"/>
  <c r="O63" i="5"/>
  <c r="R63" i="5"/>
  <c r="R65" i="5" s="1"/>
  <c r="K63" i="5"/>
  <c r="N63" i="5"/>
  <c r="F65" i="5"/>
  <c r="D12" i="10" s="1"/>
  <c r="J12" i="10" s="1"/>
  <c r="M62" i="5"/>
  <c r="M65" i="5" s="1"/>
  <c r="P62" i="5"/>
  <c r="H65" i="5"/>
  <c r="F12" i="10" s="1"/>
  <c r="K142" i="5" l="1"/>
  <c r="D50" i="27" s="1"/>
  <c r="O69" i="5"/>
  <c r="N69" i="5"/>
  <c r="O142" i="5"/>
  <c r="R142" i="5"/>
  <c r="D49" i="8"/>
  <c r="D44" i="27"/>
  <c r="K78" i="5"/>
  <c r="D43" i="8"/>
  <c r="P69" i="5"/>
  <c r="R69" i="5"/>
  <c r="K69" i="5"/>
  <c r="D42" i="8"/>
  <c r="K65" i="5"/>
  <c r="D43" i="27"/>
  <c r="G162" i="2" l="1"/>
  <c r="G159" i="2"/>
  <c r="G50" i="2" l="1"/>
  <c r="M50" i="2" s="1"/>
  <c r="H23" i="5" s="1"/>
  <c r="M23" i="5" s="1"/>
  <c r="G49" i="2"/>
  <c r="M49" i="2" s="1"/>
  <c r="G23" i="5" s="1"/>
  <c r="L23" i="5" s="1"/>
  <c r="G48" i="2"/>
  <c r="G14" i="2" l="1"/>
  <c r="G13" i="2"/>
  <c r="G34" i="2" l="1"/>
  <c r="M34" i="2" s="1"/>
  <c r="G33" i="2"/>
  <c r="G32" i="2"/>
  <c r="O34" i="2" l="1"/>
  <c r="H17" i="5"/>
  <c r="H19" i="5" l="1"/>
  <c r="F8" i="10" s="1"/>
  <c r="M17" i="5"/>
  <c r="M19" i="5" s="1"/>
  <c r="G19" i="2" l="1"/>
  <c r="G46" i="2" l="1"/>
  <c r="A8" i="27" l="1"/>
  <c r="G147" i="7" l="1"/>
  <c r="O147" i="7" s="1"/>
  <c r="G107" i="7"/>
  <c r="G87" i="7"/>
  <c r="G44" i="7"/>
  <c r="P147" i="7" l="1"/>
  <c r="M147" i="7"/>
  <c r="N147" i="7" s="1"/>
  <c r="G21" i="7"/>
  <c r="O21" i="7" s="1"/>
  <c r="P21" i="7" s="1"/>
  <c r="G20" i="7"/>
  <c r="G12" i="7" l="1"/>
  <c r="G15" i="7"/>
  <c r="O15" i="7" s="1"/>
  <c r="G38" i="7"/>
  <c r="G39" i="7"/>
  <c r="G77" i="7"/>
  <c r="G110" i="7"/>
  <c r="G114" i="7"/>
  <c r="G115" i="7"/>
  <c r="O115" i="7" s="1"/>
  <c r="P115" i="7" s="1"/>
  <c r="G122" i="7"/>
  <c r="G162" i="7"/>
  <c r="P15" i="7" l="1"/>
  <c r="M15" i="7"/>
  <c r="I14" i="6"/>
  <c r="G109" i="7"/>
  <c r="N15" i="7" l="1"/>
  <c r="G14" i="6"/>
  <c r="L14" i="6"/>
  <c r="J14" i="6"/>
  <c r="K14" i="6" l="1"/>
  <c r="H14" i="6"/>
  <c r="G176" i="2" l="1"/>
  <c r="M176" i="2" s="1"/>
  <c r="H100" i="5" s="1"/>
  <c r="G175" i="2"/>
  <c r="G174" i="2"/>
  <c r="G168" i="2"/>
  <c r="G154" i="2"/>
  <c r="G148" i="2"/>
  <c r="G147" i="2"/>
  <c r="G145" i="2"/>
  <c r="G144" i="2"/>
  <c r="G142" i="2"/>
  <c r="M142" i="2" s="1"/>
  <c r="G96" i="5" s="1"/>
  <c r="G141" i="2"/>
  <c r="G63" i="2"/>
  <c r="G62" i="2"/>
  <c r="G55" i="2"/>
  <c r="G47" i="2"/>
  <c r="G45" i="2"/>
  <c r="M45" i="2" s="1"/>
  <c r="F22" i="5" s="1"/>
  <c r="G42" i="2"/>
  <c r="G36" i="2"/>
  <c r="G35" i="2"/>
  <c r="G11" i="2"/>
  <c r="G10" i="2"/>
  <c r="G9" i="2"/>
  <c r="G8" i="2"/>
  <c r="G7" i="2"/>
  <c r="M100" i="5" l="1"/>
  <c r="M111" i="5" s="1"/>
  <c r="M143" i="5" s="1"/>
  <c r="F27" i="10"/>
  <c r="H111" i="5"/>
  <c r="H143" i="5" s="1"/>
  <c r="E23" i="10"/>
  <c r="L96" i="5"/>
  <c r="K22" i="5"/>
  <c r="N22" i="5"/>
  <c r="R22" i="5"/>
  <c r="G10" i="8" l="1"/>
  <c r="G9" i="27"/>
  <c r="G16" i="27" s="1"/>
  <c r="D63" i="27" s="1"/>
  <c r="G9" i="8"/>
  <c r="C63" i="27" l="1"/>
  <c r="C62" i="27" s="1"/>
  <c r="D62" i="27"/>
  <c r="G15" i="8"/>
  <c r="D62" i="8" s="1"/>
  <c r="F15" i="12"/>
  <c r="K62" i="27" l="1"/>
  <c r="K20" i="9"/>
  <c r="D61" i="8"/>
  <c r="K61" i="8" s="1"/>
  <c r="C62" i="8"/>
  <c r="C61" i="8" s="1"/>
  <c r="D13" i="13"/>
  <c r="I13" i="13" s="1"/>
  <c r="L13" i="13" s="1"/>
  <c r="H15" i="12"/>
  <c r="J15" i="12" s="1"/>
  <c r="L15" i="12" s="1"/>
  <c r="I15" i="12"/>
  <c r="R47" i="9" l="1"/>
  <c r="R20" i="9"/>
  <c r="M13" i="13"/>
  <c r="P13" i="13"/>
  <c r="F163" i="2" l="1"/>
  <c r="M163" i="2" s="1"/>
  <c r="G106" i="5" s="1"/>
  <c r="L106" i="5" s="1"/>
  <c r="F162" i="2"/>
  <c r="M162" i="2" s="1"/>
  <c r="F106" i="5" s="1"/>
  <c r="F160" i="2"/>
  <c r="M160" i="2" s="1"/>
  <c r="G105" i="5" s="1"/>
  <c r="L105" i="5" s="1"/>
  <c r="F159" i="2"/>
  <c r="M159" i="2" s="1"/>
  <c r="F105" i="5" s="1"/>
  <c r="O106" i="5" l="1"/>
  <c r="K106" i="5"/>
  <c r="R106" i="5"/>
  <c r="N106" i="5"/>
  <c r="P106" i="5"/>
  <c r="K105" i="5"/>
  <c r="R105" i="5"/>
  <c r="O105" i="5"/>
  <c r="P105" i="5"/>
  <c r="N105" i="5"/>
  <c r="F11" i="12" l="1"/>
  <c r="I11" i="12" l="1"/>
  <c r="D10" i="13"/>
  <c r="I10" i="13" s="1"/>
  <c r="H11" i="12"/>
  <c r="J11" i="12" s="1"/>
  <c r="L11" i="12" s="1"/>
  <c r="I19" i="13" l="1"/>
  <c r="L19" i="13" s="1"/>
  <c r="L10" i="13"/>
  <c r="M19" i="13" l="1"/>
  <c r="P19" i="13"/>
  <c r="P10" i="13"/>
  <c r="M10" i="13"/>
  <c r="F48" i="2" l="1"/>
  <c r="M48" i="2" s="1"/>
  <c r="F47" i="2"/>
  <c r="M47" i="2" s="1"/>
  <c r="H22" i="5" s="1"/>
  <c r="F46" i="2"/>
  <c r="M46" i="2" s="1"/>
  <c r="F14" i="2"/>
  <c r="M14" i="2" s="1"/>
  <c r="F13" i="2"/>
  <c r="M13" i="2" s="1"/>
  <c r="F23" i="5" l="1"/>
  <c r="M22" i="5"/>
  <c r="M25" i="5" s="1"/>
  <c r="H25" i="5"/>
  <c r="F9" i="10" s="1"/>
  <c r="G22" i="5"/>
  <c r="G10" i="5"/>
  <c r="L10" i="5" s="1"/>
  <c r="O14" i="2"/>
  <c r="F10" i="5"/>
  <c r="O13" i="2"/>
  <c r="R23" i="5" l="1"/>
  <c r="O23" i="5"/>
  <c r="P23" i="5"/>
  <c r="K23" i="5"/>
  <c r="N23" i="5"/>
  <c r="L22" i="5"/>
  <c r="L25" i="5" s="1"/>
  <c r="O22" i="5"/>
  <c r="P22" i="5"/>
  <c r="G25" i="5"/>
  <c r="E9" i="10" s="1"/>
  <c r="K10" i="5"/>
  <c r="P10" i="5"/>
  <c r="O10" i="5"/>
  <c r="N10" i="5"/>
  <c r="R10" i="5"/>
  <c r="F33" i="2" l="1"/>
  <c r="M33" i="2" s="1"/>
  <c r="F32" i="2"/>
  <c r="M32" i="2" s="1"/>
  <c r="G17" i="5" l="1"/>
  <c r="O33" i="2"/>
  <c r="O32" i="2"/>
  <c r="F17" i="5"/>
  <c r="L17" i="5" l="1"/>
  <c r="O17" i="5"/>
  <c r="K17" i="5"/>
  <c r="P17" i="5"/>
  <c r="R17" i="5"/>
  <c r="N17" i="5"/>
  <c r="F11" i="7" l="1"/>
  <c r="O11" i="7" s="1"/>
  <c r="P11" i="7" l="1"/>
  <c r="M11" i="7"/>
  <c r="N11" i="7" s="1"/>
  <c r="F36" i="2"/>
  <c r="M36" i="2" s="1"/>
  <c r="O36" i="2" l="1"/>
  <c r="G18" i="5"/>
  <c r="L18" i="5" l="1"/>
  <c r="L19" i="5" s="1"/>
  <c r="G19" i="5"/>
  <c r="E8" i="10" s="1"/>
  <c r="A7" i="27" l="1"/>
  <c r="F149" i="7" l="1"/>
  <c r="O149" i="7" s="1"/>
  <c r="F107" i="7"/>
  <c r="O107" i="7" s="1"/>
  <c r="P107" i="7" s="1"/>
  <c r="F87" i="7"/>
  <c r="O87" i="7" s="1"/>
  <c r="P87" i="7" s="1"/>
  <c r="F44" i="7"/>
  <c r="O44" i="7" s="1"/>
  <c r="M44" i="7" s="1"/>
  <c r="P149" i="7" l="1"/>
  <c r="M149" i="7"/>
  <c r="N149" i="7" s="1"/>
  <c r="N44" i="7"/>
  <c r="N56" i="7" s="1"/>
  <c r="P44" i="7"/>
  <c r="P56" i="7" s="1"/>
  <c r="F20" i="7"/>
  <c r="O20" i="7" s="1"/>
  <c r="P20" i="7" s="1"/>
  <c r="G33" i="27" l="1"/>
  <c r="G32" i="8"/>
  <c r="H32" i="8"/>
  <c r="H33" i="27"/>
  <c r="M33" i="27" s="1"/>
  <c r="M32" i="8" l="1"/>
  <c r="D16" i="9"/>
  <c r="G16" i="9" l="1"/>
  <c r="P16" i="9"/>
  <c r="F12" i="7" l="1"/>
  <c r="O12" i="7" s="1"/>
  <c r="F38" i="7"/>
  <c r="O38" i="7" s="1"/>
  <c r="F39" i="7"/>
  <c r="O39" i="7" s="1"/>
  <c r="P39" i="7" s="1"/>
  <c r="F77" i="7"/>
  <c r="O77" i="7" s="1"/>
  <c r="P77" i="7" s="1"/>
  <c r="F110" i="7"/>
  <c r="O110" i="7" s="1"/>
  <c r="F114" i="7"/>
  <c r="O114" i="7" s="1"/>
  <c r="M114" i="7" s="1"/>
  <c r="F122" i="7"/>
  <c r="O122" i="7" s="1"/>
  <c r="F162" i="7"/>
  <c r="O162" i="7" s="1"/>
  <c r="M162" i="7" s="1"/>
  <c r="M122" i="7" l="1"/>
  <c r="I73" i="6"/>
  <c r="P122" i="7"/>
  <c r="I87" i="6"/>
  <c r="P162" i="7"/>
  <c r="I68" i="6"/>
  <c r="P114" i="7"/>
  <c r="P110" i="7"/>
  <c r="I64" i="6"/>
  <c r="P38" i="7"/>
  <c r="P40" i="7" s="1"/>
  <c r="I31" i="6"/>
  <c r="P12" i="7"/>
  <c r="P23" i="7" s="1"/>
  <c r="I11" i="6"/>
  <c r="M12" i="7"/>
  <c r="F109" i="7"/>
  <c r="O109" i="7" s="1"/>
  <c r="G73" i="6" l="1"/>
  <c r="N122" i="7"/>
  <c r="J73" i="6"/>
  <c r="L73" i="6"/>
  <c r="P167" i="7"/>
  <c r="H36" i="8" s="1"/>
  <c r="N162" i="7"/>
  <c r="G87" i="6"/>
  <c r="L87" i="6"/>
  <c r="J87" i="6"/>
  <c r="J68" i="6"/>
  <c r="L68" i="6"/>
  <c r="J64" i="6"/>
  <c r="L64" i="6"/>
  <c r="M109" i="7"/>
  <c r="I63" i="6"/>
  <c r="P109" i="7"/>
  <c r="P119" i="7" s="1"/>
  <c r="H29" i="8"/>
  <c r="H30" i="27"/>
  <c r="M30" i="27" s="1"/>
  <c r="J31" i="6"/>
  <c r="J32" i="6" s="1"/>
  <c r="L31" i="6"/>
  <c r="L32" i="6" s="1"/>
  <c r="H30" i="8"/>
  <c r="H31" i="27"/>
  <c r="L11" i="6"/>
  <c r="L17" i="6" s="1"/>
  <c r="J11" i="6"/>
  <c r="J17" i="6" s="1"/>
  <c r="G11" i="6"/>
  <c r="N12" i="7"/>
  <c r="J91" i="6" l="1"/>
  <c r="H37" i="27"/>
  <c r="M37" i="27" s="1"/>
  <c r="P173" i="7"/>
  <c r="K73" i="6"/>
  <c r="H73" i="6"/>
  <c r="N167" i="7"/>
  <c r="G36" i="8" s="1"/>
  <c r="L91" i="6"/>
  <c r="K87" i="6"/>
  <c r="H87" i="6"/>
  <c r="D19" i="9"/>
  <c r="M36" i="8"/>
  <c r="N109" i="7"/>
  <c r="G62" i="6"/>
  <c r="H35" i="27"/>
  <c r="M35" i="27" s="1"/>
  <c r="H34" i="8"/>
  <c r="H73" i="8" s="1"/>
  <c r="O107" i="8" s="1"/>
  <c r="J63" i="6"/>
  <c r="L63" i="6"/>
  <c r="M29" i="8"/>
  <c r="D13" i="9"/>
  <c r="J48" i="6"/>
  <c r="J97" i="6" s="1"/>
  <c r="L48" i="6"/>
  <c r="L97" i="6" s="1"/>
  <c r="F75" i="8" s="1"/>
  <c r="M30" i="8"/>
  <c r="D14" i="9"/>
  <c r="K11" i="6"/>
  <c r="K17" i="6" s="1"/>
  <c r="K48" i="6" s="1"/>
  <c r="H11" i="6"/>
  <c r="H17" i="6" s="1"/>
  <c r="H48" i="6" s="1"/>
  <c r="M31" i="27"/>
  <c r="K91" i="6" l="1"/>
  <c r="H91" i="6"/>
  <c r="G37" i="27"/>
  <c r="P19" i="9"/>
  <c r="G19" i="9"/>
  <c r="H74" i="27"/>
  <c r="O108" i="27" s="1"/>
  <c r="K62" i="6"/>
  <c r="H62" i="6"/>
  <c r="D18" i="9"/>
  <c r="D21" i="9" s="1"/>
  <c r="M34" i="8"/>
  <c r="N30" i="8" s="1"/>
  <c r="P13" i="9"/>
  <c r="G13" i="9"/>
  <c r="P14" i="9"/>
  <c r="G14" i="9"/>
  <c r="M38" i="27"/>
  <c r="N31" i="27"/>
  <c r="M37" i="8" l="1"/>
  <c r="G18" i="9"/>
  <c r="P18" i="9"/>
  <c r="D27" i="9"/>
  <c r="D34" i="9"/>
  <c r="G21" i="9"/>
  <c r="D26" i="9"/>
  <c r="D36" i="9"/>
  <c r="D35" i="9"/>
  <c r="D37" i="9" l="1"/>
  <c r="F175" i="2" l="1"/>
  <c r="M175" i="2" s="1"/>
  <c r="G100" i="5" s="1"/>
  <c r="F174" i="2"/>
  <c r="M174" i="2" s="1"/>
  <c r="F168" i="2"/>
  <c r="M168" i="2" s="1"/>
  <c r="F154" i="2"/>
  <c r="M154" i="2" s="1"/>
  <c r="G103" i="5" s="1"/>
  <c r="L103" i="5" s="1"/>
  <c r="F153" i="2"/>
  <c r="M153" i="2" s="1"/>
  <c r="F148" i="2"/>
  <c r="M148" i="2" s="1"/>
  <c r="G98" i="5" s="1"/>
  <c r="L98" i="5" s="1"/>
  <c r="F147" i="2"/>
  <c r="M147" i="2" s="1"/>
  <c r="F145" i="2"/>
  <c r="M145" i="2" s="1"/>
  <c r="G97" i="5" s="1"/>
  <c r="F144" i="2"/>
  <c r="M144" i="2" s="1"/>
  <c r="F141" i="2"/>
  <c r="M141" i="2" s="1"/>
  <c r="F63" i="2"/>
  <c r="M63" i="2" s="1"/>
  <c r="F62" i="2"/>
  <c r="M62" i="2" s="1"/>
  <c r="F55" i="2"/>
  <c r="M55" i="2" s="1"/>
  <c r="F42" i="2"/>
  <c r="M42" i="2" s="1"/>
  <c r="F35" i="2"/>
  <c r="M35" i="2" s="1"/>
  <c r="F19" i="2"/>
  <c r="M19" i="2" s="1"/>
  <c r="F18" i="2"/>
  <c r="M18" i="2" s="1"/>
  <c r="F11" i="2"/>
  <c r="M11" i="2" s="1"/>
  <c r="F10" i="2"/>
  <c r="M10" i="2" s="1"/>
  <c r="F9" i="2"/>
  <c r="M9" i="2" s="1"/>
  <c r="F8" i="2"/>
  <c r="M8" i="2" s="1"/>
  <c r="F7" i="2"/>
  <c r="M7" i="2" s="1"/>
  <c r="M20" i="7" l="1"/>
  <c r="N20" i="7" s="1"/>
  <c r="N23" i="7" s="1"/>
  <c r="E27" i="10"/>
  <c r="L100" i="5"/>
  <c r="F100" i="5"/>
  <c r="F101" i="5"/>
  <c r="F103" i="5"/>
  <c r="F98" i="5"/>
  <c r="L97" i="5"/>
  <c r="G111" i="5"/>
  <c r="G143" i="5" s="1"/>
  <c r="E24" i="10"/>
  <c r="F97" i="5"/>
  <c r="F96" i="5"/>
  <c r="G31" i="5"/>
  <c r="O63" i="2"/>
  <c r="O62" i="2"/>
  <c r="F31" i="5"/>
  <c r="F27" i="5"/>
  <c r="O55" i="2"/>
  <c r="F21" i="5"/>
  <c r="O42" i="2"/>
  <c r="O35" i="2"/>
  <c r="F18" i="5"/>
  <c r="O19" i="2"/>
  <c r="G13" i="5"/>
  <c r="O18" i="2"/>
  <c r="F13" i="5"/>
  <c r="O11" i="2"/>
  <c r="G9" i="5"/>
  <c r="L9" i="5" s="1"/>
  <c r="F9" i="5"/>
  <c r="O10" i="2"/>
  <c r="H8" i="5"/>
  <c r="O9" i="2"/>
  <c r="O8" i="2"/>
  <c r="G8" i="5"/>
  <c r="F8" i="5"/>
  <c r="O7" i="2"/>
  <c r="L111" i="5" l="1"/>
  <c r="L143" i="5" s="1"/>
  <c r="O100" i="5"/>
  <c r="N100" i="5"/>
  <c r="P100" i="5"/>
  <c r="D27" i="10"/>
  <c r="J27" i="10" s="1"/>
  <c r="K100" i="5"/>
  <c r="R100" i="5"/>
  <c r="R101" i="5"/>
  <c r="D28" i="10"/>
  <c r="J28" i="10" s="1"/>
  <c r="N101" i="5"/>
  <c r="P101" i="5"/>
  <c r="O101" i="5"/>
  <c r="K101" i="5"/>
  <c r="K103" i="5"/>
  <c r="O103" i="5"/>
  <c r="N103" i="5"/>
  <c r="R103" i="5"/>
  <c r="P103" i="5"/>
  <c r="K98" i="5"/>
  <c r="R98" i="5"/>
  <c r="O98" i="5"/>
  <c r="N98" i="5"/>
  <c r="P98" i="5"/>
  <c r="O97" i="5"/>
  <c r="R97" i="5"/>
  <c r="P97" i="5"/>
  <c r="K97" i="5"/>
  <c r="N97" i="5"/>
  <c r="D24" i="10"/>
  <c r="J24" i="10" s="1"/>
  <c r="F111" i="5"/>
  <c r="F143" i="5" s="1"/>
  <c r="R96" i="5"/>
  <c r="D23" i="10"/>
  <c r="J23" i="10" s="1"/>
  <c r="O96" i="5"/>
  <c r="N96" i="5"/>
  <c r="P96" i="5"/>
  <c r="K96" i="5"/>
  <c r="L31" i="5"/>
  <c r="L32" i="5" s="1"/>
  <c r="G32" i="5"/>
  <c r="E11" i="10" s="1"/>
  <c r="R31" i="5"/>
  <c r="R32" i="5" s="1"/>
  <c r="K31" i="5"/>
  <c r="O31" i="5"/>
  <c r="O32" i="5" s="1"/>
  <c r="F32" i="5"/>
  <c r="D11" i="10" s="1"/>
  <c r="J11" i="10" s="1"/>
  <c r="N31" i="5"/>
  <c r="N32" i="5" s="1"/>
  <c r="P31" i="5"/>
  <c r="P32" i="5" s="1"/>
  <c r="O27" i="5"/>
  <c r="K27" i="5"/>
  <c r="K29" i="5" s="1"/>
  <c r="F29" i="5"/>
  <c r="D10" i="10" s="1"/>
  <c r="J10" i="10" s="1"/>
  <c r="N27" i="5"/>
  <c r="R27" i="5"/>
  <c r="R29" i="5" s="1"/>
  <c r="K21" i="5"/>
  <c r="K25" i="5" s="1"/>
  <c r="P21" i="5"/>
  <c r="P25" i="5" s="1"/>
  <c r="R21" i="5"/>
  <c r="R25" i="5" s="1"/>
  <c r="N21" i="5"/>
  <c r="N25" i="5" s="1"/>
  <c r="F25" i="5"/>
  <c r="D9" i="10" s="1"/>
  <c r="J9" i="10" s="1"/>
  <c r="O21" i="5"/>
  <c r="O25" i="5" s="1"/>
  <c r="P18" i="5"/>
  <c r="P19" i="5" s="1"/>
  <c r="N18" i="5"/>
  <c r="N19" i="5" s="1"/>
  <c r="K18" i="5"/>
  <c r="K19" i="5" s="1"/>
  <c r="R18" i="5"/>
  <c r="R19" i="5" s="1"/>
  <c r="O18" i="5"/>
  <c r="O19" i="5" s="1"/>
  <c r="F19" i="5"/>
  <c r="D8" i="10" s="1"/>
  <c r="J8" i="10" s="1"/>
  <c r="G15" i="5"/>
  <c r="E7" i="10" s="1"/>
  <c r="L13" i="5"/>
  <c r="L15" i="5" s="1"/>
  <c r="F15" i="5"/>
  <c r="D7" i="10" s="1"/>
  <c r="J7" i="10" s="1"/>
  <c r="K13" i="5"/>
  <c r="K15" i="5" s="1"/>
  <c r="O13" i="5"/>
  <c r="N13" i="5"/>
  <c r="P13" i="5"/>
  <c r="R13" i="5"/>
  <c r="R15" i="5" s="1"/>
  <c r="K9" i="5"/>
  <c r="P9" i="5"/>
  <c r="O9" i="5"/>
  <c r="R9" i="5"/>
  <c r="N9" i="5"/>
  <c r="M8" i="5"/>
  <c r="M11" i="5" s="1"/>
  <c r="M94" i="5" s="1"/>
  <c r="H11" i="5"/>
  <c r="L8" i="5"/>
  <c r="L11" i="5" s="1"/>
  <c r="G11" i="5"/>
  <c r="K8" i="5"/>
  <c r="R8" i="5"/>
  <c r="O8" i="5"/>
  <c r="P8" i="5"/>
  <c r="N8" i="5"/>
  <c r="F11" i="5"/>
  <c r="G31" i="27"/>
  <c r="G30" i="8"/>
  <c r="R11" i="5" l="1"/>
  <c r="R94" i="5" s="1"/>
  <c r="C56" i="8" s="1"/>
  <c r="D49" i="27"/>
  <c r="D48" i="8"/>
  <c r="O111" i="5"/>
  <c r="R111" i="5"/>
  <c r="R143" i="5" s="1"/>
  <c r="D48" i="27"/>
  <c r="K111" i="5"/>
  <c r="D47" i="8"/>
  <c r="D44" i="8"/>
  <c r="D45" i="27"/>
  <c r="K32" i="5"/>
  <c r="L94" i="5"/>
  <c r="O11" i="5"/>
  <c r="N11" i="5"/>
  <c r="P11" i="5"/>
  <c r="H94" i="5"/>
  <c r="F6" i="10"/>
  <c r="G94" i="5"/>
  <c r="E6" i="10"/>
  <c r="D6" i="10"/>
  <c r="J6" i="10" s="1"/>
  <c r="F94" i="5"/>
  <c r="D42" i="27"/>
  <c r="K11" i="5"/>
  <c r="D47" i="27" l="1"/>
  <c r="K47" i="27" s="1"/>
  <c r="D46" i="8"/>
  <c r="N15" i="8" s="1"/>
  <c r="U90" i="5"/>
  <c r="K143" i="5"/>
  <c r="D41" i="27"/>
  <c r="M16" i="27" s="1"/>
  <c r="C57" i="27"/>
  <c r="C55" i="8"/>
  <c r="C73" i="8" s="1"/>
  <c r="J51" i="8"/>
  <c r="D41" i="8"/>
  <c r="D40" i="8" s="1"/>
  <c r="U6" i="5"/>
  <c r="K94" i="5"/>
  <c r="K15" i="9" l="1"/>
  <c r="R15" i="9" s="1"/>
  <c r="N16" i="27"/>
  <c r="K46" i="8"/>
  <c r="K41" i="27"/>
  <c r="D40" i="27"/>
  <c r="K14" i="9"/>
  <c r="R14" i="9" s="1"/>
  <c r="C56" i="27"/>
  <c r="C74" i="27" s="1"/>
  <c r="M15" i="8"/>
  <c r="K40" i="8"/>
  <c r="D39" i="8"/>
  <c r="K16" i="9" l="1"/>
  <c r="R16" i="9" s="1"/>
  <c r="K40" i="27"/>
  <c r="K39" i="8"/>
  <c r="D73" i="8"/>
  <c r="H80" i="8" l="1"/>
  <c r="D92" i="8" s="1"/>
  <c r="K73" i="8"/>
  <c r="F82" i="8"/>
  <c r="C7" i="27" l="1"/>
  <c r="C16" i="27" s="1"/>
  <c r="I26" i="27" l="1"/>
  <c r="J25" i="27" s="1"/>
  <c r="T3" i="27" l="1"/>
  <c r="U3" i="27" s="1"/>
  <c r="D58" i="27"/>
  <c r="B7" i="27" l="1"/>
  <c r="B16" i="27" s="1"/>
  <c r="I25" i="27" l="1"/>
  <c r="J24" i="27" l="1"/>
  <c r="D57" i="27"/>
  <c r="I21" i="27"/>
  <c r="T2" i="27"/>
  <c r="U2" i="27" s="1"/>
  <c r="U5" i="27" s="1"/>
  <c r="I20" i="27"/>
  <c r="D56" i="27" l="1"/>
  <c r="J52" i="27"/>
  <c r="K17" i="9" l="1"/>
  <c r="K56" i="27"/>
  <c r="D74" i="27"/>
  <c r="R17" i="9" l="1"/>
  <c r="T26" i="9" s="1"/>
  <c r="K22" i="9"/>
  <c r="D24" i="9" s="1"/>
  <c r="D25" i="9" s="1"/>
  <c r="F83" i="27"/>
  <c r="H81" i="27"/>
  <c r="D93" i="27" s="1"/>
  <c r="K74" i="27"/>
  <c r="D38" i="9" l="1"/>
  <c r="D28" i="9"/>
  <c r="N114" i="7"/>
  <c r="N119" i="7" s="1"/>
  <c r="G67" i="6"/>
  <c r="K67" i="6" s="1"/>
  <c r="K71" i="6" s="1"/>
  <c r="K97" i="6" s="1"/>
  <c r="D75" i="8" s="1"/>
  <c r="H67" i="6" l="1"/>
  <c r="H71" i="6" s="1"/>
  <c r="H97" i="6" s="1"/>
  <c r="G35" i="27"/>
  <c r="G74" i="27" s="1"/>
  <c r="G34" i="8"/>
  <c r="G73" i="8" s="1"/>
  <c r="N173" i="7"/>
  <c r="D83" i="27" l="1"/>
  <c r="J108" i="27"/>
  <c r="J107" i="8"/>
  <c r="D82" i="8"/>
  <c r="D35" i="33" l="1"/>
  <c r="D34" i="33"/>
  <c r="E35" i="33"/>
  <c r="E34" i="33"/>
  <c r="D44" i="33" l="1"/>
  <c r="D45" i="33" s="1"/>
  <c r="I39" i="34"/>
  <c r="S39" i="34" s="1"/>
  <c r="N39" i="34"/>
  <c r="E44" i="33"/>
  <c r="E45" i="33" s="1"/>
  <c r="G7" i="33" s="1"/>
  <c r="G12" i="33" s="1"/>
  <c r="I40" i="34"/>
  <c r="N40" i="34"/>
  <c r="N41" i="34" s="1"/>
  <c r="D39" i="34" l="1"/>
  <c r="D41" i="34" s="1"/>
  <c r="L32" i="34"/>
  <c r="L34" i="34" s="1"/>
  <c r="S40" i="34"/>
  <c r="I41" i="34"/>
  <c r="T32" i="34" l="1"/>
  <c r="S41" i="34"/>
  <c r="G25" i="34"/>
  <c r="T34" i="34" l="1"/>
  <c r="X32" i="34"/>
  <c r="O33" i="34"/>
  <c r="M40" i="34"/>
  <c r="M19" i="34"/>
  <c r="C19" i="34" s="1"/>
  <c r="AA40" i="34"/>
  <c r="AA33" i="34"/>
  <c r="W33" i="34"/>
  <c r="W23" i="34"/>
  <c r="W27" i="34" s="1"/>
  <c r="H40" i="34"/>
  <c r="S33" i="34"/>
  <c r="G33" i="34"/>
  <c r="R40" i="34"/>
  <c r="W40" i="34"/>
  <c r="K33" i="34"/>
  <c r="X34" i="34" l="1"/>
  <c r="G23" i="34"/>
  <c r="F19" i="34"/>
  <c r="K19" i="34"/>
  <c r="P19" i="34"/>
  <c r="W39" i="34" l="1"/>
  <c r="W32" i="34"/>
  <c r="O32" i="34"/>
  <c r="AA39" i="34"/>
  <c r="R39" i="34"/>
  <c r="AA32" i="34"/>
  <c r="S32" i="34"/>
  <c r="K32" i="34"/>
  <c r="G32" i="34"/>
  <c r="H39" i="34"/>
  <c r="M39" i="34"/>
  <c r="V22" i="34"/>
  <c r="Z22" i="34" s="1"/>
</calcChain>
</file>

<file path=xl/sharedStrings.xml><?xml version="1.0" encoding="utf-8"?>
<sst xmlns="http://schemas.openxmlformats.org/spreadsheetml/2006/main" count="3348" uniqueCount="1348">
  <si>
    <t>DIRECT COST SUMMARY</t>
  </si>
  <si>
    <t>Date</t>
  </si>
  <si>
    <t>Budget Year</t>
  </si>
  <si>
    <t>Item No</t>
  </si>
  <si>
    <t>Description</t>
  </si>
  <si>
    <t>Unit</t>
  </si>
  <si>
    <t>Productivity</t>
  </si>
  <si>
    <t>Actual Direct Cost (Birr)</t>
  </si>
  <si>
    <t>Unit price Share (Birr)</t>
  </si>
  <si>
    <t>Hr</t>
  </si>
  <si>
    <t>Day(8Hr)</t>
  </si>
  <si>
    <t>Material</t>
  </si>
  <si>
    <t>Labor</t>
  </si>
  <si>
    <t>Equipment</t>
  </si>
  <si>
    <t>Total DC</t>
  </si>
  <si>
    <t>Bill No 1 General</t>
  </si>
  <si>
    <t>General</t>
  </si>
  <si>
    <t>ls</t>
  </si>
  <si>
    <t>Bill No 2 Site clearance</t>
  </si>
  <si>
    <t>Clearing &amp; Grabbing</t>
  </si>
  <si>
    <t>Ha</t>
  </si>
  <si>
    <t>Bill No 4 Earthwork</t>
  </si>
  <si>
    <t>Cut/borrow to fill</t>
  </si>
  <si>
    <t>42.01a(ii)A</t>
  </si>
  <si>
    <t>Excavation to stock/production</t>
  </si>
  <si>
    <r>
      <t>M</t>
    </r>
    <r>
      <rPr>
        <vertAlign val="superscript"/>
        <sz val="10"/>
        <rFont val="Bookman Old Style"/>
        <family val="1"/>
      </rPr>
      <t>3</t>
    </r>
  </si>
  <si>
    <t>Embankment/borrow Hauling</t>
  </si>
  <si>
    <t>Embankment/borrow Placing</t>
  </si>
  <si>
    <t>Fine Grading by embankment/borrow</t>
  </si>
  <si>
    <t>42.03(a)</t>
  </si>
  <si>
    <t>Cut to spoil</t>
  </si>
  <si>
    <t>42.03(b)</t>
  </si>
  <si>
    <t>Rock excavation to spoil</t>
  </si>
  <si>
    <t>54.01(b)</t>
  </si>
  <si>
    <t>Bill No 5: Pavment</t>
  </si>
  <si>
    <t>54.01(a)</t>
  </si>
  <si>
    <t>Natural Selected Subbase</t>
  </si>
  <si>
    <t>Subbase production (Natural)</t>
  </si>
  <si>
    <t>Subbase Hauling</t>
  </si>
  <si>
    <t>Subbase Placing</t>
  </si>
  <si>
    <t>Bill No 3: Minor Drainage</t>
  </si>
  <si>
    <t>Structural excavation</t>
  </si>
  <si>
    <t>32.01(a)</t>
  </si>
  <si>
    <t>Excavation of open drains</t>
  </si>
  <si>
    <t>32.01(b)</t>
  </si>
  <si>
    <t>Excavation of hard material</t>
  </si>
  <si>
    <t>32.02(a)</t>
  </si>
  <si>
    <t>Backfill from excavated material</t>
  </si>
  <si>
    <t>Backfilling from excavated material</t>
  </si>
  <si>
    <t>32.02(b)</t>
  </si>
  <si>
    <t>Backfill from selected material</t>
  </si>
  <si>
    <t>32.03(a)</t>
  </si>
  <si>
    <t>R.C. pipe(dia.42")</t>
  </si>
  <si>
    <t>Pcs</t>
  </si>
  <si>
    <t>32.03(b)</t>
  </si>
  <si>
    <t>R.C. pipe(dia.48")</t>
  </si>
  <si>
    <t>32.07(b)(i)</t>
  </si>
  <si>
    <t>Class 'A' Concrete</t>
  </si>
  <si>
    <t>Sand production</t>
  </si>
  <si>
    <t>Sand hauling</t>
  </si>
  <si>
    <t>Stone Production ( For Aggregate  by Quarryman )</t>
  </si>
  <si>
    <t>Stone Production</t>
  </si>
  <si>
    <t>Stone hauling to crusher</t>
  </si>
  <si>
    <t>C.agg. production</t>
  </si>
  <si>
    <t>C. agg. Hualing</t>
  </si>
  <si>
    <t>Form work</t>
  </si>
  <si>
    <r>
      <t>M</t>
    </r>
    <r>
      <rPr>
        <vertAlign val="superscript"/>
        <sz val="10"/>
        <rFont val="Bookman Old Style"/>
        <family val="1"/>
      </rPr>
      <t>2</t>
    </r>
  </si>
  <si>
    <t>Falsework</t>
  </si>
  <si>
    <t>Class A Concrete ( Minor )</t>
  </si>
  <si>
    <t>32.10(b)</t>
  </si>
  <si>
    <t>Reinforcment bar</t>
  </si>
  <si>
    <t>Rebar bending &amp; Placing</t>
  </si>
  <si>
    <t>Kg</t>
  </si>
  <si>
    <t>34.03(b)</t>
  </si>
  <si>
    <t>Class 'B' masonry</t>
  </si>
  <si>
    <t>Stone Production by Excavator ( For Masonary  )</t>
  </si>
  <si>
    <t>Stone prodn. (Q.man)</t>
  </si>
  <si>
    <t>Stone hauling</t>
  </si>
  <si>
    <t>M3</t>
  </si>
  <si>
    <t>Masonory construction</t>
  </si>
  <si>
    <t>34.01(b)i</t>
  </si>
  <si>
    <t>Paved construction</t>
  </si>
  <si>
    <t>Bill No 5: Major Drainage</t>
  </si>
  <si>
    <t>81.02(a)iii</t>
  </si>
  <si>
    <t>Excavation of soft material irrespective of depth</t>
  </si>
  <si>
    <t>81.05(a)</t>
  </si>
  <si>
    <t>87.16(b)</t>
  </si>
  <si>
    <t>Handlaid rock fill</t>
  </si>
  <si>
    <t>Handlaid Material Production</t>
  </si>
  <si>
    <t>Handlaid material Hauling</t>
  </si>
  <si>
    <t>Handlaid filling</t>
  </si>
  <si>
    <t>87.16(a)</t>
  </si>
  <si>
    <t>Selected granular backfill</t>
  </si>
  <si>
    <t>Granular material Hauling</t>
  </si>
  <si>
    <t>Granular material filling</t>
  </si>
  <si>
    <t>84.01(a)</t>
  </si>
  <si>
    <t>M2</t>
  </si>
  <si>
    <t>83.01(a) &amp; 83.01(b)</t>
  </si>
  <si>
    <t>Concrete bridge  railing with R.C posts</t>
  </si>
  <si>
    <t>LM</t>
  </si>
  <si>
    <t>89.01(b)</t>
  </si>
  <si>
    <t>Group IV: Miscelaniouse</t>
  </si>
  <si>
    <t>Reflective road sign</t>
  </si>
  <si>
    <t>Project sign with post</t>
  </si>
  <si>
    <t>pcs</t>
  </si>
  <si>
    <t>Concrete sign post</t>
  </si>
  <si>
    <t>No</t>
  </si>
  <si>
    <t>TYPE</t>
  </si>
  <si>
    <t>PLAT No.</t>
  </si>
  <si>
    <t>MODEL</t>
  </si>
  <si>
    <t>Status</t>
  </si>
  <si>
    <t>Fuel</t>
  </si>
  <si>
    <t>UN cons</t>
  </si>
  <si>
    <t>DOZER</t>
  </si>
  <si>
    <t>Dozer</t>
  </si>
  <si>
    <t>O</t>
  </si>
  <si>
    <t>I</t>
  </si>
  <si>
    <t>D</t>
  </si>
  <si>
    <t>TOTAL</t>
  </si>
  <si>
    <t>GRADER</t>
  </si>
  <si>
    <t>Grader</t>
  </si>
  <si>
    <t>140H</t>
  </si>
  <si>
    <t>ROLLER</t>
  </si>
  <si>
    <t>Smooth  roller</t>
  </si>
  <si>
    <t>Smooth  roller rental</t>
  </si>
  <si>
    <t>LOADER</t>
  </si>
  <si>
    <t>Loader</t>
  </si>
  <si>
    <t>XGMA</t>
  </si>
  <si>
    <t>EXCAVATOR</t>
  </si>
  <si>
    <t>Excavator(chain)</t>
  </si>
  <si>
    <t>N6LA4888</t>
  </si>
  <si>
    <t>E385</t>
  </si>
  <si>
    <t>Crusher</t>
  </si>
  <si>
    <t>MIXER</t>
  </si>
  <si>
    <t>VIBRATOR</t>
  </si>
  <si>
    <t>Vibrator Petrol</t>
  </si>
  <si>
    <t>Air compressor</t>
  </si>
  <si>
    <t>Water Pump</t>
  </si>
  <si>
    <t>DUMP TRUCK</t>
  </si>
  <si>
    <t>water truck</t>
  </si>
  <si>
    <t>UD</t>
  </si>
  <si>
    <t>Dump truck</t>
  </si>
  <si>
    <t>Dump truck rental</t>
  </si>
  <si>
    <t>SINOTRUCK</t>
  </si>
  <si>
    <t>3-36811</t>
  </si>
  <si>
    <t>NISSAN</t>
  </si>
  <si>
    <t>Cargo   Truck</t>
  </si>
  <si>
    <t>Cargo   Truck  Rental</t>
  </si>
  <si>
    <t>ISUZU</t>
  </si>
  <si>
    <t>G-130</t>
  </si>
  <si>
    <t>Shampo</t>
  </si>
  <si>
    <t>LOWBED</t>
  </si>
  <si>
    <t>COOD-23/G-167</t>
  </si>
  <si>
    <t>G-193</t>
  </si>
  <si>
    <t>G-112</t>
  </si>
  <si>
    <t>G-148</t>
  </si>
  <si>
    <t>LIGHT VEHICLE</t>
  </si>
  <si>
    <t>Small Vehicle</t>
  </si>
  <si>
    <t>Pickup</t>
  </si>
  <si>
    <t>3-54411</t>
  </si>
  <si>
    <t>5L</t>
  </si>
  <si>
    <t>Land cruizer</t>
  </si>
  <si>
    <t>Small Vehicle reantal</t>
  </si>
  <si>
    <t>G-070</t>
  </si>
  <si>
    <t>Hilux Pkup</t>
  </si>
  <si>
    <t>2H</t>
  </si>
  <si>
    <t>code-50</t>
  </si>
  <si>
    <t>8822(254)</t>
  </si>
  <si>
    <t>G-066</t>
  </si>
  <si>
    <t>PRADO</t>
  </si>
  <si>
    <t>G-088</t>
  </si>
  <si>
    <t>G-024</t>
  </si>
  <si>
    <t>Small Vehicle Rental</t>
  </si>
  <si>
    <t>code-60</t>
  </si>
  <si>
    <t>dyna</t>
  </si>
  <si>
    <t>Generatoer engine</t>
  </si>
  <si>
    <t>RDM3000K</t>
  </si>
  <si>
    <t>HAND COMPACTORS</t>
  </si>
  <si>
    <t>HAND COMPACTOR</t>
  </si>
  <si>
    <t>Type</t>
  </si>
  <si>
    <t>Plat No.</t>
  </si>
  <si>
    <t>Model</t>
  </si>
  <si>
    <t>Planned Hrs</t>
  </si>
  <si>
    <t>Oprational</t>
  </si>
  <si>
    <t>Idle</t>
  </si>
  <si>
    <t>Down</t>
  </si>
  <si>
    <t>Rate p/h</t>
  </si>
  <si>
    <t>Cost</t>
  </si>
  <si>
    <t>Efficiency %      1/(0)</t>
  </si>
  <si>
    <t>Utilizn %      1/(1+2)</t>
  </si>
  <si>
    <t>Avail. % (1+2)/(0)</t>
  </si>
  <si>
    <t>Planned</t>
  </si>
  <si>
    <t>Operation</t>
  </si>
  <si>
    <t>Sub Total</t>
  </si>
  <si>
    <t>Roller</t>
  </si>
  <si>
    <t>Excavator</t>
  </si>
  <si>
    <t>Mixer</t>
  </si>
  <si>
    <t>Vibrater</t>
  </si>
  <si>
    <t>Air Compressor</t>
  </si>
  <si>
    <t>Dump Truck(Own)</t>
  </si>
  <si>
    <t>Cargo truck</t>
  </si>
  <si>
    <t>Light Vehicle own</t>
  </si>
  <si>
    <t>Generatoer</t>
  </si>
  <si>
    <t>U910518T</t>
  </si>
  <si>
    <t>Welding machine ele.</t>
  </si>
  <si>
    <t>PC-7229</t>
  </si>
  <si>
    <t>PC-7170</t>
  </si>
  <si>
    <t>Total of Owned</t>
  </si>
  <si>
    <t>Rental Equipment</t>
  </si>
  <si>
    <t>Water Truck Rental</t>
  </si>
  <si>
    <t>.</t>
  </si>
  <si>
    <t>cobra</t>
  </si>
  <si>
    <t>SURF</t>
  </si>
  <si>
    <t>G-233</t>
  </si>
  <si>
    <t>code-10</t>
  </si>
  <si>
    <t>pajero</t>
  </si>
  <si>
    <t>G-29</t>
  </si>
  <si>
    <t>G-00892</t>
  </si>
  <si>
    <t>AFDER-086</t>
  </si>
  <si>
    <t>G-236</t>
  </si>
  <si>
    <t>G-66</t>
  </si>
  <si>
    <t>G-30</t>
  </si>
  <si>
    <t>G-380</t>
  </si>
  <si>
    <t>Total of Rental</t>
  </si>
  <si>
    <t>Grand Total</t>
  </si>
  <si>
    <t>Weekly Adjusted Plan</t>
  </si>
  <si>
    <t>ITEM</t>
  </si>
  <si>
    <t>DESCRIPTION</t>
  </si>
  <si>
    <t>Unit Price</t>
  </si>
  <si>
    <t>Direct Cost</t>
  </si>
  <si>
    <t>Adjusted Plan</t>
  </si>
  <si>
    <t>Executed</t>
  </si>
  <si>
    <t>NO.</t>
  </si>
  <si>
    <t>Qty.</t>
  </si>
  <si>
    <t>Amount</t>
  </si>
  <si>
    <t>Plan</t>
  </si>
  <si>
    <t>GR.2. EARTH WORK</t>
  </si>
  <si>
    <t>Clearing &amp; Grubbing</t>
  </si>
  <si>
    <t>ha</t>
  </si>
  <si>
    <r>
      <t>m</t>
    </r>
    <r>
      <rPr>
        <vertAlign val="superscript"/>
        <sz val="12"/>
        <rFont val="Times New Roman"/>
        <family val="1"/>
      </rPr>
      <t>3</t>
    </r>
  </si>
  <si>
    <t>GR.3.PAVEMENT Work</t>
  </si>
  <si>
    <t>GR.4.MINOR DRAINAGE</t>
  </si>
  <si>
    <t>lm</t>
  </si>
  <si>
    <r>
      <t>m</t>
    </r>
    <r>
      <rPr>
        <vertAlign val="superscript"/>
        <sz val="12"/>
        <rFont val="Times New Roman"/>
        <family val="1"/>
      </rPr>
      <t>2</t>
    </r>
  </si>
  <si>
    <t>GR.5.MAJOR DRAINAGE</t>
  </si>
  <si>
    <t>GR.6.Retaing wall and Mis.</t>
  </si>
  <si>
    <t>Cummulative</t>
  </si>
  <si>
    <t>MATERIAL PRODUCTION</t>
  </si>
  <si>
    <t>Class "A" Concrete</t>
  </si>
  <si>
    <t>Class "B" Masonry</t>
  </si>
  <si>
    <t>Production of major backfill</t>
  </si>
  <si>
    <t>Material  Hauling</t>
  </si>
  <si>
    <t>Lm</t>
  </si>
  <si>
    <t>Hauling of major backfill</t>
  </si>
  <si>
    <t>Form Work Minor</t>
  </si>
  <si>
    <t>m2</t>
  </si>
  <si>
    <t>Form Work Major</t>
  </si>
  <si>
    <t>False Work Major</t>
  </si>
  <si>
    <t>UNPAID ITEMS</t>
  </si>
  <si>
    <t>Pond Construction</t>
  </si>
  <si>
    <t>Camp construction</t>
  </si>
  <si>
    <t>%</t>
  </si>
  <si>
    <t>Service Road</t>
  </si>
  <si>
    <t>km</t>
  </si>
  <si>
    <t>DESCREPTION</t>
  </si>
  <si>
    <t>Friday</t>
  </si>
  <si>
    <t>Saturday</t>
  </si>
  <si>
    <t>Monday</t>
  </si>
  <si>
    <t>Sunday</t>
  </si>
  <si>
    <t>Tuesday</t>
  </si>
  <si>
    <t>Wednesday</t>
  </si>
  <si>
    <t>Service road</t>
  </si>
  <si>
    <t>Dumping for Detour</t>
  </si>
  <si>
    <t>m3</t>
  </si>
  <si>
    <t>Placing for Detour</t>
  </si>
  <si>
    <t>Week No: 22</t>
  </si>
  <si>
    <t>FUEL</t>
  </si>
  <si>
    <t>Lubrelicant(OWN)</t>
  </si>
  <si>
    <t>Fuel  own</t>
  </si>
  <si>
    <t>Lubrelicant</t>
  </si>
  <si>
    <t>01/11/2008 - 07/11/2008</t>
  </si>
  <si>
    <t>project current week</t>
  </si>
  <si>
    <r>
      <t xml:space="preserve"> </t>
    </r>
    <r>
      <rPr>
        <sz val="18"/>
        <rFont val="Times New Roman"/>
        <family val="1"/>
      </rPr>
      <t xml:space="preserve"> Own fuel</t>
    </r>
  </si>
  <si>
    <t>15w40</t>
  </si>
  <si>
    <t>No of Equi.</t>
  </si>
  <si>
    <t>Op.h</t>
  </si>
  <si>
    <t>p/h</t>
  </si>
  <si>
    <t>Nafta</t>
  </si>
  <si>
    <t>Rental fuel</t>
  </si>
  <si>
    <t>Senthiese</t>
  </si>
  <si>
    <t>previous week</t>
  </si>
  <si>
    <t>10w</t>
  </si>
  <si>
    <t>DATE</t>
  </si>
  <si>
    <t>LUBRICANT</t>
  </si>
  <si>
    <t>CONSTRUCTION</t>
  </si>
  <si>
    <t>TYER AND Tube</t>
  </si>
  <si>
    <t>SPARE PART</t>
  </si>
  <si>
    <t>MANPOWER</t>
  </si>
  <si>
    <t>EQUIPMENT</t>
  </si>
  <si>
    <t>GENERAL ITEM</t>
  </si>
  <si>
    <t>HP22</t>
  </si>
  <si>
    <t>OWN</t>
  </si>
  <si>
    <t>RENTAL</t>
  </si>
  <si>
    <t>CAMP CONSTRUCTION(Consultant)</t>
  </si>
  <si>
    <t>BASIC</t>
  </si>
  <si>
    <t>OVERTIME</t>
  </si>
  <si>
    <t>Cement</t>
  </si>
  <si>
    <t>HD50</t>
  </si>
  <si>
    <t>Messobo</t>
  </si>
  <si>
    <t>85W90</t>
  </si>
  <si>
    <t>Mugger( opc)</t>
  </si>
  <si>
    <t>85W140</t>
  </si>
  <si>
    <t>Barzaf</t>
  </si>
  <si>
    <t>B/Fluid 424</t>
  </si>
  <si>
    <t>Maximum Spare</t>
  </si>
  <si>
    <t>Grease 30722</t>
  </si>
  <si>
    <t>Motor Lp</t>
  </si>
  <si>
    <t>DTE-26</t>
  </si>
  <si>
    <t>cutting edge</t>
  </si>
  <si>
    <t>15w40 Shell</t>
  </si>
  <si>
    <t>Tyre 11*20</t>
  </si>
  <si>
    <t>DTE-25</t>
  </si>
  <si>
    <t>Robin Vibrator</t>
  </si>
  <si>
    <t>WEEKLY</t>
  </si>
  <si>
    <t>Tube</t>
  </si>
  <si>
    <t>ATX</t>
  </si>
  <si>
    <t>SAE-50</t>
  </si>
  <si>
    <t>80W90</t>
  </si>
  <si>
    <t>A3-68</t>
  </si>
  <si>
    <t>Weekly Income Expense summary</t>
  </si>
  <si>
    <t>A3-46</t>
  </si>
  <si>
    <t>Rebar(24)</t>
  </si>
  <si>
    <t>Benzin</t>
  </si>
  <si>
    <t>Shower truck own</t>
  </si>
  <si>
    <t>NO</t>
  </si>
  <si>
    <t>EXPENSE</t>
  </si>
  <si>
    <t>INCOME</t>
  </si>
  <si>
    <t>Rebar(16)</t>
  </si>
  <si>
    <t>AC50</t>
  </si>
  <si>
    <t>PLAN</t>
  </si>
  <si>
    <t>ACTUAL</t>
  </si>
  <si>
    <t>Rebar(12)</t>
  </si>
  <si>
    <t>Ep 3</t>
  </si>
  <si>
    <t>Fuel  truck</t>
  </si>
  <si>
    <t>BILL NO.1: GENERAL</t>
  </si>
  <si>
    <t>Rebar(6)</t>
  </si>
  <si>
    <t>Az011068</t>
  </si>
  <si>
    <t>Generator</t>
  </si>
  <si>
    <t>PERMANENT EMPLOYEES</t>
  </si>
  <si>
    <t>BILL NO.2: SITE CLEARANCE</t>
  </si>
  <si>
    <t>C I S</t>
  </si>
  <si>
    <t>Ep 2</t>
  </si>
  <si>
    <t>R .Collent(26 c)</t>
  </si>
  <si>
    <t>A</t>
  </si>
  <si>
    <t>Basic Salary</t>
  </si>
  <si>
    <t>BILL NO.3: DRAINAGE</t>
  </si>
  <si>
    <t>Gx90</t>
  </si>
  <si>
    <t>B</t>
  </si>
  <si>
    <t>Responsibility Allowance</t>
  </si>
  <si>
    <t>BILL NO.4: EARTH WORKS</t>
  </si>
  <si>
    <t>C</t>
  </si>
  <si>
    <t>Hardship Allowance</t>
  </si>
  <si>
    <t>BILL NO.5: SUB BASE,ROADBASE&amp;GRAVEL WEARING COARSE</t>
  </si>
  <si>
    <t>Perdiem</t>
  </si>
  <si>
    <t>BILL NO.8: STRUCTURES</t>
  </si>
  <si>
    <t>E</t>
  </si>
  <si>
    <t>Special Allowance</t>
  </si>
  <si>
    <t>BILL NO.9: ANCILLARY WORKS</t>
  </si>
  <si>
    <t>Lubrelicant(RENTAL)</t>
  </si>
  <si>
    <t>F</t>
  </si>
  <si>
    <t>Over Time</t>
  </si>
  <si>
    <t>PRODUCTION INCOME</t>
  </si>
  <si>
    <t>2.1.2</t>
  </si>
  <si>
    <t>TEMPORARY  EMPLOYEES</t>
  </si>
  <si>
    <t>HAULING INCOME</t>
  </si>
  <si>
    <t>2.2.1</t>
  </si>
  <si>
    <t>Heavy Duty</t>
  </si>
  <si>
    <t>Trucks</t>
  </si>
  <si>
    <t>Vehicle</t>
  </si>
  <si>
    <t>Crusher Plant</t>
  </si>
  <si>
    <t>Auxillary</t>
  </si>
  <si>
    <t>Own</t>
  </si>
  <si>
    <t>2.2.2</t>
  </si>
  <si>
    <t>Rental</t>
  </si>
  <si>
    <t>WEEKLY RENTAL EQUIPMENTS COST</t>
  </si>
  <si>
    <t>KEROSINE</t>
  </si>
  <si>
    <t>Fuel  rental</t>
  </si>
  <si>
    <t>___SURVEYING</t>
  </si>
  <si>
    <t>No of Days In A Week</t>
  </si>
  <si>
    <t>Total hrs. in a week</t>
  </si>
  <si>
    <t>Total Fuel Cost</t>
  </si>
  <si>
    <t>Rental Reate</t>
  </si>
  <si>
    <t>Total Rent Cost</t>
  </si>
  <si>
    <t>__TOTAL STATION=350*7=2450</t>
  </si>
  <si>
    <t>___</t>
  </si>
  <si>
    <t>___OTHERS=902*7=6314</t>
  </si>
  <si>
    <t>____LAB.EQTS =404.8*7=2833.60</t>
  </si>
  <si>
    <t>SPARE PART, TYRE&amp; TUBE</t>
  </si>
  <si>
    <t>Spare Part</t>
  </si>
  <si>
    <t>Tyre &amp; Tube</t>
  </si>
  <si>
    <t>CONSTRUCTION MATERIAL</t>
  </si>
  <si>
    <t>Main Road</t>
  </si>
  <si>
    <t>Camp Construction</t>
  </si>
  <si>
    <t>1)Contractor</t>
  </si>
  <si>
    <t>2)Consultant</t>
  </si>
  <si>
    <t>General items</t>
  </si>
  <si>
    <t>Total</t>
  </si>
  <si>
    <t>DIRECT COST</t>
  </si>
  <si>
    <t>Plan by Direct cost</t>
  </si>
  <si>
    <t>Actual by Direct cost</t>
  </si>
  <si>
    <t>Prepared By ______________________</t>
  </si>
  <si>
    <t>Checked By _____________________</t>
  </si>
  <si>
    <t>Approved By _____________________</t>
  </si>
  <si>
    <t>Shower truck</t>
  </si>
  <si>
    <t>plan(income-expense)</t>
  </si>
  <si>
    <t>Actual(income-expense)</t>
  </si>
  <si>
    <t>—</t>
  </si>
  <si>
    <t>NEXT</t>
  </si>
  <si>
    <t>WEEKLY INCOME -EXPENSE SUMMERY</t>
  </si>
  <si>
    <t>AMOUNT</t>
  </si>
  <si>
    <t>REMARK</t>
  </si>
  <si>
    <t>GENERAL &amp; PRELIMINARY</t>
  </si>
  <si>
    <t>BASIC SALARY</t>
  </si>
  <si>
    <t>SITE CLEARANCE</t>
  </si>
  <si>
    <t>OVERE TIME</t>
  </si>
  <si>
    <t>DRAINAGE</t>
  </si>
  <si>
    <t>TOTAL MANPOWER</t>
  </si>
  <si>
    <t>EARTH WORK</t>
  </si>
  <si>
    <t>OWEN EQUIPMENT</t>
  </si>
  <si>
    <t>SUB-BASE AND R. BASE</t>
  </si>
  <si>
    <t>RENTAL EQUIPMENT</t>
  </si>
  <si>
    <t>STRUCTURES</t>
  </si>
  <si>
    <t>TOTAL EQUIPMENT</t>
  </si>
  <si>
    <t>ANCILLARY WORKS</t>
  </si>
  <si>
    <t>PRODUCTION</t>
  </si>
  <si>
    <t>HAULING(Earth works)</t>
  </si>
  <si>
    <t>SPARE PARTS</t>
  </si>
  <si>
    <t>TOTAL INCOME</t>
  </si>
  <si>
    <t>OTHERS</t>
  </si>
  <si>
    <t>TOTAL EXPENSE</t>
  </si>
  <si>
    <t>profit+own equipment=</t>
  </si>
  <si>
    <t>Less Retention (5%)=</t>
  </si>
  <si>
    <t>Less loanRepayment(1O%)=</t>
  </si>
  <si>
    <t>Net cash inflow this week</t>
  </si>
  <si>
    <t>miscellaneous</t>
  </si>
  <si>
    <t>pipe cement</t>
  </si>
  <si>
    <t>pipe rebar</t>
  </si>
  <si>
    <t>Prepared by___________</t>
  </si>
  <si>
    <t>Approved by__________________</t>
  </si>
  <si>
    <t>concrete cement</t>
  </si>
  <si>
    <t>paved cement</t>
  </si>
  <si>
    <t>less advance</t>
  </si>
  <si>
    <t>retention</t>
  </si>
  <si>
    <t>with hold</t>
  </si>
  <si>
    <t>bank loan</t>
  </si>
  <si>
    <t>concrete</t>
  </si>
  <si>
    <t>paved</t>
  </si>
  <si>
    <t>massonery</t>
  </si>
  <si>
    <t>pipe</t>
  </si>
  <si>
    <t>drainage</t>
  </si>
  <si>
    <t>CEMENT</t>
  </si>
  <si>
    <t>CONCRETE</t>
  </si>
  <si>
    <t>PAVED</t>
  </si>
  <si>
    <t>MASSONERY</t>
  </si>
  <si>
    <t>PIPE</t>
  </si>
  <si>
    <t>REBAR</t>
  </si>
  <si>
    <t>WEEKLY MACHINERY STATUS</t>
  </si>
  <si>
    <t>QTY</t>
  </si>
  <si>
    <t>OPERATION</t>
  </si>
  <si>
    <t>IDLE</t>
  </si>
  <si>
    <t>DOWN</t>
  </si>
  <si>
    <t>FUEL(total)</t>
  </si>
  <si>
    <t>REMARK(idle case)</t>
  </si>
  <si>
    <t>Water truck</t>
  </si>
  <si>
    <t>Vibrator</t>
  </si>
  <si>
    <t>Small vehicle</t>
  </si>
  <si>
    <t>Hand compactor</t>
  </si>
  <si>
    <t>SUB TOTAL</t>
  </si>
  <si>
    <t>SUB  TOTAL</t>
  </si>
  <si>
    <t>GRAND  TOTAL</t>
  </si>
  <si>
    <t>trips</t>
  </si>
  <si>
    <t>Weekly Evaluation of Labour Utilization</t>
  </si>
  <si>
    <t>SN</t>
  </si>
  <si>
    <t>Activity Description</t>
  </si>
  <si>
    <t>Hourly Output</t>
  </si>
  <si>
    <t>Total MH</t>
  </si>
  <si>
    <t>Excuted Qty</t>
  </si>
  <si>
    <t>Expected Qty</t>
  </si>
  <si>
    <t>Required MH</t>
  </si>
  <si>
    <t>Operator Eff.</t>
  </si>
  <si>
    <t>Skilled Labour</t>
  </si>
  <si>
    <t>Required Vs Actual</t>
  </si>
  <si>
    <t>Required</t>
  </si>
  <si>
    <t>Actual</t>
  </si>
  <si>
    <t>4=(2*1)</t>
  </si>
  <si>
    <t>5=(3/1)</t>
  </si>
  <si>
    <t>6=(3/4)</t>
  </si>
  <si>
    <t>9=(7/6)</t>
  </si>
  <si>
    <t>MASON</t>
  </si>
  <si>
    <t>Class 'B' Masonry(Major)</t>
  </si>
  <si>
    <r>
      <t>m</t>
    </r>
    <r>
      <rPr>
        <vertAlign val="superscript"/>
        <sz val="10"/>
        <rFont val="Times New Roman"/>
        <family val="1"/>
      </rPr>
      <t>3</t>
    </r>
  </si>
  <si>
    <t>Class 'B' Masonry(Minor)</t>
  </si>
  <si>
    <t>Paved Water Way</t>
  </si>
  <si>
    <r>
      <t>m</t>
    </r>
    <r>
      <rPr>
        <vertAlign val="superscript"/>
        <sz val="10"/>
        <rFont val="Times New Roman"/>
        <family val="1"/>
      </rPr>
      <t>2</t>
    </r>
  </si>
  <si>
    <t>Pipe Installation</t>
  </si>
  <si>
    <t>pc</t>
  </si>
  <si>
    <t>Pipe production</t>
  </si>
  <si>
    <t>Back fill</t>
  </si>
  <si>
    <t>CARPENTER</t>
  </si>
  <si>
    <t>Form work(Major)</t>
  </si>
  <si>
    <t>Form work(Minor)</t>
  </si>
  <si>
    <t>False work(Major)</t>
  </si>
  <si>
    <t>False work(Minor)</t>
  </si>
  <si>
    <t>BAR BENDER</t>
  </si>
  <si>
    <t>Re-bar bending &amp; placing(major)</t>
  </si>
  <si>
    <t>kg</t>
  </si>
  <si>
    <t>Re-bar bending for pipe</t>
  </si>
  <si>
    <t>Checked By___________________________</t>
  </si>
  <si>
    <t>Approved By_________________________________________</t>
  </si>
  <si>
    <t>Weekly Evaluation of Construction Material Utilization</t>
  </si>
  <si>
    <t>Executed Qty</t>
  </si>
  <si>
    <t>Consumption Qty(Qun)</t>
  </si>
  <si>
    <t>Standard Consumption (qtl/unit)</t>
  </si>
  <si>
    <t>Unit Rate</t>
  </si>
  <si>
    <t>Difference</t>
  </si>
  <si>
    <t>This week</t>
  </si>
  <si>
    <t>To date</t>
  </si>
  <si>
    <t>This Week</t>
  </si>
  <si>
    <t>Qty</t>
  </si>
  <si>
    <t>Amt</t>
  </si>
  <si>
    <t>Class 'B' Masonry</t>
  </si>
  <si>
    <t>No.</t>
  </si>
  <si>
    <t>Nail</t>
  </si>
  <si>
    <t>Equlaptes tree</t>
  </si>
  <si>
    <t>Pc</t>
  </si>
  <si>
    <t>Angle Iron</t>
  </si>
  <si>
    <t>Black Iron wire</t>
  </si>
  <si>
    <t>Reinforcement Bar</t>
  </si>
  <si>
    <t>Explosive Material</t>
  </si>
  <si>
    <t>Dynamic Goma</t>
  </si>
  <si>
    <t>Anfo</t>
  </si>
  <si>
    <t>Electric Detonator</t>
  </si>
  <si>
    <t>Pc(6m)</t>
  </si>
  <si>
    <t>Pc(4m)</t>
  </si>
  <si>
    <t>lt</t>
  </si>
  <si>
    <t>Lubricant</t>
  </si>
  <si>
    <t>Grease</t>
  </si>
  <si>
    <t>crusher Electrical</t>
  </si>
  <si>
    <t>EY.20D</t>
  </si>
  <si>
    <t>896732</t>
  </si>
  <si>
    <t>G20</t>
  </si>
  <si>
    <t>115G7</t>
  </si>
  <si>
    <t>Extra over itemm 42.01 for common(Normal)excavation to spoil</t>
  </si>
  <si>
    <t>Extra over itemm 42.01 for intermediate materials excavation to spoil</t>
  </si>
  <si>
    <t>Extra over itemm 42.01 for excavating and breaking in rock(hard material)excavation to spoil</t>
  </si>
  <si>
    <t>Structural excavation(moderate)</t>
  </si>
  <si>
    <t>Structural excavation(Hard)</t>
  </si>
  <si>
    <t>R.C. pipe(dia.36")</t>
  </si>
  <si>
    <t>G.R. paved water way(Pipe)</t>
  </si>
  <si>
    <t>G.R. paved water way(Paved Ditch)</t>
  </si>
  <si>
    <t>Handlaid rock fill For retaining Wall</t>
  </si>
  <si>
    <t>Granular material production (Natural)</t>
  </si>
  <si>
    <t>Structural excavation(Intermidiate)</t>
  </si>
  <si>
    <t>Excavation of intermidiate material irrespective of depth</t>
  </si>
  <si>
    <t>Excavation of Hard material irrespective of depth</t>
  </si>
  <si>
    <t>Class 'C-25' Concrete</t>
  </si>
  <si>
    <t>Class 'C-20' Concrete</t>
  </si>
  <si>
    <t>Class 'C-15' Concrete</t>
  </si>
  <si>
    <t>Class 'C-5' Concrete</t>
  </si>
  <si>
    <t>Elastomeric Bearing</t>
  </si>
  <si>
    <t>Plate Bearing [0.45*0.35*0.05]</t>
  </si>
  <si>
    <t>87.07(b)</t>
  </si>
  <si>
    <t>Concrete parapets and railing</t>
  </si>
  <si>
    <t>87.19(a)</t>
  </si>
  <si>
    <t>Drainage pipes and weep holes</t>
  </si>
  <si>
    <t>Expansion joint</t>
  </si>
  <si>
    <t>(a)</t>
  </si>
  <si>
    <t>Expansion joint including 20mm commpressible joint filler board</t>
  </si>
  <si>
    <t>Sealing joints with</t>
  </si>
  <si>
    <t>joint sealant, 20mm deep grouted poly sulphide sealant</t>
  </si>
  <si>
    <t>89.01(a)</t>
  </si>
  <si>
    <t>Pointing of both abutment and WWs with 1:4 mortar</t>
  </si>
  <si>
    <t>Class 'B' masonry(cut off wall)</t>
  </si>
  <si>
    <t>Capping to fill(G20)</t>
  </si>
  <si>
    <t>Capping to fill(G7)</t>
  </si>
  <si>
    <t>GR.3.PAVEMENT Work(Placing)</t>
  </si>
  <si>
    <t>Fine Grading-Capping(G20)</t>
  </si>
  <si>
    <t>Fine Grading-Capping(G7)</t>
  </si>
  <si>
    <t>Structural excavation(Common)</t>
  </si>
  <si>
    <t xml:space="preserve"> Concrete Class ''A''</t>
  </si>
  <si>
    <t xml:space="preserve"> Concrete C-25</t>
  </si>
  <si>
    <t xml:space="preserve"> Concrete C-20</t>
  </si>
  <si>
    <t xml:space="preserve"> Concrete C-15</t>
  </si>
  <si>
    <t xml:space="preserve"> Concrete C-5</t>
  </si>
  <si>
    <t>Capping Production(G20)</t>
  </si>
  <si>
    <t>Capping Production(G7)</t>
  </si>
  <si>
    <t>Backfill Material Production(minor)</t>
  </si>
  <si>
    <t>R.C. Pipe Production(dia.36")</t>
  </si>
  <si>
    <t>Pipe hauling(dia.36")</t>
  </si>
  <si>
    <t>Installation and curing(dia.36")</t>
  </si>
  <si>
    <t>R.C. Pipe Production(dia.42")</t>
  </si>
  <si>
    <t>Pipe hauling(dia.42")</t>
  </si>
  <si>
    <t>Installation and curing(dia.42")</t>
  </si>
  <si>
    <t>R.C. Pipe Production(dia.48")</t>
  </si>
  <si>
    <t>Pipe hauling(dia.48")</t>
  </si>
  <si>
    <t>Installation and curing(dia.48")</t>
  </si>
  <si>
    <t>Class 'A' Concrete(Minor)</t>
  </si>
  <si>
    <t>Class 'C' Concrete(Minor)</t>
  </si>
  <si>
    <t>Capping Hauling-Capping(G20)</t>
  </si>
  <si>
    <t>Capping Hauling-Capping(G7)</t>
  </si>
  <si>
    <t>Capping Placing(G20)</t>
  </si>
  <si>
    <t>Capping Placing(G7)</t>
  </si>
  <si>
    <t>Backfill material Hauling(Minor)</t>
  </si>
  <si>
    <t>Backfilling(Selected)Minor</t>
  </si>
  <si>
    <t>Cross-land Construction Company</t>
  </si>
  <si>
    <t>Cross-land Construction Campany</t>
  </si>
  <si>
    <t>CAT D8R</t>
  </si>
  <si>
    <t>9EM 08520</t>
  </si>
  <si>
    <t>XG 31802</t>
  </si>
  <si>
    <t>XG953H</t>
  </si>
  <si>
    <t>Excavator(DOSSAN)</t>
  </si>
  <si>
    <t>DX-340</t>
  </si>
  <si>
    <t>Macheneries List</t>
  </si>
  <si>
    <t>XXX-06-20500153</t>
  </si>
  <si>
    <t>495AG</t>
  </si>
  <si>
    <t>MIXER LOMBARDINI</t>
  </si>
  <si>
    <t>15D3505.360</t>
  </si>
  <si>
    <t>5750 HOPPER</t>
  </si>
  <si>
    <t>Benzine Water Pump</t>
  </si>
  <si>
    <t>Km 186 F(A)</t>
  </si>
  <si>
    <t>KAMA</t>
  </si>
  <si>
    <t>G200</t>
  </si>
  <si>
    <t>Eagle</t>
  </si>
  <si>
    <t>FUEL Pump</t>
  </si>
  <si>
    <t>WATER  AND FUEL PUMP</t>
  </si>
  <si>
    <t>RTSOZB26-36Q</t>
  </si>
  <si>
    <t>OHV</t>
  </si>
  <si>
    <t>3-ET-61220</t>
  </si>
  <si>
    <t>Genlyon 380</t>
  </si>
  <si>
    <t>Shower Truck</t>
  </si>
  <si>
    <t>3-ET-00821</t>
  </si>
  <si>
    <t>FIAT 682N3</t>
  </si>
  <si>
    <t>FUEL TRUCK</t>
  </si>
  <si>
    <t>IVECO</t>
  </si>
  <si>
    <t>C11213</t>
  </si>
  <si>
    <t>X2562</t>
  </si>
  <si>
    <t>KDE12EW</t>
  </si>
  <si>
    <t>G149100438</t>
  </si>
  <si>
    <t>Vibrator (Rubin)</t>
  </si>
  <si>
    <t>EY.20C</t>
  </si>
  <si>
    <t>Z.O.28EU</t>
  </si>
  <si>
    <t>GENERATOR AND AIR COMPRESSSOR</t>
  </si>
  <si>
    <t>OTHER SITE EQUIPIMENTS</t>
  </si>
  <si>
    <t xml:space="preserve">Electronic Totalstation </t>
  </si>
  <si>
    <t>Level</t>
  </si>
  <si>
    <t>Equipiment</t>
  </si>
  <si>
    <t>Serial No.</t>
  </si>
  <si>
    <t>B40D10385</t>
  </si>
  <si>
    <t>NTS3624</t>
  </si>
  <si>
    <t xml:space="preserve">WATER  AND FUEL Truck </t>
  </si>
  <si>
    <t>19/07/2007</t>
  </si>
  <si>
    <t>Vibrator (Rubin) (new)</t>
  </si>
  <si>
    <t>d120302061</t>
  </si>
  <si>
    <t>Dissel Water Pump unoperational</t>
  </si>
  <si>
    <t>Weekly Progress Report</t>
  </si>
  <si>
    <t>Checked By_____________________</t>
  </si>
  <si>
    <t>Approved By___________________</t>
  </si>
  <si>
    <t>INCOME Vs EXPENSE</t>
  </si>
  <si>
    <t>Plan Income</t>
  </si>
  <si>
    <t>Actual Income</t>
  </si>
  <si>
    <t>Prepared By______________________</t>
  </si>
  <si>
    <t>Checked By_______________________</t>
  </si>
  <si>
    <t>Approved By_______________________</t>
  </si>
  <si>
    <t>Checked By____________</t>
  </si>
  <si>
    <t>Small Vehicle rental</t>
  </si>
  <si>
    <t>62086</t>
  </si>
  <si>
    <t>Construction Materials</t>
  </si>
  <si>
    <t>OPC</t>
  </si>
  <si>
    <t>PPC</t>
  </si>
  <si>
    <t>Project: Haro sebu-Lelo-Qaqe</t>
  </si>
  <si>
    <t>-</t>
  </si>
  <si>
    <t xml:space="preserve">       Checked By____________________</t>
  </si>
  <si>
    <t xml:space="preserve">Approved By: ___________________       </t>
  </si>
  <si>
    <t>Total Project Cost</t>
  </si>
  <si>
    <t>ACCOMPLISHMENT IN PERCENT</t>
  </si>
  <si>
    <t>Checked By___________________</t>
  </si>
  <si>
    <t>Approved By_______________</t>
  </si>
  <si>
    <t>qun</t>
  </si>
  <si>
    <t>0498</t>
  </si>
  <si>
    <t>0167</t>
  </si>
  <si>
    <t>0152</t>
  </si>
  <si>
    <t>0300</t>
  </si>
  <si>
    <t xml:space="preserve">Crusher </t>
  </si>
  <si>
    <t xml:space="preserve">crusher </t>
  </si>
  <si>
    <t>1DK/M486</t>
  </si>
  <si>
    <t xml:space="preserve">     Prepared By_________________</t>
  </si>
  <si>
    <t>0800</t>
  </si>
  <si>
    <t>10250</t>
  </si>
  <si>
    <r>
      <rPr>
        <b/>
        <sz val="26"/>
        <rFont val="Times New Roman"/>
        <family val="1"/>
      </rPr>
      <t xml:space="preserve">          </t>
    </r>
    <r>
      <rPr>
        <b/>
        <u/>
        <sz val="26"/>
        <rFont val="Times New Roman"/>
        <family val="1"/>
      </rPr>
      <t xml:space="preserve"> Weekly Machinery and Fuel  Status</t>
    </r>
  </si>
  <si>
    <t>Natan K.</t>
  </si>
  <si>
    <t>Natan k.</t>
  </si>
  <si>
    <r>
      <t>Profit</t>
    </r>
    <r>
      <rPr>
        <b/>
        <sz val="10"/>
        <rFont val="Times New Roman"/>
        <family val="1"/>
      </rPr>
      <t>(income-expense)=</t>
    </r>
  </si>
  <si>
    <t>Natan K</t>
  </si>
  <si>
    <t>Komatsu</t>
  </si>
  <si>
    <t xml:space="preserve">Komatsu </t>
  </si>
  <si>
    <t>3-69520</t>
  </si>
  <si>
    <t>Dump Truck rental</t>
  </si>
  <si>
    <t>3-69538</t>
  </si>
  <si>
    <t>Long base</t>
  </si>
  <si>
    <t>58068</t>
  </si>
  <si>
    <t xml:space="preserve">FIAT </t>
  </si>
  <si>
    <t>Fuel Truck</t>
  </si>
  <si>
    <t>3-ET-69015</t>
  </si>
  <si>
    <t>Per KM</t>
  </si>
  <si>
    <t>3-58699</t>
  </si>
  <si>
    <t>WATER TRUCK RENTAL</t>
  </si>
  <si>
    <t>Dump Trucks Per Km</t>
  </si>
  <si>
    <t>Tursday</t>
  </si>
  <si>
    <t>0166</t>
  </si>
  <si>
    <t>xgma</t>
  </si>
  <si>
    <t>Lowbed</t>
  </si>
  <si>
    <t>FUEL (lit)</t>
  </si>
  <si>
    <t>CONSTRUCTION (Birr)</t>
  </si>
  <si>
    <t>Average trip of  Owned  D / Truck  =   ___________________</t>
  </si>
  <si>
    <t>Average trip of  Rental  D / Truck  =   ___________________</t>
  </si>
  <si>
    <t>mob.n(hr.)</t>
  </si>
  <si>
    <t>Standard Consumption</t>
  </si>
  <si>
    <t>Remark</t>
  </si>
  <si>
    <t>Fuel per hr.</t>
  </si>
  <si>
    <t xml:space="preserve">                                                                            </t>
  </si>
  <si>
    <t xml:space="preserve">Prepared By: ________________       </t>
  </si>
  <si>
    <t>(7)=(5)/10</t>
  </si>
  <si>
    <t xml:space="preserve">VAT 15% </t>
  </si>
  <si>
    <t>Prepared By___________________</t>
  </si>
  <si>
    <t>Prepared By_____________________________</t>
  </si>
  <si>
    <t xml:space="preserve"> Project Cost</t>
  </si>
  <si>
    <t>NATAN K.</t>
  </si>
  <si>
    <t>Expected Fuel Consumption</t>
  </si>
  <si>
    <t>Standard Fuel Consumption Per Hour</t>
  </si>
  <si>
    <t>Dump Truck Rental</t>
  </si>
  <si>
    <t>3-65860</t>
  </si>
  <si>
    <t>3-65861</t>
  </si>
  <si>
    <t>3-65862</t>
  </si>
  <si>
    <t>3-65863</t>
  </si>
  <si>
    <t>3-67361</t>
  </si>
  <si>
    <t>D8R 03152</t>
  </si>
  <si>
    <t>D8R  08518</t>
  </si>
  <si>
    <t>148</t>
  </si>
  <si>
    <t>Nissan</t>
  </si>
  <si>
    <t>3-ET-10467</t>
  </si>
  <si>
    <t xml:space="preserve">Small Dump Truck (Nissan) </t>
  </si>
  <si>
    <t>Dump truck  (Genlyon)</t>
  </si>
  <si>
    <t>3-ET-26317</t>
  </si>
  <si>
    <t>Generator Kama</t>
  </si>
  <si>
    <t>Cunmins Power Generator</t>
  </si>
  <si>
    <t>Generator Kama (Cons.)</t>
  </si>
  <si>
    <t>Kama</t>
  </si>
  <si>
    <t>Subgrade  Preparation</t>
  </si>
  <si>
    <t>99633</t>
  </si>
  <si>
    <t>65025</t>
  </si>
  <si>
    <t>new</t>
  </si>
  <si>
    <t>3-67362</t>
  </si>
  <si>
    <t>Consultant Allowance(Over time)</t>
  </si>
  <si>
    <t>Maintenance Cost</t>
  </si>
  <si>
    <t>Traveling Perdium</t>
  </si>
  <si>
    <t>60681</t>
  </si>
  <si>
    <r>
      <t>F</t>
    </r>
    <r>
      <rPr>
        <sz val="10"/>
        <rFont val="Times New Roman"/>
        <family val="1"/>
      </rPr>
      <t>36"</t>
    </r>
  </si>
  <si>
    <r>
      <t>F</t>
    </r>
    <r>
      <rPr>
        <sz val="10"/>
        <rFont val="Times New Roman"/>
        <family val="1"/>
      </rPr>
      <t>42"</t>
    </r>
  </si>
  <si>
    <r>
      <t>F</t>
    </r>
    <r>
      <rPr>
        <sz val="10"/>
        <rFont val="Times New Roman"/>
        <family val="1"/>
      </rPr>
      <t>48"</t>
    </r>
  </si>
  <si>
    <t>LUBRICANT (Engine Oil(15 W40,Grease ,10W, 85w140,Battery Water &amp; Benzene)</t>
  </si>
  <si>
    <t>3-ET-57870</t>
  </si>
  <si>
    <t>ABEL N.</t>
  </si>
  <si>
    <t>Fasil N.</t>
  </si>
  <si>
    <t>3-62628</t>
  </si>
  <si>
    <t>3-62629</t>
  </si>
  <si>
    <t>67618</t>
  </si>
  <si>
    <t>Fuel Charging</t>
  </si>
  <si>
    <t>D4D</t>
  </si>
  <si>
    <t>Rental Driver Over Time</t>
  </si>
  <si>
    <t>Class A  Concrete</t>
  </si>
  <si>
    <t>Class"A" concrete(Major)</t>
  </si>
  <si>
    <t>3-ET-70117</t>
  </si>
  <si>
    <t>51323</t>
  </si>
  <si>
    <t>Laboratory Test</t>
  </si>
  <si>
    <t>Pension</t>
  </si>
  <si>
    <t>G</t>
  </si>
  <si>
    <t>Loading  &amp; UnLoading</t>
  </si>
  <si>
    <t>River Sand</t>
  </si>
  <si>
    <t>FASIL N.</t>
  </si>
  <si>
    <t>62485</t>
  </si>
  <si>
    <t>BackLoader</t>
  </si>
  <si>
    <t>JCB</t>
  </si>
  <si>
    <t xml:space="preserve">BackLoader </t>
  </si>
  <si>
    <t>Class"A" concrete(Minor)</t>
  </si>
  <si>
    <t xml:space="preserve"> Perdium</t>
  </si>
  <si>
    <t>XN14072430</t>
  </si>
  <si>
    <t>Shower Truck Case</t>
  </si>
  <si>
    <t>Week 32</t>
  </si>
  <si>
    <t>Week 32  ((23-29)-08-07)</t>
  </si>
  <si>
    <t>49739</t>
  </si>
  <si>
    <t xml:space="preserve"> Fuel Charging ,Rain Case &amp; Mechanical Problem</t>
  </si>
  <si>
    <t>Fuel Charging ,Rain Case &amp; Shower Truck Case</t>
  </si>
  <si>
    <t>Rain Case &amp; Being activity dependent</t>
  </si>
  <si>
    <t xml:space="preserve"> Fuel Charging ,Operator Sick &amp; Rain Case </t>
  </si>
  <si>
    <t>Stone Stocking &amp; Rain Case</t>
  </si>
  <si>
    <t xml:space="preserve">Spond Clearing </t>
  </si>
  <si>
    <t xml:space="preserve"> Paved  Ditch Pointing</t>
  </si>
  <si>
    <t>Week 32 ((23-29)-08-07) INCOME</t>
  </si>
  <si>
    <t>Week 32 ((23-29)-08-07) EXPENSE</t>
  </si>
  <si>
    <t>AMARE M.</t>
  </si>
  <si>
    <t>Natan  K.</t>
  </si>
  <si>
    <t>Lean    Concrete</t>
  </si>
  <si>
    <t>AREGAWI G/E.</t>
  </si>
  <si>
    <t>Prepered By__________________</t>
  </si>
  <si>
    <t>Section-3</t>
  </si>
  <si>
    <t>18+780-19+100,19+300-19+460,20+180-20+340,13+480,16+000-16+320</t>
  </si>
  <si>
    <t>payment Reading</t>
  </si>
  <si>
    <t xml:space="preserve">Section-2 </t>
  </si>
  <si>
    <t>10+640-11+300</t>
  </si>
  <si>
    <t>16+700-16+740,16+640-16+680</t>
  </si>
  <si>
    <t>Excavation Slope stake&amp; Checking</t>
  </si>
  <si>
    <t>13+480-14+300,15+820-16+320</t>
  </si>
  <si>
    <t>Subgrade Asbuilt Reading</t>
  </si>
  <si>
    <t xml:space="preserve"> Section-3</t>
  </si>
  <si>
    <t>Asbuilt Reading For G-7</t>
  </si>
  <si>
    <t>10+380-10+520</t>
  </si>
  <si>
    <t>Asbuilt Reading For G-20</t>
  </si>
  <si>
    <t>Section 3</t>
  </si>
  <si>
    <t>17+060-17+260</t>
  </si>
  <si>
    <t>Blue top For G-20</t>
  </si>
  <si>
    <t>10+840-11+000</t>
  </si>
  <si>
    <t>Blue top For G-7</t>
  </si>
  <si>
    <t xml:space="preserve"> Section-2</t>
  </si>
  <si>
    <t>2+695,21+546</t>
  </si>
  <si>
    <t>Stractural Work</t>
  </si>
  <si>
    <t>8+570-8+995</t>
  </si>
  <si>
    <t xml:space="preserve">paved Ditch level &amp; layout </t>
  </si>
  <si>
    <t>16+320-16+460,13+480-13+740,15+820-15+300,16+940-17+040,14+380-14+600,12+900-13+160,13+460</t>
  </si>
  <si>
    <t xml:space="preserve">Subgrade bluetop </t>
  </si>
  <si>
    <t>11+200-11+520</t>
  </si>
  <si>
    <t>Slope Stake for embankement</t>
  </si>
  <si>
    <t>13+960-14+340,16+300-16+600,16+700-16+740,11+220-11+520,12+66013+060,8+570</t>
  </si>
  <si>
    <t>Settingout Center line</t>
  </si>
  <si>
    <t xml:space="preserve">Remark </t>
  </si>
  <si>
    <t>Location</t>
  </si>
  <si>
    <t xml:space="preserve">Work  Description </t>
  </si>
  <si>
    <t>Act. No.</t>
  </si>
  <si>
    <t>Week 32  ((23-29) 08-2007)</t>
  </si>
  <si>
    <t>Surveying Weekly  Report</t>
  </si>
  <si>
    <t xml:space="preserve">Project:-Haro Sabu Lello Qaqe </t>
  </si>
  <si>
    <t>Signature__________________________________</t>
  </si>
  <si>
    <t>Signature_______________________________________</t>
  </si>
  <si>
    <t>Approved By________________________</t>
  </si>
  <si>
    <t>Checked By____________________________</t>
  </si>
  <si>
    <t>Prepared By    Samson Tibebu</t>
  </si>
  <si>
    <t>Lit.</t>
  </si>
  <si>
    <t>B) Benzene</t>
  </si>
  <si>
    <t>A) Gas oil</t>
  </si>
  <si>
    <t>Fuel Balnce</t>
  </si>
  <si>
    <t>Timber</t>
  </si>
  <si>
    <t>2-4cm</t>
  </si>
  <si>
    <t>6-8cm</t>
  </si>
  <si>
    <t>10-12cm</t>
  </si>
  <si>
    <t>Eucaliptus tree</t>
  </si>
  <si>
    <t>iii.Ø48</t>
  </si>
  <si>
    <t>ii. Ø42</t>
  </si>
  <si>
    <t>i. Ø36</t>
  </si>
  <si>
    <t>A) Pipe Production</t>
  </si>
  <si>
    <t xml:space="preserve">Production Quantity </t>
  </si>
  <si>
    <t>Battery Acid</t>
  </si>
  <si>
    <t>Battery Water</t>
  </si>
  <si>
    <t>0.5(Rental)</t>
  </si>
  <si>
    <t>Break Fluid</t>
  </si>
  <si>
    <t>Stearing  Fluid</t>
  </si>
  <si>
    <t>Coolant</t>
  </si>
  <si>
    <t>3(Rental)</t>
  </si>
  <si>
    <t>50W</t>
  </si>
  <si>
    <t>30W</t>
  </si>
  <si>
    <t>AZZOLA 46</t>
  </si>
  <si>
    <t>5(Rental)</t>
  </si>
  <si>
    <t>10W</t>
  </si>
  <si>
    <t>53(Rental)</t>
  </si>
  <si>
    <t>15W40</t>
  </si>
  <si>
    <t>Oil &amp;Lubricant</t>
  </si>
  <si>
    <t>Roll</t>
  </si>
  <si>
    <t>xi.Black Wire</t>
  </si>
  <si>
    <t>x.Ø32</t>
  </si>
  <si>
    <t>ix.Ø30</t>
  </si>
  <si>
    <t>viii.Ø24</t>
  </si>
  <si>
    <t>vii.Ø20</t>
  </si>
  <si>
    <t>vi.Ø16</t>
  </si>
  <si>
    <t>v.Ø14</t>
  </si>
  <si>
    <t>iv.Ø12</t>
  </si>
  <si>
    <t>iii.Ø10</t>
  </si>
  <si>
    <t>ii.Ø8</t>
  </si>
  <si>
    <t>Roll/kg</t>
  </si>
  <si>
    <t>i.Ø6</t>
  </si>
  <si>
    <t>d) Reinfocement Bar</t>
  </si>
  <si>
    <r>
      <t>m</t>
    </r>
    <r>
      <rPr>
        <vertAlign val="superscript"/>
        <sz val="14"/>
        <color theme="1"/>
        <rFont val="Times New Roman"/>
        <family val="1"/>
      </rPr>
      <t>3</t>
    </r>
  </si>
  <si>
    <t xml:space="preserve">          v.Over Size</t>
  </si>
  <si>
    <t>iv.03</t>
  </si>
  <si>
    <t>iii.02</t>
  </si>
  <si>
    <t>ii.01</t>
  </si>
  <si>
    <t>i.00</t>
  </si>
  <si>
    <t>c) Aggregate</t>
  </si>
  <si>
    <t xml:space="preserve">b) Sand </t>
  </si>
  <si>
    <t>Quintal.</t>
  </si>
  <si>
    <t>a) Cement Ppc</t>
  </si>
  <si>
    <t>a) Cement Opc</t>
  </si>
  <si>
    <t xml:space="preserve">Construction Material </t>
  </si>
  <si>
    <t>To date Weekly Stock Balance</t>
  </si>
  <si>
    <t>To date Weekly Issued Balance</t>
  </si>
  <si>
    <t>Issued Quantity Date:- 29/08/07</t>
  </si>
  <si>
    <t>To date Stock Balance</t>
  </si>
  <si>
    <t>Received Qty</t>
  </si>
  <si>
    <t>Issued Quantity Date:- 28/08/07</t>
  </si>
  <si>
    <t>Previous Date Balance</t>
  </si>
  <si>
    <t>Issued Quantity Date:- 27/08/07</t>
  </si>
  <si>
    <t>Issued Quantity Date:- 26/08/07</t>
  </si>
  <si>
    <t>Issued Quantity Date:- 25/08/07</t>
  </si>
  <si>
    <t>Issued Quantity Date:-24/08/07</t>
  </si>
  <si>
    <t>Issued Quantity Date:- 23/08/07</t>
  </si>
  <si>
    <t xml:space="preserve">Received Qty </t>
  </si>
  <si>
    <t>Issued Quantity</t>
  </si>
  <si>
    <t>Previous Week Balance</t>
  </si>
  <si>
    <t xml:space="preserve"> Unit</t>
  </si>
  <si>
    <t xml:space="preserve">Item </t>
  </si>
  <si>
    <t xml:space="preserve">No. </t>
  </si>
  <si>
    <t>Week 32 (23/08/07-29/08/07)</t>
  </si>
  <si>
    <t xml:space="preserve">Weekly Store Balance Sheet </t>
  </si>
  <si>
    <t>Project: Haro Sebu-Lello-Qaqe</t>
  </si>
  <si>
    <t>Cross-Land Construction Company</t>
  </si>
  <si>
    <t>Rain Case</t>
  </si>
  <si>
    <t>Rain Case &amp; Mechanical Problem</t>
  </si>
  <si>
    <t>Rebar Dai.32=54 Berga</t>
  </si>
  <si>
    <t>Other Labour Cost</t>
  </si>
  <si>
    <t xml:space="preserve">          Amare M.</t>
  </si>
  <si>
    <t>YIGREMACHEW  Y.</t>
  </si>
  <si>
    <t>17+940</t>
  </si>
  <si>
    <t xml:space="preserve">       Borrow,Cut section</t>
  </si>
  <si>
    <t>CBR Socking</t>
  </si>
  <si>
    <t>5+500</t>
  </si>
  <si>
    <t xml:space="preserve">       Borrow(capping)</t>
  </si>
  <si>
    <t xml:space="preserve"> Gradation Washing &amp; sieve for soil classification</t>
  </si>
  <si>
    <t>12+389.5,17+940</t>
  </si>
  <si>
    <t>Plastic index</t>
  </si>
  <si>
    <t xml:space="preserve">C-plant(ERA Roade 5.2km)       </t>
  </si>
  <si>
    <t>02,03</t>
  </si>
  <si>
    <t xml:space="preserve"> Gradation Test</t>
  </si>
  <si>
    <t>14+750,21+500,10+700</t>
  </si>
  <si>
    <t xml:space="preserve">Masonry ston            </t>
  </si>
  <si>
    <t>Absorption test socking</t>
  </si>
  <si>
    <t>21+500(lelo side)</t>
  </si>
  <si>
    <t>bottom</t>
  </si>
  <si>
    <t>Lean concrete cast checking</t>
  </si>
  <si>
    <t>12+389.5</t>
  </si>
  <si>
    <t>CBR Pentration</t>
  </si>
  <si>
    <t>10+629</t>
  </si>
  <si>
    <t>Slab casting</t>
  </si>
  <si>
    <t>Compressive Strength of Concrete</t>
  </si>
  <si>
    <t xml:space="preserve"> Agg 02,03</t>
  </si>
  <si>
    <t xml:space="preserve">Take of sampel </t>
  </si>
  <si>
    <t xml:space="preserve">10+700,14+750,21+500      </t>
  </si>
  <si>
    <t>7+000-7+100,10+340-10+540,3+320-3+800</t>
  </si>
  <si>
    <t>G-20</t>
  </si>
  <si>
    <t xml:space="preserve">       </t>
  </si>
  <si>
    <t>7+660,17+848</t>
  </si>
  <si>
    <t>13+740-14+100,14+100-14+300,13+440-14+720,15+800-16+300</t>
  </si>
  <si>
    <t>Sub- grade</t>
  </si>
  <si>
    <t>11+240-11+520</t>
  </si>
  <si>
    <t>Enbankement</t>
  </si>
  <si>
    <t>FDT Test</t>
  </si>
  <si>
    <t xml:space="preserve">Material Suitability </t>
  </si>
  <si>
    <t xml:space="preserve">Type of Activity </t>
  </si>
  <si>
    <t>Act. N.</t>
  </si>
  <si>
    <t>Week-32 (23/08/07-29/08/07)</t>
  </si>
  <si>
    <t>Weekly  Labratory Report</t>
  </si>
  <si>
    <t>48049</t>
  </si>
  <si>
    <r>
      <rPr>
        <b/>
        <sz val="26"/>
        <color rgb="FFFF0000"/>
        <rFont val="Goudy Old Style"/>
        <family val="1"/>
      </rPr>
      <t>C</t>
    </r>
    <r>
      <rPr>
        <b/>
        <sz val="14"/>
        <rFont val="Goudy Old Style"/>
        <family val="1"/>
      </rPr>
      <t>ROSS-LAND Construction</t>
    </r>
  </si>
  <si>
    <r>
      <rPr>
        <b/>
        <sz val="18"/>
        <rFont val="Goudy Old Style"/>
        <family val="1"/>
      </rPr>
      <t>Project</t>
    </r>
    <r>
      <rPr>
        <b/>
        <sz val="14"/>
        <rFont val="Goudy Old Style"/>
        <family val="1"/>
      </rPr>
      <t>:-</t>
    </r>
  </si>
  <si>
    <t>HARO SABU LELLO QAQE DS6 STANDARD RURAL ROAD PROJECT</t>
  </si>
  <si>
    <t>Time</t>
  </si>
  <si>
    <t>Contract time</t>
  </si>
  <si>
    <t>EOT</t>
  </si>
  <si>
    <t>Total Contract time</t>
  </si>
  <si>
    <t>Commencement Date</t>
  </si>
  <si>
    <t>Completion Date</t>
  </si>
  <si>
    <t>Elapsed time</t>
  </si>
  <si>
    <t>Cal.Days</t>
  </si>
  <si>
    <t>ADDELE SEKINA DS6 STANDARD RURAL ROAD PROJECT</t>
  </si>
  <si>
    <t>PROFIT(A)</t>
  </si>
  <si>
    <t>ADAVANCE REPAYMENT (E)</t>
  </si>
  <si>
    <t>Month One</t>
  </si>
  <si>
    <t>RETENTION (F)</t>
  </si>
  <si>
    <t>From</t>
  </si>
  <si>
    <t>To</t>
  </si>
  <si>
    <t>WITH HOLD (G)</t>
  </si>
  <si>
    <t>LOAN REPAYMENT(H)</t>
  </si>
  <si>
    <t>NET CASH INFLOW (J)</t>
  </si>
  <si>
    <t>Division</t>
  </si>
  <si>
    <t>Contract Amount</t>
  </si>
  <si>
    <t>Previous  Amount</t>
  </si>
  <si>
    <t>This Period Plan Amount</t>
  </si>
  <si>
    <t>This Period Excuted Amount</t>
  </si>
  <si>
    <t>IPC Excuted Amount</t>
  </si>
  <si>
    <t>Todate</t>
  </si>
  <si>
    <t>Todate. Vs. Contract</t>
  </si>
  <si>
    <t xml:space="preserve">BILL NO. 1  </t>
  </si>
  <si>
    <t>GENERAL PROVISION</t>
  </si>
  <si>
    <t>BILL NO. 2</t>
  </si>
  <si>
    <t>SITE CLEARING</t>
  </si>
  <si>
    <t>BILL NO. 3</t>
  </si>
  <si>
    <t>MINOR DRAINAGE</t>
  </si>
  <si>
    <t>BILL NO. 4</t>
  </si>
  <si>
    <t>EARTHWORKS</t>
  </si>
  <si>
    <t>BILL NO. 5</t>
  </si>
  <si>
    <t>ROAD BASE, SUB BASE, BASE COURSE AND GRAVEL SHOULDER</t>
  </si>
  <si>
    <t>BILL NO. 8</t>
  </si>
  <si>
    <t>BILL NO. 9</t>
  </si>
  <si>
    <t>%age from Income</t>
  </si>
  <si>
    <t>Basic Salary (Permanent Employee )</t>
  </si>
  <si>
    <t>Allowance Daily(Permanent Employee )</t>
  </si>
  <si>
    <t>Per Dime</t>
  </si>
  <si>
    <t>Overtime (Permanent Employee )</t>
  </si>
  <si>
    <t>Pension (Permanent Employee )</t>
  </si>
  <si>
    <t>Basic Salary (Daily labor  )</t>
  </si>
  <si>
    <t>Overtime (Daily labor )</t>
  </si>
  <si>
    <t xml:space="preserve">Own Equipment </t>
  </si>
  <si>
    <t>Fuel(Rental)</t>
  </si>
  <si>
    <t>Fuel(Own)</t>
  </si>
  <si>
    <t>Lubricant (10% of Fuel Cost for Plan)</t>
  </si>
  <si>
    <t>Spare Part (10% of Own Equipment Cost for Plan)</t>
  </si>
  <si>
    <t>Construction Material</t>
  </si>
  <si>
    <t>Others</t>
  </si>
  <si>
    <t>Overhead Cost (10% of total)</t>
  </si>
  <si>
    <r>
      <rPr>
        <b/>
        <sz val="26"/>
        <color rgb="FFFF0000"/>
        <rFont val="Algerian"/>
        <family val="5"/>
      </rPr>
      <t>C</t>
    </r>
    <r>
      <rPr>
        <b/>
        <sz val="12"/>
        <rFont val="Cambria"/>
        <family val="1"/>
        <scheme val="major"/>
      </rPr>
      <t>ROSS-LAND</t>
    </r>
    <r>
      <rPr>
        <b/>
        <sz val="12"/>
        <color rgb="FFFF0000"/>
        <rFont val="Cambria"/>
        <family val="1"/>
        <scheme val="major"/>
      </rPr>
      <t xml:space="preserve"> </t>
    </r>
    <r>
      <rPr>
        <b/>
        <sz val="12"/>
        <rFont val="Cambria"/>
        <family val="1"/>
        <scheme val="major"/>
      </rPr>
      <t>Construction</t>
    </r>
  </si>
  <si>
    <t xml:space="preserve">Project: </t>
  </si>
  <si>
    <t>HARO SABU LELLO QAQE  DS6 ROAD PROJECT</t>
  </si>
  <si>
    <t>Client:</t>
  </si>
  <si>
    <t>Oromia Roads Authority</t>
  </si>
  <si>
    <t>Contractor:</t>
  </si>
  <si>
    <t>Cross - Land Construction Pvt.Ltd.Co.</t>
  </si>
  <si>
    <t>PROJECT:</t>
  </si>
  <si>
    <t xml:space="preserve">Budget Year </t>
  </si>
  <si>
    <t>2008 EC</t>
  </si>
  <si>
    <t>Month No.</t>
  </si>
  <si>
    <t>TIME</t>
  </si>
  <si>
    <t>Initial</t>
  </si>
  <si>
    <t>Extension</t>
  </si>
  <si>
    <t>Start</t>
  </si>
  <si>
    <t>Completion</t>
  </si>
  <si>
    <t>Elapsed</t>
  </si>
  <si>
    <t>Remaining</t>
  </si>
  <si>
    <t>Delay (days)</t>
  </si>
  <si>
    <t>Until Last Month</t>
  </si>
  <si>
    <t>This Month</t>
  </si>
  <si>
    <t>Contract</t>
  </si>
  <si>
    <t>Variation</t>
  </si>
  <si>
    <t>Payment
Certified</t>
  </si>
  <si>
    <t>IPC No</t>
  </si>
  <si>
    <t>Date 
Approved</t>
  </si>
  <si>
    <t>Gross</t>
  </si>
  <si>
    <t>Previous 
Paid</t>
  </si>
  <si>
    <t>Rebate</t>
  </si>
  <si>
    <t>Retention</t>
  </si>
  <si>
    <t>Loan</t>
  </si>
  <si>
    <t>Advance
 Repaid</t>
  </si>
  <si>
    <t>This Period</t>
  </si>
  <si>
    <t>Net To date</t>
  </si>
  <si>
    <t>COST</t>
  </si>
  <si>
    <t>Pending Payment</t>
  </si>
  <si>
    <t>EVALUATION</t>
  </si>
  <si>
    <t>Programmed Status</t>
  </si>
  <si>
    <t>Saving/ (Overrun)</t>
  </si>
  <si>
    <t>Schedule</t>
  </si>
  <si>
    <t>Income - Cost (Actual)</t>
  </si>
  <si>
    <t>Deductions</t>
  </si>
  <si>
    <t>recorded was</t>
  </si>
  <si>
    <t>equivalent to</t>
  </si>
  <si>
    <t>With Hold</t>
  </si>
  <si>
    <t>days</t>
  </si>
  <si>
    <t>Net Cash Inflow</t>
  </si>
  <si>
    <t>EXPENSES</t>
  </si>
  <si>
    <t xml:space="preserve">Spare Parts </t>
  </si>
  <si>
    <t>Lubricants</t>
  </si>
  <si>
    <t>Diff</t>
  </si>
  <si>
    <t>MATERIAL</t>
  </si>
  <si>
    <t>LABOUR</t>
  </si>
  <si>
    <t>Basic + Pension</t>
  </si>
  <si>
    <t>Overtime</t>
  </si>
  <si>
    <t>CRITICAL ISSUES</t>
  </si>
  <si>
    <t>EQUIPMENT MAINTENANCE</t>
  </si>
  <si>
    <t>CONTRACT ADMINISTRATION</t>
  </si>
  <si>
    <t>LOCAL PURCHASE &amp; SUPPLY</t>
  </si>
  <si>
    <t>Type of problem</t>
  </si>
  <si>
    <t>Budget</t>
  </si>
  <si>
    <t>Delay Of Ordered Spare Parts</t>
  </si>
  <si>
    <t>ROW Problems Still Not Solved</t>
  </si>
  <si>
    <t>No Problem</t>
  </si>
  <si>
    <t>Generator Problem</t>
  </si>
  <si>
    <t>Subase Borrow Pit Site @ Stn 8 Is Still Not Hand Overed For The Contractor</t>
  </si>
  <si>
    <t>FOREIGN PURCHASE &amp; SUPPLY</t>
  </si>
  <si>
    <t xml:space="preserve">ADMINISTRATION &amp; H R D </t>
  </si>
  <si>
    <t>FINANCE</t>
  </si>
  <si>
    <t>Dozer For Excavation</t>
  </si>
  <si>
    <t>Dump Truck For Embt. And Pavement Layers</t>
  </si>
  <si>
    <t>Service Vehecle</t>
  </si>
  <si>
    <t>Jack Hamer For Stone Prodn</t>
  </si>
  <si>
    <t xml:space="preserve">Haro Sabu-Lelo-Qaqe DS6 rural road </t>
  </si>
  <si>
    <t>Remaining Quantity And Amount (Draft)</t>
  </si>
  <si>
    <t>Bill Item No.</t>
  </si>
  <si>
    <t>Rate</t>
  </si>
  <si>
    <t>Quantity</t>
  </si>
  <si>
    <t>As per contrcat (BOQ)</t>
  </si>
  <si>
    <t>As per original contract design</t>
  </si>
  <si>
    <t xml:space="preserve">As per  contractor revision and approved drawing </t>
  </si>
  <si>
    <t xml:space="preserve">As per Final Revision </t>
  </si>
  <si>
    <t>Remaining Quantity</t>
  </si>
  <si>
    <t>September Plan</t>
  </si>
  <si>
    <t>September Excuted</t>
  </si>
  <si>
    <t>September 
Plan Amount</t>
  </si>
  <si>
    <t>September Excuted Amount</t>
  </si>
  <si>
    <t>Percent Accomplishment
(Plan Vs Excuted)</t>
  </si>
  <si>
    <t xml:space="preserve">October
Plan </t>
  </si>
  <si>
    <t xml:space="preserve">As per  contractor revision and approved </t>
  </si>
  <si>
    <t>Bill No.1 GENERAL PROVISION SUM</t>
  </si>
  <si>
    <t>(i)</t>
  </si>
  <si>
    <t>House for Senior staff</t>
  </si>
  <si>
    <r>
      <t>m</t>
    </r>
    <r>
      <rPr>
        <vertAlign val="superscript"/>
        <sz val="9"/>
        <rFont val="Times New Roman"/>
        <family val="1"/>
      </rPr>
      <t>2</t>
    </r>
  </si>
  <si>
    <t>(ii)</t>
  </si>
  <si>
    <t>Type "A" acommodation to be provided for senior staff</t>
  </si>
  <si>
    <t>LS</t>
  </si>
  <si>
    <t>(iii)</t>
  </si>
  <si>
    <t>House for Junior staff</t>
  </si>
  <si>
    <t>(iv)</t>
  </si>
  <si>
    <t>Type "B" acommodation to be provided for senior staff</t>
  </si>
  <si>
    <t>Office Accommodation for Engineers</t>
  </si>
  <si>
    <t xml:space="preserve">Engineers Employer Counterparts office Accommodation </t>
  </si>
  <si>
    <t>Office builing for Engineers staff</t>
  </si>
  <si>
    <t>Laboratory building and equpments Office Accommodation</t>
  </si>
  <si>
    <t>Laboratory building</t>
  </si>
  <si>
    <t>Provision of Laboratory equpments for Gravel Road</t>
  </si>
  <si>
    <t>Maintenance of Laboratory building and equpments for</t>
  </si>
  <si>
    <t>month</t>
  </si>
  <si>
    <t>Provision of Surveying equpments including Maintenance</t>
  </si>
  <si>
    <t>Additional Office and laboratory  equipment ordered by the Engineer</t>
  </si>
  <si>
    <t>Provision of Computer with printer &amp; UPS</t>
  </si>
  <si>
    <t>Mobile charge for Engineerwith all accessories including 500 birrcharge per monthly for resident Engineer</t>
  </si>
  <si>
    <t>Vehicular Provision to the  Engineers (counter &amp; consultant) including fueland maintenance</t>
  </si>
  <si>
    <t>8(a)</t>
  </si>
  <si>
    <t>Fuel, service maintain ad insurance, for vehicle type "A" , based on average 3000 km/month/vehicle</t>
  </si>
  <si>
    <t>Veh-month</t>
  </si>
  <si>
    <t>Survey equipment as per 1403 (g) and 1409 (E)</t>
  </si>
  <si>
    <t>9(a)</t>
  </si>
  <si>
    <t>Provide Survey equipment with all accessories</t>
  </si>
  <si>
    <t>Km</t>
  </si>
  <si>
    <t>9(b)</t>
  </si>
  <si>
    <t>Provision of service and maintenance for all equipment</t>
  </si>
  <si>
    <t>Laboratory testing (additional testing to be carried out at external (commercial))</t>
  </si>
  <si>
    <t>Carried Forward to Bill Summary</t>
  </si>
  <si>
    <t>Bill No.2 SITE CLEARANCE</t>
  </si>
  <si>
    <t>Clearing &amp; grubing</t>
  </si>
  <si>
    <t>Bill N0.3  DRAINAGE</t>
  </si>
  <si>
    <t>Excavation of open drain (Channel Excavation)</t>
  </si>
  <si>
    <t>31.01(a)</t>
  </si>
  <si>
    <t xml:space="preserve">Soft material at any depth/with irrespective of depth </t>
  </si>
  <si>
    <r>
      <t>m</t>
    </r>
    <r>
      <rPr>
        <vertAlign val="superscript"/>
        <sz val="9"/>
        <rFont val="Times New Roman"/>
        <family val="1"/>
      </rPr>
      <t>3</t>
    </r>
  </si>
  <si>
    <t>31.01(b)</t>
  </si>
  <si>
    <t xml:space="preserve">Intermediate material at any depth/with irrespective of depth </t>
  </si>
  <si>
    <t>31.01(c)</t>
  </si>
  <si>
    <t xml:space="preserve">Hard material at any depth/with irrespective of depth </t>
  </si>
  <si>
    <t>STRUCTURAL EXCAVATION</t>
  </si>
  <si>
    <t>Excavation in Soft materialat any depth</t>
  </si>
  <si>
    <t>Excavation in Intermediate materialat any depth</t>
  </si>
  <si>
    <t>32.01(c)</t>
  </si>
  <si>
    <t>Excavation in hard materialat any depth</t>
  </si>
  <si>
    <t xml:space="preserve">Culverts and appurtenant structures </t>
  </si>
  <si>
    <t>Excavating soft material irrespective of depth</t>
  </si>
  <si>
    <t>32.01(a)(i)</t>
  </si>
  <si>
    <t xml:space="preserve">Culverts </t>
  </si>
  <si>
    <t>32.1(a)(ii)</t>
  </si>
  <si>
    <t>Retaining wall</t>
  </si>
  <si>
    <t>Backfilling using imported selected materials for</t>
  </si>
  <si>
    <t>32.02(b)(i)</t>
  </si>
  <si>
    <t>Culverts</t>
  </si>
  <si>
    <t>32.01(b)(ii)</t>
  </si>
  <si>
    <t xml:space="preserve">Backfilling </t>
  </si>
  <si>
    <t xml:space="preserve"> </t>
  </si>
  <si>
    <t>32.02 (a)</t>
  </si>
  <si>
    <t xml:space="preserve">Using excavated  material </t>
  </si>
  <si>
    <t>Using imported material for</t>
  </si>
  <si>
    <t>Concrete Pipe Culverts</t>
  </si>
  <si>
    <t>32.03(i)(a)</t>
  </si>
  <si>
    <t>36" diameter R. C. pipe on class "A" bedding</t>
  </si>
  <si>
    <t>32.03(i)(b)</t>
  </si>
  <si>
    <t>36" diameter R. C. pipe on class "B" bedding</t>
  </si>
  <si>
    <t>32.03(i)(c)</t>
  </si>
  <si>
    <t>36" diameter R. C. pipe on class "C" bedding</t>
  </si>
  <si>
    <t>32.03(ii)(a)</t>
  </si>
  <si>
    <t>42" diameter R. C.  pipe on class "B" bedding</t>
  </si>
  <si>
    <t>32.03(ii)(b)</t>
  </si>
  <si>
    <t>32.03(ii)(c)</t>
  </si>
  <si>
    <t>32.03(iii)</t>
  </si>
  <si>
    <t>48" diameter R. C.  pipe on class "B" bedding</t>
  </si>
  <si>
    <t>32.07</t>
  </si>
  <si>
    <t>Cast-In-situ Concrete and Formwork (Grade 25/20)</t>
  </si>
  <si>
    <t>32.07(a)i</t>
  </si>
  <si>
    <t>Class A concrete for Culverts (box/slab), inlet and outlet structures and skewed ends including formwork, false work, joints and class U2 surface finish</t>
  </si>
  <si>
    <t>32.07(b)ii</t>
  </si>
  <si>
    <t>Class C(20/20) concrete including formwork</t>
  </si>
  <si>
    <t>Steel Reinforcement</t>
  </si>
  <si>
    <t xml:space="preserve">High tensile steel </t>
  </si>
  <si>
    <t>ton</t>
  </si>
  <si>
    <t>High tensile steel in Culverts</t>
  </si>
  <si>
    <t>33.01(i)</t>
  </si>
  <si>
    <t>(17*45)cm concrete curb or 15*25 cm concrete curb in town section at located &amp; directed by engineer whosever appropriate</t>
  </si>
  <si>
    <t>Pitching, stone work and erosion protection</t>
  </si>
  <si>
    <t>Grouted stone ditching</t>
  </si>
  <si>
    <t>Grouted rubble paved waterway (pipe)</t>
  </si>
  <si>
    <t>34.01(b)ii</t>
  </si>
  <si>
    <t>Grouted paved waterway (paved ditch)</t>
  </si>
  <si>
    <t>34.01(b)iii</t>
  </si>
  <si>
    <t>Type 'B' paved waterway</t>
  </si>
  <si>
    <r>
      <t>m</t>
    </r>
    <r>
      <rPr>
        <vertAlign val="superscript"/>
        <sz val="9"/>
        <rFont val="Times New Roman"/>
        <family val="1"/>
      </rPr>
      <t>2</t>
    </r>
    <r>
      <rPr>
        <sz val="10"/>
        <rFont val="Lohit Hindi"/>
        <family val="2"/>
      </rPr>
      <t/>
    </r>
  </si>
  <si>
    <t>34.01(b)iv</t>
  </si>
  <si>
    <t>Type 'C' paved waterway</t>
  </si>
  <si>
    <t>Hand Laid Rock embankment for retaining wall</t>
  </si>
  <si>
    <t xml:space="preserve">Stone Masonry Walls </t>
  </si>
  <si>
    <t>34.03(b)i</t>
  </si>
  <si>
    <t>Cemented mortared stone wall</t>
  </si>
  <si>
    <r>
      <t>m</t>
    </r>
    <r>
      <rPr>
        <vertAlign val="superscript"/>
        <sz val="9"/>
        <rFont val="Times New Roman"/>
        <family val="1"/>
      </rPr>
      <t>3</t>
    </r>
    <r>
      <rPr>
        <sz val="10"/>
        <rFont val="Lohit Hindi"/>
        <family val="2"/>
      </rPr>
      <t/>
    </r>
  </si>
  <si>
    <t>Pipe endwall</t>
  </si>
  <si>
    <t>34.03(b)ii</t>
  </si>
  <si>
    <t>Retainingwall</t>
  </si>
  <si>
    <t xml:space="preserve">Excavation for foundation trenchs during </t>
  </si>
  <si>
    <t>Masonry work (retainingwall)</t>
  </si>
  <si>
    <t>(a)i</t>
  </si>
  <si>
    <t>In all classes of material</t>
  </si>
  <si>
    <t>(b)ii</t>
  </si>
  <si>
    <t>In solid rock (retainingwall)</t>
  </si>
  <si>
    <t>Bill No.4 EARTH WORKS</t>
  </si>
  <si>
    <t>latest Ipc</t>
  </si>
  <si>
    <t xml:space="preserve">Preparation of  roadbed </t>
  </si>
  <si>
    <t>Roadbed preparation and compactiong of material</t>
  </si>
  <si>
    <t>a)</t>
  </si>
  <si>
    <t>Compaction of modified AASHTO density</t>
  </si>
  <si>
    <t>Road way and borrow materials</t>
  </si>
  <si>
    <t>Fill with unlimited hauling distance compacted to 200mm to 83% of  modified AASHTO</t>
  </si>
  <si>
    <t>42.01 (a) (ii)A</t>
  </si>
  <si>
    <t>Cut to Fill embankment compacted in 200mm layer to 100%  modified AASHTO density with CBR min .to be 4%</t>
  </si>
  <si>
    <t>42.01a(ii)B</t>
  </si>
  <si>
    <t>Borrow to fill compacted in 200 mm layers to 100% modified AASHTO density (max. dry density)</t>
  </si>
  <si>
    <t>42.01 (a)</t>
  </si>
  <si>
    <t>Rockfill</t>
  </si>
  <si>
    <t>42.01 (b)</t>
  </si>
  <si>
    <t xml:space="preserve">Capping layerwhere needed </t>
  </si>
  <si>
    <t>b(i)</t>
  </si>
  <si>
    <t>G15/20</t>
  </si>
  <si>
    <t>b(ii)</t>
  </si>
  <si>
    <t>G7</t>
  </si>
  <si>
    <t xml:space="preserve">Cut to Spoil material to unlimited hauling distance obtained from </t>
  </si>
  <si>
    <t>Extra over item 42.01 for Common (normal) excavation to spoil</t>
  </si>
  <si>
    <t>Extra over item 42.01 for Intermediate materials excavation  to spoil</t>
  </si>
  <si>
    <t>42.03(c)</t>
  </si>
  <si>
    <t>Extra over item 42.01 for excavating and breaking in Rock (Hard material) excavation to spoil</t>
  </si>
  <si>
    <t>Bill No 5 : ROAD BASE SUBBASE BASE COURSE AND GRAVEL SHOULDER</t>
  </si>
  <si>
    <t>54.01(A)*</t>
  </si>
  <si>
    <t>Gravel wearing course to be used to construct the carriageway and shoulder compacted to 85% of modified AASHTO density CBR &gt;20 after 4 days of soaking</t>
  </si>
  <si>
    <t xml:space="preserve"> Bill No.8 STRUCTURES (12m,8m and 8m)</t>
  </si>
  <si>
    <t>Foundation for Structures</t>
  </si>
  <si>
    <t xml:space="preserve"> Foundation Investigation </t>
  </si>
  <si>
    <t>81.01(a)</t>
  </si>
  <si>
    <t xml:space="preserve">Additional Foundation Investigation </t>
  </si>
  <si>
    <t>PS</t>
  </si>
  <si>
    <t>81.01(b)</t>
  </si>
  <si>
    <t>Allowed % for overhead and profit on 81.01(a)</t>
  </si>
  <si>
    <t>Excavation of materials</t>
  </si>
  <si>
    <t>Excavation of intermediate material irrespective of depth</t>
  </si>
  <si>
    <t>Excavation of hard (rock) material irrespective of depth</t>
  </si>
  <si>
    <t>Backfilling to Excavation Utilizing</t>
  </si>
  <si>
    <t>material from excavation/backfilling with good selected materia from excavated well compacted in layers not exceeding 20 cm thickness</t>
  </si>
  <si>
    <t>(b)</t>
  </si>
  <si>
    <t xml:space="preserve"> Imported material</t>
  </si>
  <si>
    <t>Selected granular material</t>
  </si>
  <si>
    <t>Hand-laid Rockfill/Hand-laid Rock embankement</t>
  </si>
  <si>
    <t>Stone pitching</t>
  </si>
  <si>
    <t>Hand-laid Rock riprap</t>
  </si>
  <si>
    <t>Formworks</t>
  </si>
  <si>
    <t>Formworks to provide class F1 finishes</t>
  </si>
  <si>
    <t>Concrete footing of abutments and wingwalls</t>
  </si>
  <si>
    <t>Footing of piers</t>
  </si>
  <si>
    <t>Soffit of concrete deck slab</t>
  </si>
  <si>
    <t>To invisible parts of R.C abutments and wingwalls</t>
  </si>
  <si>
    <t>Formworks to provide class F2 finishes</t>
  </si>
  <si>
    <t>To sidewalks in main slab and visible part of girder</t>
  </si>
  <si>
    <t>To invisible parts of piers</t>
  </si>
  <si>
    <t>To visible parts of abutments and wingwalls</t>
  </si>
  <si>
    <t>To cross girders</t>
  </si>
  <si>
    <t>Mild steel bars (Grade 300)</t>
  </si>
  <si>
    <t>Ton</t>
  </si>
  <si>
    <t>High yield stress steel bars (Grade 420)</t>
  </si>
  <si>
    <t>Concrete For Structures</t>
  </si>
  <si>
    <t>Cast in Situ Concrete</t>
  </si>
  <si>
    <t>a</t>
  </si>
  <si>
    <t>Class A Concrete class C-30 in all part of super structure  ,walkways and  indicated on drawing and directed by the engineer</t>
  </si>
  <si>
    <t>b</t>
  </si>
  <si>
    <t>Ditto but class C-25 on the seat ofgirder and as Rc of WWS and abutments as indicated on the drawing or directed by the engineer</t>
  </si>
  <si>
    <t>c</t>
  </si>
  <si>
    <t xml:space="preserve">Class C-20 as indicated on the drawings and directed by the engineer </t>
  </si>
  <si>
    <t>d</t>
  </si>
  <si>
    <t xml:space="preserve">Class C-15 lean concerete under footings of pipers as per the drawing </t>
  </si>
  <si>
    <t xml:space="preserve">Class C-5 lean concerete under footings of abutments and WWs as per the drawing </t>
  </si>
  <si>
    <t>87.039a)</t>
  </si>
  <si>
    <t xml:space="preserve">Elastomeric bearing </t>
  </si>
  <si>
    <t>9i)</t>
  </si>
  <si>
    <t>Type - 1</t>
  </si>
  <si>
    <t>9ii)</t>
  </si>
  <si>
    <t>Type - 20[0.67*0.4*0.4]</t>
  </si>
  <si>
    <t>Plate bearing [0.45*0.35*0.05]</t>
  </si>
  <si>
    <t>Steel metal pipe bridge railling/post of 80mm and 60mm respectively</t>
  </si>
  <si>
    <t xml:space="preserve">Concrete parapets and railings </t>
  </si>
  <si>
    <t>Expansion joints</t>
  </si>
  <si>
    <t>Expansion joint including 20mm compressible joint filler board</t>
  </si>
  <si>
    <t>Joint sealant, 20mm deep grouted poly sulphide sealant</t>
  </si>
  <si>
    <t>Stone masonry</t>
  </si>
  <si>
    <t>Cement-mortared stone masonry walls (class "B" masonry)</t>
  </si>
  <si>
    <t>Cut of wall construction madeof stone masonry along river bank on both U/S and D/S</t>
  </si>
  <si>
    <t>Gabion construction 1m*1m*1m</t>
  </si>
  <si>
    <t>Foundation trench excavation and back filling in all class of material other than rock</t>
  </si>
  <si>
    <t>Excavation for foundation trenches</t>
  </si>
  <si>
    <t>Back filling</t>
  </si>
  <si>
    <t>Gabion</t>
  </si>
  <si>
    <t>Galvanized gabion boxes, 80*100 mesh size 1m*1m*1m</t>
  </si>
  <si>
    <t>Folter fabric (Geotextile)</t>
  </si>
  <si>
    <t>Bill No.9  ANCILLARY WORKS</t>
  </si>
  <si>
    <t xml:space="preserve">Delineation, Markers and Kilometer Posts </t>
  </si>
  <si>
    <t>92.01(a)</t>
  </si>
  <si>
    <t xml:space="preserve">Delineator posts/guidepost </t>
  </si>
  <si>
    <t>92.01(c)</t>
  </si>
  <si>
    <t xml:space="preserve">Kilometer posts </t>
  </si>
  <si>
    <t xml:space="preserve">Sign post and Faces </t>
  </si>
  <si>
    <t>Sign faces made by Aluminum alloy of thickness 2mm and area not exceeding 2m2</t>
  </si>
  <si>
    <t>Ditto but area exceeding 2sqm but not exceeding 10 sqm</t>
  </si>
  <si>
    <t>Sign supports:</t>
  </si>
  <si>
    <t>94.02(a)</t>
  </si>
  <si>
    <t>Class A (as per the drawing) Concrete Sign Support</t>
  </si>
  <si>
    <t>Class C concrete in road sign footing including excavation and backfilling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</si>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</sst>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7">
    <numFmt numFmtId="43" formatCode="_(* #,##0.00_);_(* \(#,##0.00\);_(* &quot;-&quot;??_);_(@_)"/>
    <numFmt numFmtId="164" formatCode="0.0"/>
    <numFmt numFmtId="165" formatCode="_(* #,##0.00_);_(* \(#,##0.00\);_(* \-??_);_(@_)"/>
    <numFmt numFmtId="166" formatCode="0.0000000000"/>
    <numFmt numFmtId="167" formatCode="_(* #,##0.0_);_(* \(#,##0.0\);_(* \-??_);_(@_)"/>
    <numFmt numFmtId="168" formatCode="_(* #,##0.0_);_(* \(#,##0.0\);_(* \-?_);_(@_)"/>
    <numFmt numFmtId="169" formatCode="_-* #,##0.00_-;\-* #,##0.00_-;_-* \-??_-;_-@_-"/>
    <numFmt numFmtId="170" formatCode="#,##0.0"/>
    <numFmt numFmtId="171" formatCode="_(\$* #,##0.00_);_(\$* \(#,##0.00\);_(\$* \-??_);_(@_)"/>
    <numFmt numFmtId="172" formatCode="mm/dd/yy;@"/>
    <numFmt numFmtId="173" formatCode="_(* #,##0.00000000_);_(* \(#,##0.00000000\);_(* \-??_);_(@_)"/>
    <numFmt numFmtId="174" formatCode="_(* #,##0.000_);_(* \(#,##0.000\);_(* \-???_);_(@_)"/>
    <numFmt numFmtId="175" formatCode="_(* #,##0.00000_);_(* \(#,##0.00000\);_(* \-??_);_(@_)"/>
    <numFmt numFmtId="176" formatCode="mm/dd/yy"/>
    <numFmt numFmtId="177" formatCode="#,##0.00_ ;\-#,##0.00\ "/>
    <numFmt numFmtId="178" formatCode="_(* #,##0.0_);_(* \(#,##0.0\);_(* &quot;-&quot;??_);_(@_)"/>
    <numFmt numFmtId="179" formatCode="[$-409]d\-mmm\-yy;@"/>
    <numFmt numFmtId="180" formatCode="[$ETB]\ #,##0.00_);\([$ETB]\ #,##0.00\)"/>
    <numFmt numFmtId="181" formatCode="[$ETB]\ #,##0.00;[Red][$ETB]\ #,##0.00"/>
    <numFmt numFmtId="182" formatCode="[$-F800]dddd\,\ mmmm\ dd\,\ yyyy"/>
    <numFmt numFmtId="183" formatCode="dd/mm/yyyy"/>
    <numFmt numFmtId="184" formatCode="[$-409]d/mmm/yy;@"/>
    <numFmt numFmtId="185" formatCode="0.0%"/>
    <numFmt numFmtId="186" formatCode="_(* #,##0_);_(* \(#,##0\);_(* &quot;-&quot;??_);_(@_)"/>
    <numFmt numFmtId="187" formatCode="00"/>
    <numFmt numFmtId="189" formatCode="_-* #,##0.00_-;\-* #,##0.00_-;_-* &quot;-&quot;??_-;_-@_-"/>
    <numFmt numFmtId="190" formatCode="_(* #,##0.0000_);_(* \(#,##0.0000\);_(* &quot;-&quot;??_);_(@_)"/>
  </numFmts>
  <fonts count="231">
    <font>
      <sz val="10"/>
      <name val="Lohit Hind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name val="Bookman Old Style"/>
      <family val="1"/>
    </font>
    <font>
      <sz val="10"/>
      <name val="Bookman Old Style"/>
      <family val="1"/>
    </font>
    <font>
      <b/>
      <sz val="11"/>
      <name val="Bookman Old Style"/>
      <family val="1"/>
    </font>
    <font>
      <sz val="8"/>
      <name val="Bookman Old Style"/>
      <family val="1"/>
    </font>
    <font>
      <b/>
      <sz val="8"/>
      <name val="Bookman Old Style"/>
      <family val="1"/>
    </font>
    <font>
      <b/>
      <sz val="10"/>
      <name val="Bookman Old Style"/>
      <family val="1"/>
    </font>
    <font>
      <b/>
      <sz val="7"/>
      <name val="Bookman Old Style"/>
      <family val="1"/>
    </font>
    <font>
      <b/>
      <sz val="12"/>
      <name val="Bookman Old Style"/>
      <family val="1"/>
    </font>
    <font>
      <b/>
      <sz val="9"/>
      <name val="Bookman Old Style"/>
      <family val="1"/>
    </font>
    <font>
      <sz val="11"/>
      <name val="Bookman Old Style"/>
      <family val="1"/>
    </font>
    <font>
      <b/>
      <sz val="14"/>
      <name val="Bookman Old Style"/>
      <family val="1"/>
    </font>
    <font>
      <b/>
      <sz val="16"/>
      <name val="Bookman Old Style"/>
      <family val="1"/>
    </font>
    <font>
      <vertAlign val="superscript"/>
      <sz val="10"/>
      <name val="Bookman Old Style"/>
      <family val="1"/>
    </font>
    <font>
      <sz val="14"/>
      <name val="Bookman Old Style"/>
      <family val="1"/>
    </font>
    <font>
      <sz val="16"/>
      <name val="Bookman Old Style"/>
      <family val="1"/>
    </font>
    <font>
      <sz val="20"/>
      <name val="Times New Roman"/>
      <family val="1"/>
    </font>
    <font>
      <b/>
      <sz val="12"/>
      <name val="Arial"/>
      <family val="2"/>
    </font>
    <font>
      <i/>
      <sz val="12"/>
      <name val="Arial"/>
      <family val="2"/>
    </font>
    <font>
      <sz val="18"/>
      <name val="Arial"/>
      <family val="2"/>
    </font>
    <font>
      <b/>
      <sz val="12"/>
      <color rgb="FF000000"/>
      <name val="Times New Roman"/>
      <family val="1"/>
    </font>
    <font>
      <sz val="16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i/>
      <sz val="12"/>
      <name val="Times New Roman"/>
      <family val="1"/>
    </font>
    <font>
      <b/>
      <sz val="16"/>
      <name val="Arial"/>
      <family val="2"/>
    </font>
    <font>
      <b/>
      <sz val="10"/>
      <name val="Georgia"/>
      <family val="1"/>
    </font>
    <font>
      <b/>
      <sz val="16"/>
      <name val="Georgia"/>
      <family val="1"/>
    </font>
    <font>
      <sz val="10"/>
      <name val="Georgia"/>
      <family val="1"/>
    </font>
    <font>
      <b/>
      <i/>
      <sz val="16"/>
      <name val="Georgia"/>
      <family val="1"/>
    </font>
    <font>
      <b/>
      <sz val="14"/>
      <name val="Georgia"/>
      <family val="1"/>
    </font>
    <font>
      <sz val="18"/>
      <name val="Georgia"/>
      <family val="1"/>
    </font>
    <font>
      <b/>
      <sz val="18"/>
      <name val="Georgia"/>
      <family val="1"/>
    </font>
    <font>
      <sz val="12"/>
      <name val="Georgia"/>
      <family val="1"/>
    </font>
    <font>
      <i/>
      <sz val="14"/>
      <name val="Georgia"/>
      <family val="1"/>
    </font>
    <font>
      <sz val="14"/>
      <name val="Georgia"/>
      <family val="1"/>
    </font>
    <font>
      <b/>
      <sz val="20"/>
      <name val="Georgia"/>
      <family val="1"/>
    </font>
    <font>
      <sz val="10"/>
      <name val="Calibri"/>
      <family val="2"/>
    </font>
    <font>
      <sz val="12"/>
      <name val="Parade20A"/>
    </font>
    <font>
      <b/>
      <sz val="16"/>
      <name val="Comic Sans MS"/>
      <family val="4"/>
    </font>
    <font>
      <b/>
      <sz val="20"/>
      <name val="Times New Roman"/>
      <family val="1"/>
    </font>
    <font>
      <b/>
      <sz val="14"/>
      <name val="Times New Roman"/>
      <family val="1"/>
    </font>
    <font>
      <sz val="10"/>
      <name val="Times New Roman"/>
      <family val="1"/>
    </font>
    <font>
      <b/>
      <sz val="18"/>
      <name val="Times New Roman"/>
      <family val="1"/>
    </font>
    <font>
      <b/>
      <sz val="13"/>
      <name val="Times New Roman"/>
      <family val="1"/>
    </font>
    <font>
      <b/>
      <i/>
      <sz val="16"/>
      <name val="Times New Roman"/>
      <family val="1"/>
    </font>
    <font>
      <b/>
      <sz val="16"/>
      <name val="Times New Roman"/>
      <family val="1"/>
    </font>
    <font>
      <b/>
      <sz val="12"/>
      <name val="Times New Roman"/>
      <family val="1"/>
    </font>
    <font>
      <b/>
      <u/>
      <sz val="13"/>
      <name val="Times New Roman"/>
      <family val="1"/>
    </font>
    <font>
      <b/>
      <u/>
      <sz val="13"/>
      <color rgb="FFFF0000"/>
      <name val="Times New Roman"/>
      <family val="1"/>
    </font>
    <font>
      <b/>
      <sz val="10"/>
      <name val="Times New Roman"/>
      <family val="1"/>
    </font>
    <font>
      <b/>
      <i/>
      <sz val="18"/>
      <name val="Times New Roman"/>
      <family val="1"/>
    </font>
    <font>
      <b/>
      <sz val="11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vertAlign val="superscript"/>
      <sz val="12"/>
      <name val="Times New Roman"/>
      <family val="1"/>
    </font>
    <font>
      <b/>
      <i/>
      <sz val="14"/>
      <name val="Times New Roman"/>
      <family val="1"/>
    </font>
    <font>
      <sz val="11"/>
      <name val="Arial"/>
      <family val="2"/>
    </font>
    <font>
      <sz val="11"/>
      <name val="Georgia"/>
      <family val="1"/>
    </font>
    <font>
      <b/>
      <sz val="11"/>
      <name val="Georgia"/>
      <family val="1"/>
    </font>
    <font>
      <sz val="16"/>
      <name val="Georgia"/>
      <family val="1"/>
    </font>
    <font>
      <sz val="16"/>
      <color rgb="FF000000"/>
      <name val="Calibri"/>
      <family val="2"/>
    </font>
    <font>
      <sz val="22"/>
      <name val="Times New Roman"/>
      <family val="1"/>
    </font>
    <font>
      <sz val="14"/>
      <name val="Times New Roman"/>
      <family val="1"/>
    </font>
    <font>
      <sz val="18"/>
      <name val="Times New Roman"/>
      <family val="1"/>
    </font>
    <font>
      <sz val="16"/>
      <name val="Times New Roman"/>
      <family val="1"/>
    </font>
    <font>
      <i/>
      <sz val="14"/>
      <name val="Times New Roman"/>
      <family val="1"/>
    </font>
    <font>
      <i/>
      <sz val="10"/>
      <name val="Times New Roman"/>
      <family val="1"/>
    </font>
    <font>
      <sz val="13"/>
      <name val="Times New Roman"/>
      <family val="1"/>
    </font>
    <font>
      <i/>
      <sz val="18"/>
      <name val="Times New Roman"/>
      <family val="1"/>
    </font>
    <font>
      <i/>
      <sz val="16"/>
      <name val="Times New Roman"/>
      <family val="1"/>
    </font>
    <font>
      <i/>
      <sz val="11"/>
      <name val="Times New Roman"/>
      <family val="1"/>
    </font>
    <font>
      <sz val="24"/>
      <name val="Times New Roman"/>
      <family val="1"/>
    </font>
    <font>
      <sz val="24"/>
      <color rgb="FFFF0000"/>
      <name val="Times New Roman"/>
      <family val="1"/>
    </font>
    <font>
      <u/>
      <sz val="22"/>
      <name val="Times New Roman"/>
      <family val="1"/>
    </font>
    <font>
      <sz val="20"/>
      <name val="Calibri"/>
      <family val="2"/>
    </font>
    <font>
      <sz val="14"/>
      <color rgb="FFFF0000"/>
      <name val="Times New Roman"/>
      <family val="1"/>
    </font>
    <font>
      <sz val="16"/>
      <color rgb="FFFF0000"/>
      <name val="Times New Roman"/>
      <family val="1"/>
    </font>
    <font>
      <sz val="22"/>
      <name val="Bodoni MT Black"/>
      <family val="1"/>
    </font>
    <font>
      <sz val="18"/>
      <name val="Bodoni MT Black"/>
      <family val="1"/>
    </font>
    <font>
      <sz val="16"/>
      <name val="Bodoni MT Black"/>
      <family val="1"/>
    </font>
    <font>
      <sz val="18"/>
      <name val="Bernard MT Condensed"/>
      <family val="1"/>
    </font>
    <font>
      <sz val="18"/>
      <name val="Harlow Solid Italic"/>
      <family val="5"/>
    </font>
    <font>
      <i/>
      <sz val="20"/>
      <name val="Times New Roman"/>
      <family val="1"/>
    </font>
    <font>
      <i/>
      <sz val="12"/>
      <name val="TechnicLite"/>
      <charset val="2"/>
    </font>
    <font>
      <sz val="14"/>
      <color rgb="FF000000"/>
      <name val="Times New Roman"/>
      <family val="1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sz val="10"/>
      <color rgb="FFFFFF00"/>
      <name val="Arial"/>
      <family val="2"/>
    </font>
    <font>
      <b/>
      <sz val="11"/>
      <name val="Arial"/>
      <family val="2"/>
    </font>
    <font>
      <vertAlign val="superscript"/>
      <sz val="10"/>
      <name val="Times New Roman"/>
      <family val="1"/>
    </font>
    <font>
      <sz val="14"/>
      <name val="Arial"/>
      <family val="2"/>
    </font>
    <font>
      <sz val="10"/>
      <name val="Lohit Hindi"/>
      <family val="2"/>
    </font>
    <font>
      <b/>
      <sz val="18"/>
      <name val="Arial"/>
      <family val="2"/>
    </font>
    <font>
      <b/>
      <sz val="18"/>
      <name val="Comic Sans MS"/>
      <family val="4"/>
    </font>
    <font>
      <sz val="10"/>
      <color rgb="FFFF0000"/>
      <name val="Georgia"/>
      <family val="1"/>
    </font>
    <font>
      <b/>
      <sz val="36"/>
      <name val="Comic Sans MS"/>
      <family val="4"/>
    </font>
    <font>
      <sz val="12"/>
      <name val="Calisto MT"/>
      <family val="1"/>
    </font>
    <font>
      <b/>
      <u/>
      <sz val="12"/>
      <name val="Arial"/>
      <family val="2"/>
    </font>
    <font>
      <b/>
      <sz val="16"/>
      <name val="Estrangelo Edessa"/>
      <family val="4"/>
    </font>
    <font>
      <b/>
      <sz val="14"/>
      <name val="Calisto MT"/>
      <family val="1"/>
    </font>
    <font>
      <sz val="10"/>
      <name val="BankGothic Lt BT"/>
      <family val="2"/>
    </font>
    <font>
      <i/>
      <sz val="22"/>
      <name val="Georgia"/>
      <family val="1"/>
    </font>
    <font>
      <sz val="22"/>
      <name val="Georgia"/>
      <family val="1"/>
    </font>
    <font>
      <b/>
      <sz val="12"/>
      <color rgb="FFFF0000"/>
      <name val="Times New Roman"/>
      <family val="1"/>
    </font>
    <font>
      <b/>
      <sz val="26"/>
      <name val="Times New Roman"/>
      <family val="1"/>
    </font>
    <font>
      <b/>
      <u/>
      <sz val="26"/>
      <name val="Times New Roman"/>
      <family val="1"/>
    </font>
    <font>
      <sz val="11"/>
      <color theme="1"/>
      <name val="BankGothic Lt BT"/>
      <family val="2"/>
    </font>
    <font>
      <b/>
      <sz val="10"/>
      <name val="BankGothic Lt BT"/>
      <family val="2"/>
    </font>
    <font>
      <sz val="14"/>
      <name val="BankGothic Lt BT"/>
      <family val="2"/>
    </font>
    <font>
      <b/>
      <sz val="14"/>
      <name val="BankGothic Lt BT"/>
      <family val="2"/>
    </font>
    <font>
      <sz val="10"/>
      <color rgb="FF000000"/>
      <name val="BankGothic Lt BT"/>
      <family val="2"/>
    </font>
    <font>
      <sz val="8"/>
      <name val="Times New Roman"/>
      <family val="1"/>
    </font>
    <font>
      <sz val="9"/>
      <name val="Times New Roman"/>
      <family val="1"/>
    </font>
    <font>
      <b/>
      <u/>
      <sz val="10"/>
      <name val="Times New Roman"/>
      <family val="1"/>
    </font>
    <font>
      <sz val="11"/>
      <name val="BankGothic Lt BT"/>
      <family val="2"/>
    </font>
    <font>
      <sz val="18"/>
      <name val="BankGothic Lt BT"/>
      <family val="2"/>
    </font>
    <font>
      <sz val="13"/>
      <name val="BankGothic Lt BT"/>
      <family val="2"/>
    </font>
    <font>
      <sz val="16"/>
      <name val="BankGothic Lt BT"/>
      <family val="2"/>
    </font>
    <font>
      <b/>
      <i/>
      <sz val="20"/>
      <name val="Georgia"/>
      <family val="1"/>
    </font>
    <font>
      <b/>
      <sz val="22"/>
      <name val="Georgia"/>
      <family val="1"/>
    </font>
    <font>
      <b/>
      <i/>
      <sz val="22"/>
      <name val="Georgia"/>
      <family val="1"/>
    </font>
    <font>
      <b/>
      <sz val="36"/>
      <name val="Times New Roman"/>
      <family val="1"/>
    </font>
    <font>
      <b/>
      <sz val="24"/>
      <name val="Georgia"/>
      <family val="1"/>
    </font>
    <font>
      <sz val="24"/>
      <name val="Georgia"/>
      <family val="1"/>
    </font>
    <font>
      <sz val="24"/>
      <name val="Arial"/>
      <family val="2"/>
    </font>
    <font>
      <b/>
      <sz val="20"/>
      <name val="Calibri"/>
      <family val="2"/>
    </font>
    <font>
      <b/>
      <sz val="18"/>
      <name val="Calibri"/>
      <family val="2"/>
    </font>
    <font>
      <b/>
      <sz val="10"/>
      <color rgb="FFFF0000"/>
      <name val="Bookman Old Style"/>
      <family val="1"/>
    </font>
    <font>
      <b/>
      <sz val="10"/>
      <color rgb="FF000000"/>
      <name val="Arial"/>
      <family val="2"/>
    </font>
    <font>
      <b/>
      <sz val="10"/>
      <color rgb="FFC0C0C0"/>
      <name val="Arial"/>
      <family val="2"/>
    </font>
    <font>
      <b/>
      <sz val="10"/>
      <color rgb="FF00B050"/>
      <name val="Arial"/>
      <family val="2"/>
    </font>
    <font>
      <b/>
      <sz val="12"/>
      <name val="Dutch801 XBd BT"/>
      <family val="1"/>
    </font>
    <font>
      <b/>
      <sz val="12"/>
      <color rgb="FF00B050"/>
      <name val="Arial"/>
      <family val="2"/>
    </font>
    <font>
      <b/>
      <sz val="12"/>
      <name val="Times New Roman CE"/>
      <family val="1"/>
      <charset val="238"/>
    </font>
    <font>
      <b/>
      <sz val="12"/>
      <color rgb="FFFF0000"/>
      <name val="Times New Roman CE"/>
      <family val="1"/>
      <charset val="238"/>
    </font>
    <font>
      <b/>
      <sz val="12"/>
      <color rgb="FF0D0D0D"/>
      <name val="Times New Roman CE"/>
      <family val="1"/>
      <charset val="238"/>
    </font>
    <font>
      <b/>
      <sz val="12"/>
      <color rgb="FF404040"/>
      <name val="Times New Roman CE"/>
      <family val="1"/>
      <charset val="238"/>
    </font>
    <font>
      <b/>
      <sz val="12"/>
      <color rgb="FF333300"/>
      <name val="Times New Roman CE"/>
      <family val="1"/>
      <charset val="238"/>
    </font>
    <font>
      <b/>
      <sz val="12"/>
      <name val="Times New Roman CE"/>
      <family val="1"/>
    </font>
    <font>
      <b/>
      <sz val="12"/>
      <color rgb="FF000000"/>
      <name val="Times New Roman CE"/>
      <family val="1"/>
      <charset val="238"/>
    </font>
    <font>
      <b/>
      <sz val="12"/>
      <color rgb="FF595959"/>
      <name val="Times New Roman CE"/>
      <family val="1"/>
      <charset val="238"/>
    </font>
    <font>
      <b/>
      <sz val="12"/>
      <color rgb="FF595959"/>
      <name val="Times New Roman"/>
      <family val="1"/>
    </font>
    <font>
      <b/>
      <sz val="12"/>
      <color rgb="FF262626"/>
      <name val="Times New Roman"/>
      <family val="1"/>
    </font>
    <font>
      <b/>
      <i/>
      <sz val="12"/>
      <name val="Times New Roman"/>
      <family val="1"/>
    </font>
    <font>
      <b/>
      <sz val="20"/>
      <name val="Arial"/>
      <family val="2"/>
    </font>
    <font>
      <sz val="10"/>
      <name val="Symbol"/>
      <family val="1"/>
      <charset val="2"/>
    </font>
    <font>
      <b/>
      <sz val="12"/>
      <name val="BankGothic Lt BT"/>
      <family val="2"/>
    </font>
    <font>
      <sz val="26"/>
      <name val="Times New Roman"/>
      <family val="1"/>
    </font>
    <font>
      <sz val="28"/>
      <name val="Times New Roman"/>
      <family val="1"/>
    </font>
    <font>
      <sz val="20"/>
      <name val="Georgia"/>
      <family val="1"/>
    </font>
    <font>
      <b/>
      <sz val="11"/>
      <color theme="1"/>
      <name val="Calibri"/>
      <family val="2"/>
      <scheme val="minor"/>
    </font>
    <font>
      <sz val="10"/>
      <name val="Microsoft New Tai Lue"/>
      <family val="2"/>
    </font>
    <font>
      <b/>
      <sz val="14"/>
      <name val="Lucida Fax"/>
      <family val="1"/>
    </font>
    <font>
      <b/>
      <sz val="11"/>
      <name val="Microsoft New Tai Lue"/>
      <family val="2"/>
    </font>
    <font>
      <b/>
      <sz val="11"/>
      <name val="BankGothic Lt BT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4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sz val="16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sz val="9"/>
      <name val="Lohit Hindi"/>
      <family val="2"/>
    </font>
    <font>
      <b/>
      <sz val="11"/>
      <color theme="1"/>
      <name val="Times New Roman"/>
      <family val="1"/>
    </font>
    <font>
      <b/>
      <sz val="14"/>
      <color rgb="FFFF0000"/>
      <name val="Goudy Old Style"/>
      <family val="1"/>
    </font>
    <font>
      <b/>
      <sz val="26"/>
      <color rgb="FFFF0000"/>
      <name val="Goudy Old Style"/>
      <family val="1"/>
    </font>
    <font>
      <b/>
      <sz val="14"/>
      <name val="Goudy Old Style"/>
      <family val="1"/>
    </font>
    <font>
      <b/>
      <sz val="18"/>
      <name val="Goudy Old Style"/>
      <family val="1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FF0000"/>
      <name val="Cambria"/>
      <family val="2"/>
      <scheme val="major"/>
    </font>
    <font>
      <b/>
      <sz val="14"/>
      <color rgb="FFFF0000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b/>
      <u val="double"/>
      <sz val="12"/>
      <color theme="1"/>
      <name val="Calibri"/>
      <family val="2"/>
      <scheme val="minor"/>
    </font>
    <font>
      <b/>
      <sz val="11"/>
      <color theme="1"/>
      <name val="Bookman Old Style"/>
      <family val="1"/>
    </font>
    <font>
      <sz val="10"/>
      <color theme="1"/>
      <name val="Calibri"/>
      <family val="2"/>
      <scheme val="minor"/>
    </font>
    <font>
      <sz val="10"/>
      <color theme="1"/>
      <name val="Cambria"/>
      <family val="1"/>
      <scheme val="major"/>
    </font>
    <font>
      <sz val="11"/>
      <color indexed="8"/>
      <name val="Calibri"/>
      <family val="2"/>
    </font>
    <font>
      <b/>
      <sz val="11"/>
      <color theme="1"/>
      <name val="Arial Narrow"/>
      <family val="2"/>
    </font>
    <font>
      <b/>
      <sz val="10"/>
      <color theme="1"/>
      <name val="Calibri"/>
      <family val="2"/>
      <scheme val="minor"/>
    </font>
    <font>
      <b/>
      <sz val="12"/>
      <color rgb="FFFF0000"/>
      <name val="Cambria"/>
      <family val="1"/>
      <scheme val="major"/>
    </font>
    <font>
      <b/>
      <sz val="26"/>
      <color rgb="FFFF0000"/>
      <name val="Algerian"/>
      <family val="5"/>
    </font>
    <font>
      <b/>
      <sz val="12"/>
      <name val="Cambria"/>
      <family val="1"/>
      <scheme val="major"/>
    </font>
    <font>
      <b/>
      <sz val="11"/>
      <name val="Cambria"/>
      <family val="1"/>
      <scheme val="major"/>
    </font>
    <font>
      <b/>
      <sz val="9"/>
      <name val="Bodoni MT"/>
      <family val="1"/>
    </font>
    <font>
      <b/>
      <sz val="10"/>
      <name val="Bodoni MT"/>
      <family val="1"/>
    </font>
    <font>
      <b/>
      <sz val="12"/>
      <name val="Bodoni MT"/>
      <family val="1"/>
    </font>
    <font>
      <sz val="9"/>
      <name val="Bodoni"/>
      <family val="1"/>
    </font>
    <font>
      <sz val="9"/>
      <name val="Bodoni MT"/>
      <family val="1"/>
    </font>
    <font>
      <sz val="11"/>
      <name val="Bodoni MT"/>
      <family val="1"/>
    </font>
    <font>
      <sz val="9"/>
      <color indexed="63"/>
      <name val="Bookman Old Style"/>
      <family val="1"/>
    </font>
    <font>
      <b/>
      <sz val="9"/>
      <color indexed="63"/>
      <name val="Bookman Old Style"/>
      <family val="1"/>
    </font>
    <font>
      <b/>
      <u/>
      <sz val="9"/>
      <name val="Bookman Old Style"/>
      <family val="1"/>
    </font>
    <font>
      <sz val="9"/>
      <color indexed="23"/>
      <name val="Bookman Old Style"/>
      <family val="1"/>
    </font>
    <font>
      <b/>
      <sz val="9"/>
      <color indexed="23"/>
      <name val="Bookman Old Style"/>
      <family val="1"/>
    </font>
    <font>
      <sz val="9"/>
      <color indexed="23"/>
      <name val="Arial"/>
      <family val="2"/>
    </font>
    <font>
      <sz val="8"/>
      <name val="Bodoni MT"/>
      <family val="1"/>
    </font>
    <font>
      <b/>
      <u/>
      <sz val="14"/>
      <name val="Times New Roman"/>
      <family val="1"/>
    </font>
    <font>
      <b/>
      <u/>
      <sz val="16"/>
      <name val="Times New Roman"/>
      <family val="1"/>
    </font>
    <font>
      <vertAlign val="superscript"/>
      <sz val="9"/>
      <name val="Times New Roman"/>
      <family val="1"/>
    </font>
    <font>
      <b/>
      <sz val="9"/>
      <name val="Times New Roman"/>
      <family val="1"/>
    </font>
    <font>
      <sz val="10"/>
      <color rgb="FFFF0000"/>
      <name val="Times New Roman"/>
      <family val="1"/>
    </font>
    <font>
      <sz val="9"/>
      <color theme="1"/>
      <name val="Cambria"/>
      <family val="1"/>
      <scheme val="major"/>
    </font>
    <font>
      <sz val="9"/>
      <color theme="1"/>
      <name val="Times New Roman"/>
      <family val="1"/>
    </font>
    <font>
      <b/>
      <sz val="9"/>
      <color theme="1"/>
      <name val="Cambria"/>
      <family val="1"/>
      <scheme val="major"/>
    </font>
    <font>
      <b/>
      <sz val="9"/>
      <color theme="1"/>
      <name val="Times New Roman"/>
      <family val="1"/>
    </font>
    <font>
      <sz val="9"/>
      <name val="Cambria"/>
      <family val="1"/>
      <scheme val="major"/>
    </font>
    <font>
      <b/>
      <sz val="9"/>
      <color theme="1" tint="0.24994659260841701"/>
      <name val="Cambria"/>
      <family val="1"/>
    </font>
    <font>
      <b/>
      <sz val="9"/>
      <color theme="1" tint="0.24994659260841701"/>
      <name val="Bookman Old Style"/>
      <family val="1"/>
    </font>
    <font>
      <sz val="9"/>
      <color theme="1" tint="0.24994659260841701"/>
      <name val="Bookman Old Style"/>
      <family val="1"/>
    </font>
    <font>
      <b/>
      <sz val="9"/>
      <color theme="1" tint="0.24994659260841701"/>
      <name val="Arial"/>
      <family val="2"/>
    </font>
    <font>
      <sz val="9"/>
      <color theme="1" tint="0.24994659260841701"/>
      <name val="Arial"/>
      <family val="2"/>
    </font>
    <font>
      <sz val="12"/>
      <name val="Bodoni MT"/>
      <family val="1"/>
    </font>
    <font>
      <b/>
      <sz val="10"/>
      <color theme="1" tint="0.34998626667073579"/>
      <name val="Times New Roman"/>
      <family val="1"/>
    </font>
  </fonts>
  <fills count="51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92D050"/>
        <bgColor rgb="FF9BBB59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C0C0C0"/>
        <bgColor rgb="FFBFBFBF"/>
      </patternFill>
    </fill>
    <fill>
      <patternFill patternType="solid">
        <fgColor rgb="FFBFBFBF"/>
        <bgColor rgb="FFC0C0C0"/>
      </patternFill>
    </fill>
    <fill>
      <patternFill patternType="solid">
        <fgColor rgb="FFA6A6A6"/>
        <bgColor rgb="FFB9AFC9"/>
      </patternFill>
    </fill>
    <fill>
      <patternFill patternType="solid">
        <fgColor rgb="FFFF0000"/>
        <bgColor rgb="FFC00000"/>
      </patternFill>
    </fill>
    <fill>
      <patternFill patternType="solid">
        <fgColor rgb="FFC00000"/>
        <bgColor rgb="FFFF0000"/>
      </patternFill>
    </fill>
    <fill>
      <patternFill patternType="solid">
        <fgColor rgb="FF0066FF"/>
        <bgColor rgb="FF008080"/>
      </patternFill>
    </fill>
    <fill>
      <patternFill patternType="solid">
        <fgColor rgb="FFD9D9D9"/>
        <bgColor rgb="FFC5D6AC"/>
      </patternFill>
    </fill>
    <fill>
      <patternFill patternType="solid">
        <fgColor rgb="FFCCFFFF"/>
        <bgColor rgb="FFCCFFCC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CCFFCC"/>
      </patternFill>
    </fill>
    <fill>
      <patternFill patternType="solid">
        <fgColor theme="0"/>
        <bgColor rgb="FF4BACC6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rgb="FF9BBB59"/>
      </patternFill>
    </fill>
    <fill>
      <patternFill patternType="solid">
        <fgColor theme="0"/>
        <bgColor rgb="FFC00000"/>
      </patternFill>
    </fill>
    <fill>
      <patternFill patternType="solid">
        <fgColor theme="0"/>
        <bgColor rgb="FF008080"/>
      </patternFill>
    </fill>
    <fill>
      <patternFill patternType="solid">
        <fgColor theme="0"/>
        <bgColor rgb="FFF79646"/>
      </patternFill>
    </fill>
    <fill>
      <patternFill patternType="solid">
        <fgColor theme="0" tint="-0.14999847407452621"/>
        <bgColor rgb="FF9BBB59"/>
      </patternFill>
    </fill>
    <fill>
      <patternFill patternType="solid">
        <fgColor theme="0" tint="-0.14999847407452621"/>
        <bgColor rgb="FFC00000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9BBB59"/>
      </patternFill>
    </fill>
    <fill>
      <patternFill patternType="solid">
        <fgColor theme="9" tint="0.59999389629810485"/>
        <bgColor rgb="FF008080"/>
      </patternFill>
    </fill>
    <fill>
      <patternFill patternType="solid">
        <fgColor theme="0"/>
        <bgColor rgb="FFB9AFC9"/>
      </patternFill>
    </fill>
    <fill>
      <patternFill patternType="solid">
        <fgColor theme="0" tint="-0.14999847407452621"/>
        <bgColor rgb="FF00FFFF"/>
      </patternFill>
    </fill>
    <fill>
      <patternFill patternType="solid">
        <fgColor theme="0" tint="-0.14999847407452621"/>
        <bgColor rgb="FFCC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rgb="FF9BBB5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C00000"/>
      </patternFill>
    </fill>
    <fill>
      <patternFill patternType="solid">
        <fgColor theme="0" tint="-0.249977111117893"/>
        <bgColor rgb="FF008080"/>
      </patternFill>
    </fill>
    <fill>
      <patternFill patternType="solid">
        <fgColor theme="0" tint="-0.14999847407452621"/>
        <bgColor rgb="FFFFFFCC"/>
      </patternFill>
    </fill>
    <fill>
      <patternFill patternType="solid">
        <fgColor theme="0" tint="-0.14999847407452621"/>
        <bgColor rgb="FFFFFF00"/>
      </patternFill>
    </fill>
    <fill>
      <patternFill patternType="solid">
        <fgColor theme="0" tint="-0.14999847407452621"/>
        <bgColor rgb="FF4BACC6"/>
      </patternFill>
    </fill>
    <fill>
      <patternFill patternType="solid">
        <fgColor rgb="FFFF0000"/>
        <bgColor rgb="FFFFFFCC"/>
      </patternFill>
    </fill>
    <fill>
      <patternFill patternType="solid">
        <fgColor rgb="FFEFF6A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EF0AE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AFCA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4.9989318521683403E-2"/>
        <bgColor indexed="64"/>
      </patternFill>
    </fill>
  </fills>
  <borders count="566">
    <border>
      <left/>
      <right/>
      <top/>
      <bottom/>
      <diagonal/>
    </border>
    <border>
      <left/>
      <right style="thin">
        <color rgb="FF000080"/>
      </right>
      <top/>
      <bottom/>
      <diagonal/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  <diagonal/>
    </border>
    <border>
      <left style="double">
        <color rgb="FF000080"/>
      </left>
      <right style="thin">
        <color rgb="FF000080"/>
      </right>
      <top style="double">
        <color rgb="FF000080"/>
      </top>
      <bottom style="hair">
        <color rgb="FF000080"/>
      </bottom>
      <diagonal/>
    </border>
    <border>
      <left style="thin">
        <color rgb="FF000080"/>
      </left>
      <right style="thin">
        <color rgb="FF000080"/>
      </right>
      <top style="double">
        <color rgb="FF000080"/>
      </top>
      <bottom style="hair">
        <color rgb="FF000080"/>
      </bottom>
      <diagonal/>
    </border>
    <border>
      <left style="thin">
        <color rgb="FF000080"/>
      </left>
      <right/>
      <top style="double">
        <color rgb="FF000080"/>
      </top>
      <bottom style="hair">
        <color rgb="FF000080"/>
      </bottom>
      <diagonal/>
    </border>
    <border>
      <left style="thin">
        <color rgb="FF000080"/>
      </left>
      <right style="thin">
        <color rgb="FF000080"/>
      </right>
      <top style="double">
        <color rgb="FF000080"/>
      </top>
      <bottom style="thin">
        <color rgb="FF000080"/>
      </bottom>
      <diagonal/>
    </border>
    <border>
      <left style="thin">
        <color rgb="FF000080"/>
      </left>
      <right style="thin">
        <color rgb="FF000080"/>
      </right>
      <top style="hair">
        <color rgb="FF000080"/>
      </top>
      <bottom style="thin">
        <color rgb="FF000080"/>
      </bottom>
      <diagonal/>
    </border>
    <border>
      <left style="thin">
        <color rgb="FF000080"/>
      </left>
      <right style="thin">
        <color rgb="FF000080"/>
      </right>
      <top/>
      <bottom style="thin">
        <color rgb="FF000080"/>
      </bottom>
      <diagonal/>
    </border>
    <border>
      <left style="double">
        <color rgb="FF000080"/>
      </left>
      <right style="thin">
        <color rgb="FF000080"/>
      </right>
      <top/>
      <bottom style="hair">
        <color rgb="FF000080"/>
      </bottom>
      <diagonal/>
    </border>
    <border>
      <left style="thin">
        <color rgb="FF000080"/>
      </left>
      <right style="thin">
        <color rgb="FF000080"/>
      </right>
      <top/>
      <bottom style="hair">
        <color rgb="FF000080"/>
      </bottom>
      <diagonal/>
    </border>
    <border>
      <left style="thin">
        <color rgb="FF000080"/>
      </left>
      <right style="double">
        <color rgb="FF000080"/>
      </right>
      <top/>
      <bottom style="hair">
        <color rgb="FF000080"/>
      </bottom>
      <diagonal/>
    </border>
    <border>
      <left style="double">
        <color rgb="FF000080"/>
      </left>
      <right style="thin">
        <color rgb="FF000080"/>
      </right>
      <top style="hair">
        <color rgb="FF000080"/>
      </top>
      <bottom style="thick">
        <color rgb="FF000080"/>
      </bottom>
      <diagonal/>
    </border>
    <border>
      <left style="thin">
        <color rgb="FF000080"/>
      </left>
      <right style="thin">
        <color rgb="FF000080"/>
      </right>
      <top style="hair">
        <color rgb="FF000080"/>
      </top>
      <bottom style="thick">
        <color rgb="FF000080"/>
      </bottom>
      <diagonal/>
    </border>
    <border>
      <left style="thin">
        <color rgb="FF000080"/>
      </left>
      <right style="double">
        <color rgb="FF000080"/>
      </right>
      <top style="hair">
        <color rgb="FF000080"/>
      </top>
      <bottom style="thick">
        <color rgb="FF000080"/>
      </bottom>
      <diagonal/>
    </border>
    <border>
      <left style="double">
        <color rgb="FF000080"/>
      </left>
      <right style="thin">
        <color rgb="FF000080"/>
      </right>
      <top style="hair">
        <color rgb="FF000080"/>
      </top>
      <bottom style="hair">
        <color rgb="FF000080"/>
      </bottom>
      <diagonal/>
    </border>
    <border>
      <left style="thin">
        <color rgb="FF000080"/>
      </left>
      <right style="thin">
        <color rgb="FF000080"/>
      </right>
      <top style="hair">
        <color rgb="FF000080"/>
      </top>
      <bottom style="hair">
        <color rgb="FF000080"/>
      </bottom>
      <diagonal/>
    </border>
    <border>
      <left style="thin">
        <color rgb="FF000080"/>
      </left>
      <right style="double">
        <color rgb="FF000080"/>
      </right>
      <top style="hair">
        <color rgb="FF000080"/>
      </top>
      <bottom style="hair">
        <color rgb="FF000080"/>
      </bottom>
      <diagonal/>
    </border>
    <border>
      <left style="double">
        <color rgb="FF000080"/>
      </left>
      <right style="thin">
        <color rgb="FF000080"/>
      </right>
      <top style="hair">
        <color rgb="FF000080"/>
      </top>
      <bottom style="thin">
        <color rgb="FF000080"/>
      </bottom>
      <diagonal/>
    </border>
    <border>
      <left style="thin">
        <color rgb="FF000080"/>
      </left>
      <right style="double">
        <color rgb="FF000080"/>
      </right>
      <top style="hair">
        <color rgb="FF000080"/>
      </top>
      <bottom style="thin">
        <color rgb="FF000080"/>
      </bottom>
      <diagonal/>
    </border>
    <border>
      <left style="thin">
        <color rgb="FF000080"/>
      </left>
      <right style="double">
        <color rgb="FF000080"/>
      </right>
      <top style="hair">
        <color rgb="FF000080"/>
      </top>
      <bottom/>
      <diagonal/>
    </border>
    <border>
      <left style="double">
        <color auto="1"/>
      </left>
      <right style="thin">
        <color auto="1"/>
      </right>
      <top style="thick">
        <color rgb="FF000080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ck">
        <color rgb="FF000080"/>
      </top>
      <bottom style="hair">
        <color auto="1"/>
      </bottom>
      <diagonal/>
    </border>
    <border>
      <left style="thin">
        <color rgb="FF000080"/>
      </left>
      <right/>
      <top style="hair">
        <color rgb="FF000080"/>
      </top>
      <bottom style="hair">
        <color rgb="FF000080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double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double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 style="double">
        <color auto="1"/>
      </left>
      <right/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/>
      <right style="double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uble">
        <color auto="1"/>
      </right>
      <top/>
      <bottom style="hair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double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double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double">
        <color auto="1"/>
      </right>
      <top/>
      <bottom style="hair">
        <color auto="1"/>
      </bottom>
      <diagonal/>
    </border>
    <border>
      <left style="double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double">
        <color auto="1"/>
      </right>
      <top style="dotted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uble">
        <color auto="1"/>
      </bottom>
      <diagonal/>
    </border>
    <border>
      <left/>
      <right style="thin">
        <color auto="1"/>
      </right>
      <top style="dashed">
        <color auto="1"/>
      </top>
      <bottom style="double">
        <color auto="1"/>
      </bottom>
      <diagonal/>
    </border>
    <border>
      <left/>
      <right/>
      <top style="dashed">
        <color auto="1"/>
      </top>
      <bottom style="double">
        <color auto="1"/>
      </bottom>
      <diagonal/>
    </border>
    <border>
      <left style="thin">
        <color auto="1"/>
      </left>
      <right/>
      <top style="dashed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tted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double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 style="double">
        <color theme="4" tint="-0.499984740745262"/>
      </left>
      <right style="thin">
        <color theme="4" tint="-0.499984740745262"/>
      </right>
      <top/>
      <bottom/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thin">
        <color theme="4" tint="-0.499984740745262"/>
      </left>
      <right/>
      <top style="dashed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dashed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/>
      <right/>
      <top style="dashed">
        <color theme="4" tint="-0.499984740745262"/>
      </top>
      <bottom style="thin">
        <color theme="4" tint="-0.499984740745262"/>
      </bottom>
      <diagonal/>
    </border>
    <border>
      <left style="double">
        <color theme="4" tint="-0.499984740745262"/>
      </left>
      <right style="thin">
        <color theme="4" tint="-0.499984740745262"/>
      </right>
      <top style="dashed">
        <color theme="4" tint="-0.499984740745262"/>
      </top>
      <bottom/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dashed">
        <color theme="4" tint="-0.499984740745262"/>
      </bottom>
      <diagonal/>
    </border>
    <border>
      <left/>
      <right style="thin">
        <color theme="4" tint="-0.499984740745262"/>
      </right>
      <top/>
      <bottom style="dashed">
        <color theme="4" tint="-0.499984740745262"/>
      </bottom>
      <diagonal/>
    </border>
    <border>
      <left/>
      <right/>
      <top/>
      <bottom style="dashed">
        <color theme="4" tint="-0.499984740745262"/>
      </bottom>
      <diagonal/>
    </border>
    <border>
      <left style="double">
        <color theme="4" tint="-0.499984740745262"/>
      </left>
      <right style="thin">
        <color theme="4" tint="-0.499984740745262"/>
      </right>
      <top/>
      <bottom style="dashed">
        <color theme="4" tint="-0.499984740745262"/>
      </bottom>
      <diagonal/>
    </border>
    <border>
      <left style="thin">
        <color theme="4" tint="-0.499984740745262"/>
      </left>
      <right/>
      <top/>
      <bottom style="medium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medium">
        <color theme="4" tint="-0.499984740745262"/>
      </bottom>
      <diagonal/>
    </border>
    <border>
      <left/>
      <right style="thin">
        <color theme="4" tint="-0.499984740745262"/>
      </right>
      <top/>
      <bottom style="medium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indexed="64"/>
      </right>
      <top/>
      <bottom style="medium">
        <color theme="4" tint="-0.24994659260841701"/>
      </bottom>
      <diagonal/>
    </border>
    <border>
      <left style="thin">
        <color theme="4" tint="-0.499984740745262"/>
      </left>
      <right/>
      <top style="thin">
        <color theme="4" tint="-0.499984740745262"/>
      </top>
      <bottom/>
      <diagonal/>
    </border>
    <border>
      <left style="medium">
        <color theme="4" tint="-0.24994659260841701"/>
      </left>
      <right style="thin">
        <color indexed="64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/>
      <diagonal/>
    </border>
    <border>
      <left style="medium">
        <color theme="4" tint="-0.24994659260841701"/>
      </left>
      <right style="thin">
        <color indexed="64"/>
      </right>
      <top style="medium">
        <color theme="4" tint="-0.24994659260841701"/>
      </top>
      <bottom/>
      <diagonal/>
    </border>
    <border>
      <left style="thin">
        <color theme="4" tint="-0.499984740745262"/>
      </left>
      <right style="thin">
        <color theme="4" tint="-0.499984740745262"/>
      </right>
      <top/>
      <bottom/>
      <diagonal/>
    </border>
    <border>
      <left/>
      <right style="thin">
        <color theme="4" tint="-0.499984740745262"/>
      </right>
      <top style="thin">
        <color theme="4" tint="-0.499984740745262"/>
      </top>
      <bottom/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 style="thin">
        <color theme="4" tint="-0.499984740745262"/>
      </right>
      <top style="dashed">
        <color theme="4" tint="-0.499984740745262"/>
      </top>
      <bottom style="dashed">
        <color theme="4" tint="-0.499984740745262"/>
      </bottom>
      <diagonal/>
    </border>
    <border>
      <left/>
      <right/>
      <top style="dashed">
        <color theme="4" tint="-0.499984740745262"/>
      </top>
      <bottom style="dashed">
        <color theme="4" tint="-0.499984740745262"/>
      </bottom>
      <diagonal/>
    </border>
    <border>
      <left style="thin">
        <color theme="4" tint="-0.499984740745262"/>
      </left>
      <right/>
      <top style="dashed">
        <color theme="4" tint="-0.499984740745262"/>
      </top>
      <bottom style="dashed">
        <color theme="4" tint="-0.499984740745262"/>
      </bottom>
      <diagonal/>
    </border>
    <border>
      <left style="thin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medium">
        <color theme="4" tint="-0.499984740745262"/>
      </top>
      <bottom style="dashed">
        <color theme="4" tint="-0.499984740745262"/>
      </bottom>
      <diagonal/>
    </border>
    <border>
      <left style="thin">
        <color theme="4" tint="-0.499984740745262"/>
      </left>
      <right/>
      <top style="medium">
        <color theme="4" tint="-0.499984740745262"/>
      </top>
      <bottom style="dashed">
        <color theme="4" tint="-0.499984740745262"/>
      </bottom>
      <diagonal/>
    </border>
    <border>
      <left style="double">
        <color theme="4" tint="-0.499984740745262"/>
      </left>
      <right style="thin">
        <color theme="4" tint="-0.499984740745262"/>
      </right>
      <top style="medium">
        <color theme="4" tint="-0.499984740745262"/>
      </top>
      <bottom style="dashed">
        <color theme="4" tint="-0.499984740745262"/>
      </bottom>
      <diagonal/>
    </border>
    <border>
      <left/>
      <right/>
      <top style="thin">
        <color theme="4" tint="-0.499984740745262"/>
      </top>
      <bottom/>
      <diagonal/>
    </border>
    <border>
      <left/>
      <right style="thin">
        <color theme="4" tint="-0.499984740745262"/>
      </right>
      <top style="dashed">
        <color theme="4" tint="-0.499984740745262"/>
      </top>
      <bottom/>
      <diagonal/>
    </border>
    <border>
      <left/>
      <right style="thin">
        <color theme="4" tint="-0.499984740745262"/>
      </right>
      <top style="dashed">
        <color theme="4" tint="-0.499984740745262"/>
      </top>
      <bottom style="dashed">
        <color theme="4" tint="-0.499984740745262"/>
      </bottom>
      <diagonal/>
    </border>
    <border>
      <left/>
      <right style="thin">
        <color theme="4" tint="-0.499984740745262"/>
      </right>
      <top/>
      <bottom/>
      <diagonal/>
    </border>
    <border>
      <left style="medium">
        <color theme="4" tint="-0.499984740745262"/>
      </left>
      <right style="medium">
        <color theme="4" tint="-0.499984740745262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/>
      <bottom style="dashed">
        <color theme="4" tint="-0.499984740745262"/>
      </bottom>
      <diagonal/>
    </border>
    <border>
      <left/>
      <right style="thin">
        <color theme="4" tint="-0.499984740745262"/>
      </right>
      <top style="medium">
        <color theme="4" tint="-0.499984740745262"/>
      </top>
      <bottom style="dashed">
        <color theme="4" tint="-0.499984740745262"/>
      </bottom>
      <diagonal/>
    </border>
    <border>
      <left/>
      <right style="thin">
        <color theme="4" tint="-0.499984740745262"/>
      </right>
      <top style="dashed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/>
      <top style="double">
        <color theme="4" tint="-0.499984740745262"/>
      </top>
      <bottom style="medium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double">
        <color theme="4" tint="-0.499984740745262"/>
      </top>
      <bottom style="medium">
        <color theme="4" tint="-0.499984740745262"/>
      </bottom>
      <diagonal/>
    </border>
    <border>
      <left/>
      <right style="thin">
        <color theme="4" tint="-0.499984740745262"/>
      </right>
      <top style="double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double">
        <color theme="4" tint="-0.499984740745262"/>
      </top>
      <bottom style="medium">
        <color theme="4" tint="-0.499984740745262"/>
      </bottom>
      <diagonal/>
    </border>
    <border>
      <left style="double">
        <color theme="4" tint="-0.499984740745262"/>
      </left>
      <right style="thin">
        <color theme="4" tint="-0.499984740745262"/>
      </right>
      <top style="double">
        <color theme="4" tint="-0.499984740745262"/>
      </top>
      <bottom style="medium">
        <color theme="4" tint="-0.499984740745262"/>
      </bottom>
      <diagonal/>
    </border>
    <border>
      <left/>
      <right style="thin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  <border>
      <left/>
      <right style="thin">
        <color indexed="23"/>
      </right>
      <top/>
      <bottom/>
      <diagonal/>
    </border>
    <border>
      <left/>
      <right/>
      <top style="thin">
        <color indexed="23"/>
      </top>
      <bottom/>
      <diagonal/>
    </border>
    <border>
      <left style="medium">
        <color rgb="FFFF0000"/>
      </left>
      <right style="thin">
        <color indexed="23"/>
      </right>
      <top style="medium">
        <color rgb="FFFF0000"/>
      </top>
      <bottom/>
      <diagonal/>
    </border>
    <border>
      <left style="thin">
        <color indexed="23"/>
      </left>
      <right style="thin">
        <color indexed="23"/>
      </right>
      <top style="medium">
        <color rgb="FFFF0000"/>
      </top>
      <bottom/>
      <diagonal/>
    </border>
    <border>
      <left style="thin">
        <color indexed="23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thin">
        <color indexed="23"/>
      </right>
      <top style="medium">
        <color rgb="FFFF0000"/>
      </top>
      <bottom/>
      <diagonal/>
    </border>
    <border>
      <left style="thin">
        <color indexed="23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hair">
        <color indexed="23"/>
      </left>
      <right style="thin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medium">
        <color rgb="FFFF0000"/>
      </right>
      <top style="thin">
        <color indexed="23"/>
      </top>
      <bottom style="thin">
        <color indexed="23"/>
      </bottom>
      <diagonal/>
    </border>
    <border>
      <left style="medium">
        <color rgb="FFFF0000"/>
      </left>
      <right style="thin">
        <color indexed="23"/>
      </right>
      <top/>
      <bottom style="medium">
        <color rgb="FFFF0000"/>
      </bottom>
      <diagonal/>
    </border>
    <border>
      <left style="thin">
        <color indexed="23"/>
      </left>
      <right style="thin">
        <color indexed="23"/>
      </right>
      <top/>
      <bottom style="medium">
        <color rgb="FFFF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medium">
        <color rgb="FFFF0000"/>
      </bottom>
      <diagonal/>
    </border>
    <border>
      <left style="thin">
        <color indexed="23"/>
      </left>
      <right style="medium">
        <color rgb="FFFF0000"/>
      </right>
      <top style="thin">
        <color indexed="23"/>
      </top>
      <bottom style="medium">
        <color rgb="FFFF000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thin">
        <color indexed="23"/>
      </left>
      <right style="thin">
        <color indexed="23"/>
      </right>
      <top style="medium">
        <color rgb="FF00B050"/>
      </top>
      <bottom/>
      <diagonal/>
    </border>
    <border>
      <left style="thin">
        <color indexed="23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thin">
        <color indexed="23"/>
      </right>
      <top style="medium">
        <color rgb="FF00B050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medium">
        <color rgb="FF00B050"/>
      </top>
      <bottom style="hair">
        <color indexed="23"/>
      </bottom>
      <diagonal/>
    </border>
    <border>
      <left/>
      <right style="medium">
        <color rgb="FF00B050"/>
      </right>
      <top style="medium">
        <color rgb="FF00B050"/>
      </top>
      <bottom style="hair">
        <color indexed="23"/>
      </bottom>
      <diagonal/>
    </border>
    <border>
      <left style="medium">
        <color rgb="FF00B050"/>
      </left>
      <right/>
      <top/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hair">
        <color indexed="23"/>
      </left>
      <right style="thin">
        <color indexed="23"/>
      </right>
      <top style="hair">
        <color indexed="23"/>
      </top>
      <bottom/>
      <diagonal/>
    </border>
    <border>
      <left style="hair">
        <color indexed="23"/>
      </left>
      <right style="medium">
        <color rgb="FF00B050"/>
      </right>
      <top style="hair">
        <color indexed="23"/>
      </top>
      <bottom/>
      <diagonal/>
    </border>
    <border>
      <left style="thin">
        <color indexed="23"/>
      </left>
      <right style="thin">
        <color indexed="23"/>
      </right>
      <top/>
      <bottom style="double">
        <color indexed="55"/>
      </bottom>
      <diagonal/>
    </border>
    <border>
      <left style="thin">
        <color indexed="23"/>
      </left>
      <right/>
      <top/>
      <bottom style="double">
        <color indexed="55"/>
      </bottom>
      <diagonal/>
    </border>
    <border>
      <left style="hair">
        <color indexed="23"/>
      </left>
      <right style="thin">
        <color indexed="23"/>
      </right>
      <top/>
      <bottom style="double">
        <color indexed="55"/>
      </bottom>
      <diagonal/>
    </border>
    <border>
      <left/>
      <right/>
      <top/>
      <bottom style="double">
        <color indexed="55"/>
      </bottom>
      <diagonal/>
    </border>
    <border>
      <left/>
      <right style="hair">
        <color indexed="23"/>
      </right>
      <top/>
      <bottom style="double">
        <color indexed="55"/>
      </bottom>
      <diagonal/>
    </border>
    <border>
      <left style="hair">
        <color indexed="23"/>
      </left>
      <right style="medium">
        <color rgb="FF00B050"/>
      </right>
      <top/>
      <bottom style="double">
        <color indexed="55"/>
      </bottom>
      <diagonal/>
    </border>
    <border>
      <left style="thin">
        <color indexed="23"/>
      </left>
      <right/>
      <top style="double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double">
        <color indexed="23"/>
      </top>
      <bottom style="thin">
        <color indexed="23"/>
      </bottom>
      <diagonal/>
    </border>
    <border>
      <left/>
      <right style="thin">
        <color indexed="23"/>
      </right>
      <top style="double">
        <color indexed="23"/>
      </top>
      <bottom style="thin">
        <color indexed="23"/>
      </bottom>
      <diagonal/>
    </border>
    <border>
      <left/>
      <right/>
      <top style="double">
        <color indexed="23"/>
      </top>
      <bottom style="thin">
        <color indexed="23"/>
      </bottom>
      <diagonal/>
    </border>
    <border>
      <left style="thin">
        <color indexed="23"/>
      </left>
      <right style="medium">
        <color rgb="FF00B050"/>
      </right>
      <top style="double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double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double">
        <color indexed="23"/>
      </bottom>
      <diagonal/>
    </border>
    <border>
      <left/>
      <right style="thin">
        <color indexed="23"/>
      </right>
      <top style="thin">
        <color indexed="23"/>
      </top>
      <bottom style="double">
        <color indexed="23"/>
      </bottom>
      <diagonal/>
    </border>
    <border>
      <left style="thin">
        <color indexed="23"/>
      </left>
      <right style="medium">
        <color rgb="FF00B050"/>
      </right>
      <top style="thin">
        <color indexed="23"/>
      </top>
      <bottom style="double">
        <color indexed="23"/>
      </bottom>
      <diagonal/>
    </border>
    <border>
      <left style="thin">
        <color indexed="23"/>
      </left>
      <right style="thin">
        <color indexed="55"/>
      </right>
      <top style="double">
        <color indexed="23"/>
      </top>
      <bottom/>
      <diagonal/>
    </border>
    <border>
      <left style="thin">
        <color indexed="23"/>
      </left>
      <right/>
      <top style="double">
        <color indexed="55"/>
      </top>
      <bottom/>
      <diagonal/>
    </border>
    <border>
      <left/>
      <right/>
      <top style="double">
        <color indexed="55"/>
      </top>
      <bottom/>
      <diagonal/>
    </border>
    <border>
      <left/>
      <right style="thin">
        <color indexed="23"/>
      </right>
      <top style="double">
        <color indexed="55"/>
      </top>
      <bottom/>
      <diagonal/>
    </border>
    <border>
      <left style="thin">
        <color indexed="23"/>
      </left>
      <right/>
      <top style="double">
        <color indexed="23"/>
      </top>
      <bottom/>
      <diagonal/>
    </border>
    <border>
      <left/>
      <right/>
      <top style="double">
        <color indexed="23"/>
      </top>
      <bottom/>
      <diagonal/>
    </border>
    <border>
      <left/>
      <right style="medium">
        <color rgb="FF00B050"/>
      </right>
      <top style="double">
        <color indexed="23"/>
      </top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thin">
        <color indexed="23"/>
      </left>
      <right style="thin">
        <color indexed="55"/>
      </right>
      <top/>
      <bottom style="medium">
        <color rgb="FF00B050"/>
      </bottom>
      <diagonal/>
    </border>
    <border>
      <left style="thin">
        <color indexed="23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hair">
        <color indexed="23"/>
      </right>
      <top/>
      <bottom style="medium">
        <color rgb="FF00B050"/>
      </bottom>
      <diagonal/>
    </border>
    <border>
      <left style="hair">
        <color indexed="23"/>
      </left>
      <right/>
      <top style="hair">
        <color indexed="23"/>
      </top>
      <bottom style="medium">
        <color rgb="FF00B050"/>
      </bottom>
      <diagonal/>
    </border>
    <border>
      <left/>
      <right style="thin">
        <color indexed="23"/>
      </right>
      <top style="hair">
        <color indexed="23"/>
      </top>
      <bottom style="medium">
        <color rgb="FF00B050"/>
      </bottom>
      <diagonal/>
    </border>
    <border>
      <left style="thin">
        <color indexed="23"/>
      </left>
      <right style="thin">
        <color indexed="23"/>
      </right>
      <top style="hair">
        <color indexed="23"/>
      </top>
      <bottom style="medium">
        <color rgb="FF00B050"/>
      </bottom>
      <diagonal/>
    </border>
    <border>
      <left style="thin">
        <color indexed="23"/>
      </left>
      <right/>
      <top style="hair">
        <color indexed="23"/>
      </top>
      <bottom style="medium">
        <color rgb="FF00B050"/>
      </bottom>
      <diagonal/>
    </border>
    <border>
      <left/>
      <right/>
      <top style="hair">
        <color indexed="23"/>
      </top>
      <bottom style="medium">
        <color rgb="FF00B050"/>
      </bottom>
      <diagonal/>
    </border>
    <border>
      <left/>
      <right style="hair">
        <color indexed="23"/>
      </right>
      <top style="hair">
        <color indexed="23"/>
      </top>
      <bottom style="medium">
        <color rgb="FF00B050"/>
      </bottom>
      <diagonal/>
    </border>
    <border>
      <left/>
      <right style="thin">
        <color indexed="23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double">
        <color theme="3" tint="-0.24994659260841701"/>
      </left>
      <right/>
      <top style="double">
        <color theme="3" tint="-0.24994659260841701"/>
      </top>
      <bottom/>
      <diagonal/>
    </border>
    <border>
      <left/>
      <right/>
      <top style="double">
        <color theme="3" tint="-0.24994659260841701"/>
      </top>
      <bottom/>
      <diagonal/>
    </border>
    <border>
      <left style="thin">
        <color indexed="23"/>
      </left>
      <right/>
      <top style="double">
        <color theme="3" tint="-0.24994659260841701"/>
      </top>
      <bottom/>
      <diagonal/>
    </border>
    <border>
      <left/>
      <right style="thin">
        <color indexed="23"/>
      </right>
      <top style="double">
        <color theme="3" tint="-0.24994659260841701"/>
      </top>
      <bottom/>
      <diagonal/>
    </border>
    <border>
      <left/>
      <right style="double">
        <color indexed="23"/>
      </right>
      <top style="double">
        <color theme="3" tint="-0.24994659260841701"/>
      </top>
      <bottom/>
      <diagonal/>
    </border>
    <border>
      <left style="double">
        <color indexed="23"/>
      </left>
      <right/>
      <top style="double">
        <color theme="3" tint="-0.24994659260841701"/>
      </top>
      <bottom style="thin">
        <color indexed="23"/>
      </bottom>
      <diagonal/>
    </border>
    <border>
      <left/>
      <right/>
      <top style="double">
        <color theme="3" tint="-0.24994659260841701"/>
      </top>
      <bottom style="thin">
        <color indexed="23"/>
      </bottom>
      <diagonal/>
    </border>
    <border>
      <left/>
      <right style="double">
        <color theme="3" tint="-0.24994659260841701"/>
      </right>
      <top style="double">
        <color theme="3" tint="-0.24994659260841701"/>
      </top>
      <bottom style="thin">
        <color indexed="23"/>
      </bottom>
      <diagonal/>
    </border>
    <border>
      <left style="double">
        <color theme="3" tint="-0.24994659260841701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double">
        <color indexed="23"/>
      </right>
      <top/>
      <bottom style="thin">
        <color indexed="23"/>
      </bottom>
      <diagonal/>
    </border>
    <border>
      <left style="double">
        <color indexed="23"/>
      </left>
      <right/>
      <top style="thin">
        <color indexed="23"/>
      </top>
      <bottom style="hair">
        <color indexed="23"/>
      </bottom>
      <diagonal/>
    </border>
    <border>
      <left/>
      <right/>
      <top style="thin">
        <color indexed="23"/>
      </top>
      <bottom style="hair">
        <color indexed="23"/>
      </bottom>
      <diagonal/>
    </border>
    <border>
      <left/>
      <right style="double">
        <color indexed="23"/>
      </right>
      <top style="thin">
        <color indexed="23"/>
      </top>
      <bottom style="hair">
        <color indexed="23"/>
      </bottom>
      <diagonal/>
    </border>
    <border>
      <left style="double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 style="double">
        <color theme="3" tint="-0.24994659260841701"/>
      </right>
      <top style="hair">
        <color indexed="23"/>
      </top>
      <bottom style="hair">
        <color indexed="23"/>
      </bottom>
      <diagonal/>
    </border>
    <border>
      <left style="double">
        <color theme="3" tint="-0.24994659260841701"/>
      </left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 style="double">
        <color indexed="23"/>
      </right>
      <top style="thin">
        <color indexed="23"/>
      </top>
      <bottom/>
      <diagonal/>
    </border>
    <border>
      <left style="double">
        <color indexed="23"/>
      </left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 style="double">
        <color indexed="23"/>
      </right>
      <top style="hair">
        <color indexed="23"/>
      </top>
      <bottom style="hair">
        <color indexed="23"/>
      </bottom>
      <diagonal/>
    </border>
    <border>
      <left style="double">
        <color theme="3" tint="-0.24994659260841701"/>
      </left>
      <right/>
      <top/>
      <bottom style="thin">
        <color theme="0" tint="-0.499984740745262"/>
      </bottom>
      <diagonal/>
    </border>
    <border>
      <left/>
      <right style="thin">
        <color indexed="23"/>
      </right>
      <top/>
      <bottom style="thin">
        <color theme="0" tint="-0.499984740745262"/>
      </bottom>
      <diagonal/>
    </border>
    <border>
      <left/>
      <right style="double">
        <color indexed="23"/>
      </right>
      <top/>
      <bottom/>
      <diagonal/>
    </border>
    <border>
      <left style="double">
        <color indexed="23"/>
      </left>
      <right style="thin">
        <color indexed="23"/>
      </right>
      <top style="hair">
        <color indexed="23"/>
      </top>
      <bottom/>
      <diagonal/>
    </border>
    <border>
      <left style="thin">
        <color indexed="23"/>
      </left>
      <right style="thin">
        <color indexed="23"/>
      </right>
      <top style="hair">
        <color indexed="23"/>
      </top>
      <bottom/>
      <diagonal/>
    </border>
    <border>
      <left style="thin">
        <color indexed="23"/>
      </left>
      <right style="double">
        <color theme="3" tint="-0.24994659260841701"/>
      </right>
      <top style="hair">
        <color indexed="23"/>
      </top>
      <bottom/>
      <diagonal/>
    </border>
    <border>
      <left style="double">
        <color theme="3" tint="-0.24994659260841701"/>
      </left>
      <right/>
      <top/>
      <bottom/>
      <diagonal/>
    </border>
    <border>
      <left/>
      <right style="thin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double">
        <color theme="3" tint="-0.24994659260841701"/>
      </right>
      <top style="hair">
        <color indexed="23"/>
      </top>
      <bottom style="hair">
        <color indexed="23"/>
      </bottom>
      <diagonal/>
    </border>
    <border>
      <left style="double">
        <color indexed="23"/>
      </left>
      <right style="thin">
        <color indexed="23"/>
      </right>
      <top style="hair">
        <color indexed="23"/>
      </top>
      <bottom style="hair">
        <color indexed="23"/>
      </bottom>
      <diagonal/>
    </border>
    <border>
      <left style="double">
        <color theme="3" tint="-0.24994659260841701"/>
      </left>
      <right/>
      <top/>
      <bottom style="double">
        <color theme="3" tint="-0.24994659260841701"/>
      </bottom>
      <diagonal/>
    </border>
    <border>
      <left/>
      <right style="thin">
        <color indexed="23"/>
      </right>
      <top/>
      <bottom style="double">
        <color theme="3" tint="-0.24994659260841701"/>
      </bottom>
      <diagonal/>
    </border>
    <border>
      <left style="thin">
        <color indexed="23"/>
      </left>
      <right/>
      <top/>
      <bottom style="double">
        <color theme="3" tint="-0.24994659260841701"/>
      </bottom>
      <diagonal/>
    </border>
    <border>
      <left/>
      <right/>
      <top/>
      <bottom style="double">
        <color theme="3" tint="-0.24994659260841701"/>
      </bottom>
      <diagonal/>
    </border>
    <border>
      <left/>
      <right style="double">
        <color indexed="23"/>
      </right>
      <top/>
      <bottom style="double">
        <color theme="3" tint="-0.24994659260841701"/>
      </bottom>
      <diagonal/>
    </border>
    <border>
      <left style="double">
        <color indexed="23"/>
      </left>
      <right/>
      <top style="hair">
        <color indexed="23"/>
      </top>
      <bottom style="double">
        <color theme="3" tint="-0.24994659260841701"/>
      </bottom>
      <diagonal/>
    </border>
    <border>
      <left/>
      <right/>
      <top style="hair">
        <color indexed="23"/>
      </top>
      <bottom style="double">
        <color theme="3" tint="-0.24994659260841701"/>
      </bottom>
      <diagonal/>
    </border>
    <border>
      <left/>
      <right style="double">
        <color indexed="23"/>
      </right>
      <top style="hair">
        <color indexed="23"/>
      </top>
      <bottom style="double">
        <color theme="3" tint="-0.24994659260841701"/>
      </bottom>
      <diagonal/>
    </border>
    <border>
      <left style="double">
        <color indexed="23"/>
      </left>
      <right style="hair">
        <color indexed="23"/>
      </right>
      <top style="hair">
        <color indexed="23"/>
      </top>
      <bottom style="double">
        <color theme="3" tint="-0.24994659260841701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double">
        <color theme="3" tint="-0.24994659260841701"/>
      </bottom>
      <diagonal/>
    </border>
    <border>
      <left style="hair">
        <color indexed="23"/>
      </left>
      <right style="double">
        <color theme="3" tint="-0.24994659260841701"/>
      </right>
      <top style="hair">
        <color indexed="23"/>
      </top>
      <bottom style="double">
        <color theme="3" tint="-0.24994659260841701"/>
      </bottom>
      <diagonal/>
    </border>
    <border>
      <left style="double">
        <color theme="6" tint="-0.499984740745262"/>
      </left>
      <right/>
      <top style="double">
        <color theme="6" tint="-0.499984740745262"/>
      </top>
      <bottom/>
      <diagonal/>
    </border>
    <border>
      <left style="thin">
        <color indexed="23"/>
      </left>
      <right/>
      <top style="double">
        <color theme="6" tint="-0.499984740745262"/>
      </top>
      <bottom/>
      <diagonal/>
    </border>
    <border>
      <left/>
      <right style="thin">
        <color indexed="23"/>
      </right>
      <top style="double">
        <color theme="6" tint="-0.499984740745262"/>
      </top>
      <bottom/>
      <diagonal/>
    </border>
    <border>
      <left style="thin">
        <color indexed="23"/>
      </left>
      <right/>
      <top style="double">
        <color theme="6" tint="-0.499984740745262"/>
      </top>
      <bottom style="hair">
        <color indexed="23"/>
      </bottom>
      <diagonal/>
    </border>
    <border>
      <left/>
      <right/>
      <top style="double">
        <color theme="6" tint="-0.499984740745262"/>
      </top>
      <bottom style="hair">
        <color indexed="23"/>
      </bottom>
      <diagonal/>
    </border>
    <border>
      <left/>
      <right style="double">
        <color theme="6" tint="-0.499984740745262"/>
      </right>
      <top style="double">
        <color theme="6" tint="-0.499984740745262"/>
      </top>
      <bottom style="hair">
        <color indexed="23"/>
      </bottom>
      <diagonal/>
    </border>
    <border>
      <left style="double">
        <color theme="6" tint="-0.499984740745262"/>
      </left>
      <right/>
      <top/>
      <bottom/>
      <diagonal/>
    </border>
    <border>
      <left style="thin">
        <color indexed="23"/>
      </left>
      <right style="double">
        <color theme="6" tint="-0.499984740745262"/>
      </right>
      <top style="hair">
        <color indexed="23"/>
      </top>
      <bottom style="hair">
        <color indexed="23"/>
      </bottom>
      <diagonal/>
    </border>
    <border>
      <left/>
      <right style="thin">
        <color indexed="23"/>
      </right>
      <top style="hair">
        <color indexed="23"/>
      </top>
      <bottom/>
      <diagonal/>
    </border>
    <border>
      <left style="thin">
        <color indexed="23"/>
      </left>
      <right/>
      <top style="hair">
        <color indexed="23"/>
      </top>
      <bottom style="thin">
        <color indexed="23"/>
      </bottom>
      <diagonal/>
    </border>
    <border>
      <left/>
      <right/>
      <top style="hair">
        <color indexed="23"/>
      </top>
      <bottom style="thin">
        <color indexed="23"/>
      </bottom>
      <diagonal/>
    </border>
    <border>
      <left/>
      <right style="thin">
        <color indexed="23"/>
      </right>
      <top style="hair">
        <color indexed="23"/>
      </top>
      <bottom style="thin">
        <color indexed="23"/>
      </bottom>
      <diagonal/>
    </border>
    <border>
      <left style="thin">
        <color indexed="23"/>
      </left>
      <right style="double">
        <color theme="6" tint="-0.499984740745262"/>
      </right>
      <top style="hair">
        <color indexed="23"/>
      </top>
      <bottom/>
      <diagonal/>
    </border>
    <border>
      <left style="thin">
        <color indexed="23"/>
      </left>
      <right style="double">
        <color theme="6" tint="-0.499984740745262"/>
      </right>
      <top style="thin">
        <color indexed="23"/>
      </top>
      <bottom/>
      <diagonal/>
    </border>
    <border>
      <left style="thin">
        <color indexed="23"/>
      </left>
      <right/>
      <top style="hair">
        <color indexed="23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hair">
        <color indexed="23"/>
      </top>
      <bottom style="thin">
        <color indexed="23"/>
      </bottom>
      <diagonal/>
    </border>
    <border>
      <left style="thin">
        <color indexed="23"/>
      </left>
      <right style="double">
        <color theme="6" tint="-0.499984740745262"/>
      </right>
      <top style="hair">
        <color indexed="23"/>
      </top>
      <bottom style="thin">
        <color indexed="23"/>
      </bottom>
      <diagonal/>
    </border>
    <border>
      <left/>
      <right style="double">
        <color theme="6" tint="-0.499984740745262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hair">
        <color indexed="64"/>
      </bottom>
      <diagonal/>
    </border>
    <border>
      <left/>
      <right style="double">
        <color theme="6" tint="-0.499984740745262"/>
      </right>
      <top style="thin">
        <color indexed="23"/>
      </top>
      <bottom/>
      <diagonal/>
    </border>
    <border>
      <left style="thin">
        <color indexed="23"/>
      </left>
      <right/>
      <top/>
      <bottom style="hair">
        <color indexed="64"/>
      </bottom>
      <diagonal/>
    </border>
    <border>
      <left/>
      <right style="thin">
        <color indexed="23"/>
      </right>
      <top/>
      <bottom style="hair">
        <color indexed="64"/>
      </bottom>
      <diagonal/>
    </border>
    <border>
      <left style="thin">
        <color indexed="23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23"/>
      </right>
      <top style="hair">
        <color indexed="64"/>
      </top>
      <bottom style="hair">
        <color indexed="64"/>
      </bottom>
      <diagonal/>
    </border>
    <border>
      <left/>
      <right style="double">
        <color theme="6" tint="-0.499984740745262"/>
      </right>
      <top/>
      <bottom style="hair">
        <color indexed="64"/>
      </bottom>
      <diagonal/>
    </border>
    <border>
      <left style="thin">
        <color indexed="23"/>
      </left>
      <right/>
      <top/>
      <bottom style="hair">
        <color indexed="23"/>
      </bottom>
      <diagonal/>
    </border>
    <border>
      <left/>
      <right style="thin">
        <color indexed="23"/>
      </right>
      <top/>
      <bottom style="hair">
        <color indexed="23"/>
      </bottom>
      <diagonal/>
    </border>
    <border>
      <left/>
      <right style="thin">
        <color indexed="23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hair">
        <color indexed="64"/>
      </top>
      <bottom/>
      <diagonal/>
    </border>
    <border>
      <left style="thin">
        <color indexed="23"/>
      </left>
      <right/>
      <top style="hair">
        <color indexed="64"/>
      </top>
      <bottom style="thin">
        <color indexed="23"/>
      </bottom>
      <diagonal/>
    </border>
    <border>
      <left/>
      <right/>
      <top style="hair">
        <color indexed="64"/>
      </top>
      <bottom style="thin">
        <color indexed="23"/>
      </bottom>
      <diagonal/>
    </border>
    <border>
      <left/>
      <right style="thin">
        <color indexed="23"/>
      </right>
      <top style="hair">
        <color indexed="64"/>
      </top>
      <bottom style="thin">
        <color indexed="23"/>
      </bottom>
      <diagonal/>
    </border>
    <border>
      <left style="thin">
        <color indexed="23"/>
      </left>
      <right style="double">
        <color theme="6" tint="-0.499984740745262"/>
      </right>
      <top style="hair">
        <color indexed="64"/>
      </top>
      <bottom/>
      <diagonal/>
    </border>
    <border>
      <left style="thin">
        <color indexed="23"/>
      </left>
      <right/>
      <top style="hair">
        <color indexed="23"/>
      </top>
      <bottom/>
      <diagonal/>
    </border>
    <border>
      <left style="double">
        <color theme="6" tint="-0.499984740745262"/>
      </left>
      <right/>
      <top/>
      <bottom style="double">
        <color theme="6" tint="-0.499984740745262"/>
      </bottom>
      <diagonal/>
    </border>
    <border>
      <left style="thin">
        <color indexed="23"/>
      </left>
      <right/>
      <top style="hair">
        <color indexed="23"/>
      </top>
      <bottom style="double">
        <color theme="6" tint="-0.499984740745262"/>
      </bottom>
      <diagonal/>
    </border>
    <border>
      <left/>
      <right style="thin">
        <color indexed="23"/>
      </right>
      <top style="hair">
        <color indexed="23"/>
      </top>
      <bottom style="double">
        <color theme="6" tint="-0.499984740745262"/>
      </bottom>
      <diagonal/>
    </border>
    <border>
      <left style="thin">
        <color indexed="23"/>
      </left>
      <right style="thin">
        <color indexed="23"/>
      </right>
      <top style="hair">
        <color indexed="23"/>
      </top>
      <bottom style="double">
        <color theme="6" tint="-0.499984740745262"/>
      </bottom>
      <diagonal/>
    </border>
    <border>
      <left/>
      <right/>
      <top style="hair">
        <color indexed="23"/>
      </top>
      <bottom style="double">
        <color theme="6" tint="-0.499984740745262"/>
      </bottom>
      <diagonal/>
    </border>
    <border>
      <left style="thin">
        <color indexed="23"/>
      </left>
      <right style="double">
        <color theme="6" tint="-0.499984740745262"/>
      </right>
      <top style="hair">
        <color indexed="23"/>
      </top>
      <bottom style="double">
        <color theme="6" tint="-0.499984740745262"/>
      </bottom>
      <diagonal/>
    </border>
    <border>
      <left style="double">
        <color theme="5" tint="-0.499984740745262"/>
      </left>
      <right/>
      <top style="double">
        <color theme="5" tint="-0.499984740745262"/>
      </top>
      <bottom style="thin">
        <color indexed="23"/>
      </bottom>
      <diagonal/>
    </border>
    <border>
      <left style="thin">
        <color indexed="23"/>
      </left>
      <right/>
      <top style="double">
        <color theme="5" tint="-0.499984740745262"/>
      </top>
      <bottom style="thin">
        <color indexed="23"/>
      </bottom>
      <diagonal/>
    </border>
    <border>
      <left/>
      <right/>
      <top style="double">
        <color theme="5" tint="-0.499984740745262"/>
      </top>
      <bottom style="thin">
        <color indexed="23"/>
      </bottom>
      <diagonal/>
    </border>
    <border>
      <left style="thin">
        <color theme="0" tint="-0.499984740745262"/>
      </left>
      <right style="hair">
        <color theme="0" tint="-0.499984740745262"/>
      </right>
      <top style="double">
        <color theme="5" tint="-0.499984740745262"/>
      </top>
      <bottom style="thin">
        <color indexed="23"/>
      </bottom>
      <diagonal/>
    </border>
    <border>
      <left style="hair">
        <color theme="0" tint="-0.499984740745262"/>
      </left>
      <right style="hair">
        <color theme="0" tint="-0.499984740745262"/>
      </right>
      <top style="double">
        <color theme="5" tint="-0.499984740745262"/>
      </top>
      <bottom style="thin">
        <color indexed="23"/>
      </bottom>
      <diagonal/>
    </border>
    <border>
      <left style="hair">
        <color theme="0" tint="-0.499984740745262"/>
      </left>
      <right style="thin">
        <color theme="0" tint="-0.499984740745262"/>
      </right>
      <top style="double">
        <color theme="5" tint="-0.499984740745262"/>
      </top>
      <bottom style="thin">
        <color indexed="23"/>
      </bottom>
      <diagonal/>
    </border>
    <border>
      <left style="hair">
        <color indexed="23"/>
      </left>
      <right/>
      <top style="double">
        <color theme="5" tint="-0.499984740745262"/>
      </top>
      <bottom style="thin">
        <color indexed="23"/>
      </bottom>
      <diagonal/>
    </border>
    <border>
      <left/>
      <right style="double">
        <color theme="5" tint="-0.499984740745262"/>
      </right>
      <top style="double">
        <color theme="5" tint="-0.499984740745262"/>
      </top>
      <bottom style="thin">
        <color indexed="23"/>
      </bottom>
      <diagonal/>
    </border>
    <border>
      <left style="double">
        <color theme="5" tint="-0.499984740745262"/>
      </left>
      <right style="hair">
        <color indexed="23"/>
      </right>
      <top style="thin">
        <color indexed="23"/>
      </top>
      <bottom style="thin">
        <color indexed="23"/>
      </bottom>
      <diagonal/>
    </border>
    <border>
      <left/>
      <right style="hair">
        <color indexed="23"/>
      </right>
      <top style="thin">
        <color indexed="23"/>
      </top>
      <bottom style="thin">
        <color indexed="23"/>
      </bottom>
      <diagonal/>
    </border>
    <border>
      <left style="hair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indexed="23"/>
      </top>
      <bottom style="thin">
        <color indexed="23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23"/>
      </top>
      <bottom style="thin">
        <color indexed="23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double">
        <color theme="5" tint="-0.499984740745262"/>
      </right>
      <top style="thin">
        <color indexed="23"/>
      </top>
      <bottom style="thin">
        <color indexed="23"/>
      </bottom>
      <diagonal/>
    </border>
    <border>
      <left style="double">
        <color theme="5" tint="-0.499984740745262"/>
      </left>
      <right style="hair">
        <color indexed="23"/>
      </right>
      <top/>
      <bottom style="hair">
        <color indexed="23"/>
      </bottom>
      <diagonal/>
    </border>
    <border>
      <left style="hair">
        <color indexed="23"/>
      </left>
      <right/>
      <top style="thin">
        <color indexed="23"/>
      </top>
      <bottom style="hair">
        <color indexed="23"/>
      </bottom>
      <diagonal/>
    </border>
    <border>
      <left/>
      <right style="hair">
        <color indexed="23"/>
      </right>
      <top style="thin">
        <color indexed="23"/>
      </top>
      <bottom style="hair">
        <color indexed="23"/>
      </bottom>
      <diagonal/>
    </border>
    <border>
      <left style="thin">
        <color theme="0" tint="-0.499984740745262"/>
      </left>
      <right style="hair">
        <color theme="0" tint="-0.499984740745262"/>
      </right>
      <top/>
      <bottom style="hair">
        <color indexed="23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23"/>
      </top>
      <bottom style="hair">
        <color indexed="23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indexed="23"/>
      </top>
      <bottom style="hair">
        <color indexed="23"/>
      </bottom>
      <diagonal/>
    </border>
    <border>
      <left/>
      <right style="hair">
        <color indexed="23"/>
      </right>
      <top/>
      <bottom style="hair">
        <color indexed="23"/>
      </bottom>
      <diagonal/>
    </border>
    <border>
      <left style="hair">
        <color indexed="23"/>
      </left>
      <right/>
      <top/>
      <bottom style="hair">
        <color indexed="23"/>
      </bottom>
      <diagonal/>
    </border>
    <border>
      <left/>
      <right/>
      <top/>
      <bottom style="hair">
        <color indexed="23"/>
      </bottom>
      <diagonal/>
    </border>
    <border>
      <left style="hair">
        <color indexed="23"/>
      </left>
      <right style="thin">
        <color indexed="23"/>
      </right>
      <top/>
      <bottom style="hair">
        <color indexed="23"/>
      </bottom>
      <diagonal/>
    </border>
    <border>
      <left style="thin">
        <color indexed="23"/>
      </left>
      <right style="double">
        <color theme="5" tint="-0.499984740745262"/>
      </right>
      <top/>
      <bottom style="hair">
        <color indexed="23"/>
      </bottom>
      <diagonal/>
    </border>
    <border>
      <left style="double">
        <color theme="5" tint="-0.499984740745262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/>
      <top style="hair">
        <color indexed="23"/>
      </top>
      <bottom style="hair">
        <color indexed="23"/>
      </bottom>
      <diagonal/>
    </border>
    <border>
      <left/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indexed="23"/>
      </top>
      <bottom style="hair">
        <color indexed="23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indexed="23"/>
      </top>
      <bottom style="hair">
        <color indexed="23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double">
        <color theme="5" tint="-0.499984740745262"/>
      </right>
      <top style="hair">
        <color indexed="23"/>
      </top>
      <bottom style="hair">
        <color indexed="23"/>
      </bottom>
      <diagonal/>
    </border>
    <border>
      <left style="hair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double">
        <color theme="5" tint="-0.499984740745262"/>
      </right>
      <top style="thin">
        <color indexed="23"/>
      </top>
      <bottom style="thin">
        <color indexed="23"/>
      </bottom>
      <diagonal/>
    </border>
    <border>
      <left/>
      <right style="double">
        <color theme="5" tint="-0.499984740745262"/>
      </right>
      <top/>
      <bottom style="hair">
        <color indexed="23"/>
      </bottom>
      <diagonal/>
    </border>
    <border>
      <left style="hair">
        <color indexed="23"/>
      </left>
      <right/>
      <top style="hair">
        <color indexed="23"/>
      </top>
      <bottom/>
      <diagonal/>
    </border>
    <border>
      <left/>
      <right/>
      <top style="hair">
        <color indexed="23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indexed="23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hair">
        <color indexed="23"/>
      </top>
      <bottom/>
      <diagonal/>
    </border>
    <border>
      <left/>
      <right style="double">
        <color theme="5" tint="-0.499984740745262"/>
      </right>
      <top style="hair">
        <color indexed="23"/>
      </top>
      <bottom/>
      <diagonal/>
    </border>
    <border>
      <left/>
      <right style="double">
        <color theme="5" tint="-0.499984740745262"/>
      </right>
      <top style="hair">
        <color indexed="23"/>
      </top>
      <bottom style="hair">
        <color indexed="23"/>
      </bottom>
      <diagonal/>
    </border>
    <border>
      <left style="double">
        <color theme="5" tint="-0.499984740745262"/>
      </left>
      <right style="hair">
        <color indexed="23"/>
      </right>
      <top style="hair">
        <color indexed="23"/>
      </top>
      <bottom style="thin">
        <color indexed="23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indexed="23"/>
      </top>
      <bottom style="thin">
        <color indexed="23"/>
      </bottom>
      <diagonal/>
    </border>
    <border>
      <left style="hair">
        <color indexed="23"/>
      </left>
      <right/>
      <top style="hair">
        <color indexed="23"/>
      </top>
      <bottom style="thin">
        <color indexed="23"/>
      </bottom>
      <diagonal/>
    </border>
    <border>
      <left/>
      <right style="hair">
        <color indexed="23"/>
      </right>
      <top style="hair">
        <color indexed="23"/>
      </top>
      <bottom style="thin">
        <color indexed="23"/>
      </bottom>
      <diagonal/>
    </border>
    <border>
      <left style="hair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double">
        <color theme="5" tint="-0.499984740745262"/>
      </right>
      <top/>
      <bottom style="thin">
        <color indexed="23"/>
      </bottom>
      <diagonal/>
    </border>
    <border>
      <left style="double">
        <color theme="5" tint="-0.499984740745262"/>
      </left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 style="hair">
        <color indexed="23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indexed="23"/>
      </bottom>
      <diagonal/>
    </border>
    <border>
      <left style="hair">
        <color theme="0" tint="-0.499984740745262"/>
      </left>
      <right style="thin">
        <color theme="0" tint="-0.499984740745262"/>
      </right>
      <top/>
      <bottom style="hair">
        <color indexed="23"/>
      </bottom>
      <diagonal/>
    </border>
    <border>
      <left style="double">
        <color theme="5" tint="-0.499984740745262"/>
      </left>
      <right style="hair">
        <color indexed="23"/>
      </right>
      <top style="hair">
        <color indexed="23"/>
      </top>
      <bottom style="double">
        <color theme="5" tint="-0.499984740745262"/>
      </bottom>
      <diagonal/>
    </border>
    <border>
      <left style="hair">
        <color indexed="23"/>
      </left>
      <right/>
      <top style="hair">
        <color indexed="23"/>
      </top>
      <bottom style="double">
        <color theme="5" tint="-0.499984740745262"/>
      </bottom>
      <diagonal/>
    </border>
    <border>
      <left/>
      <right/>
      <top style="hair">
        <color indexed="23"/>
      </top>
      <bottom style="double">
        <color theme="5" tint="-0.499984740745262"/>
      </bottom>
      <diagonal/>
    </border>
    <border>
      <left/>
      <right style="hair">
        <color indexed="23"/>
      </right>
      <top style="hair">
        <color indexed="23"/>
      </top>
      <bottom style="double">
        <color theme="5" tint="-0.499984740745262"/>
      </bottom>
      <diagonal/>
    </border>
    <border>
      <left style="hair">
        <color indexed="23"/>
      </left>
      <right style="thin">
        <color indexed="23"/>
      </right>
      <top style="hair">
        <color indexed="23"/>
      </top>
      <bottom style="double">
        <color theme="5" tint="-0.499984740745262"/>
      </bottom>
      <diagonal/>
    </border>
    <border>
      <left style="thin">
        <color indexed="23"/>
      </left>
      <right/>
      <top style="hair">
        <color indexed="23"/>
      </top>
      <bottom style="double">
        <color theme="5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indexed="23"/>
      </top>
      <bottom style="double">
        <color theme="5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indexed="23"/>
      </top>
      <bottom style="double">
        <color theme="5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indexed="23"/>
      </top>
      <bottom style="double">
        <color theme="5" tint="-0.499984740745262"/>
      </bottom>
      <diagonal/>
    </border>
    <border>
      <left style="thin">
        <color indexed="23"/>
      </left>
      <right style="double">
        <color theme="5" tint="-0.499984740745262"/>
      </right>
      <top style="hair">
        <color indexed="23"/>
      </top>
      <bottom style="double">
        <color theme="5" tint="-0.49998474074526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23"/>
      </left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 style="thin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/>
      <top style="hair">
        <color indexed="23"/>
      </top>
      <bottom style="thin">
        <color indexed="23"/>
      </bottom>
      <diagonal/>
    </border>
    <border>
      <left/>
      <right/>
      <top style="hair">
        <color indexed="23"/>
      </top>
      <bottom style="thin">
        <color indexed="23"/>
      </bottom>
      <diagonal/>
    </border>
    <border>
      <left/>
      <right style="thin">
        <color indexed="23"/>
      </right>
      <top style="hair">
        <color indexed="23"/>
      </top>
      <bottom style="thin">
        <color indexed="23"/>
      </bottom>
      <diagonal/>
    </border>
    <border>
      <left/>
      <right style="double">
        <color theme="6" tint="-0.499984740745262"/>
      </right>
      <top style="hair">
        <color indexed="23"/>
      </top>
      <bottom style="hair">
        <color indexed="23"/>
      </bottom>
      <diagonal/>
    </border>
  </borders>
  <cellStyleXfs count="32">
    <xf numFmtId="0" fontId="0" fillId="0" borderId="0"/>
    <xf numFmtId="43" fontId="10" fillId="0" borderId="0" applyBorder="0" applyAlignment="0" applyProtection="0"/>
    <xf numFmtId="171" fontId="104" fillId="0" borderId="0"/>
    <xf numFmtId="9" fontId="104" fillId="0" borderId="0"/>
    <xf numFmtId="164" fontId="13" fillId="0" borderId="0" xfId="0" applyNumberFormat="1" applyFont="1" applyAlignment="1">
      <alignment vertical="center"/>
    </xf>
    <xf numFmtId="0" fontId="11" fillId="0" borderId="0"/>
    <xf numFmtId="0" fontId="9" fillId="0" borderId="0"/>
    <xf numFmtId="43" fontId="9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4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0" fillId="0" borderId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</cellStyleXfs>
  <cellXfs count="3153"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164" fontId="13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Border="1" applyAlignment="1">
      <alignment horizontal="left" vertical="center"/>
    </xf>
    <xf numFmtId="164" fontId="17" fillId="0" borderId="0" xfId="0" applyNumberFormat="1" applyFont="1" applyBorder="1" applyAlignment="1">
      <alignment horizontal="left" vertical="center"/>
    </xf>
    <xf numFmtId="14" fontId="18" fillId="0" borderId="1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right" vertical="center"/>
    </xf>
    <xf numFmtId="14" fontId="13" fillId="0" borderId="0" xfId="0" applyNumberFormat="1" applyFont="1" applyAlignment="1">
      <alignment vertical="center"/>
    </xf>
    <xf numFmtId="0" fontId="13" fillId="0" borderId="0" xfId="0" applyFont="1" applyBorder="1" applyAlignment="1" applyProtection="1">
      <alignment vertical="center"/>
    </xf>
    <xf numFmtId="14" fontId="13" fillId="0" borderId="0" xfId="0" applyNumberFormat="1" applyFont="1" applyAlignment="1">
      <alignment horizontal="left" vertical="center"/>
    </xf>
    <xf numFmtId="164" fontId="17" fillId="0" borderId="1" xfId="0" applyNumberFormat="1" applyFont="1" applyBorder="1" applyAlignment="1">
      <alignment horizontal="center" vertical="center"/>
    </xf>
    <xf numFmtId="164" fontId="19" fillId="0" borderId="2" xfId="0" applyNumberFormat="1" applyFont="1" applyBorder="1" applyAlignment="1">
      <alignment horizontal="right" vertical="center"/>
    </xf>
    <xf numFmtId="0" fontId="20" fillId="0" borderId="0" xfId="0" applyFont="1" applyBorder="1" applyAlignment="1">
      <alignment horizontal="left" vertical="center"/>
    </xf>
    <xf numFmtId="164" fontId="16" fillId="0" borderId="0" xfId="0" applyNumberFormat="1" applyFont="1" applyBorder="1" applyAlignment="1">
      <alignment horizontal="center" vertical="center"/>
    </xf>
    <xf numFmtId="164" fontId="16" fillId="0" borderId="0" xfId="0" applyNumberFormat="1" applyFont="1" applyBorder="1" applyAlignment="1">
      <alignment vertical="center"/>
    </xf>
    <xf numFmtId="0" fontId="16" fillId="0" borderId="0" xfId="0" applyFont="1" applyAlignment="1">
      <alignment vertical="center"/>
    </xf>
    <xf numFmtId="164" fontId="21" fillId="0" borderId="7" xfId="0" applyNumberFormat="1" applyFont="1" applyBorder="1" applyAlignment="1">
      <alignment horizontal="center" vertical="center"/>
    </xf>
    <xf numFmtId="164" fontId="21" fillId="0" borderId="8" xfId="0" applyNumberFormat="1" applyFont="1" applyBorder="1" applyAlignment="1">
      <alignment horizontal="center" vertical="center"/>
    </xf>
    <xf numFmtId="164" fontId="21" fillId="2" borderId="8" xfId="0" applyNumberFormat="1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164" fontId="13" fillId="0" borderId="10" xfId="0" applyNumberFormat="1" applyFont="1" applyBorder="1" applyAlignment="1">
      <alignment horizontal="center" vertical="center" wrapText="1"/>
    </xf>
    <xf numFmtId="164" fontId="13" fillId="0" borderId="10" xfId="0" applyNumberFormat="1" applyFont="1" applyBorder="1" applyAlignment="1">
      <alignment horizontal="center" vertical="center"/>
    </xf>
    <xf numFmtId="164" fontId="13" fillId="2" borderId="10" xfId="0" applyNumberFormat="1" applyFont="1" applyFill="1" applyBorder="1" applyAlignment="1">
      <alignment horizontal="center" vertical="center"/>
    </xf>
    <xf numFmtId="164" fontId="13" fillId="2" borderId="11" xfId="0" applyNumberFormat="1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left" vertical="center"/>
    </xf>
    <xf numFmtId="165" fontId="13" fillId="0" borderId="13" xfId="0" applyNumberFormat="1" applyFont="1" applyBorder="1" applyAlignment="1">
      <alignment horizontal="center" vertical="center"/>
    </xf>
    <xf numFmtId="164" fontId="21" fillId="0" borderId="13" xfId="0" applyNumberFormat="1" applyFont="1" applyBorder="1" applyAlignment="1" applyProtection="1">
      <alignment horizontal="center" vertical="center"/>
    </xf>
    <xf numFmtId="164" fontId="14" fillId="0" borderId="13" xfId="0" applyNumberFormat="1" applyFont="1" applyBorder="1" applyAlignment="1" applyProtection="1">
      <alignment horizontal="center" vertical="center"/>
    </xf>
    <xf numFmtId="164" fontId="22" fillId="2" borderId="13" xfId="0" applyNumberFormat="1" applyFont="1" applyFill="1" applyBorder="1" applyAlignment="1" applyProtection="1">
      <alignment horizontal="center" vertical="center"/>
    </xf>
    <xf numFmtId="164" fontId="23" fillId="2" borderId="14" xfId="0" applyNumberFormat="1" applyFont="1" applyFill="1" applyBorder="1" applyAlignment="1" applyProtection="1">
      <alignment horizontal="center" vertical="center"/>
    </xf>
    <xf numFmtId="0" fontId="17" fillId="0" borderId="15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left" vertical="center"/>
    </xf>
    <xf numFmtId="165" fontId="13" fillId="0" borderId="16" xfId="0" applyNumberFormat="1" applyFont="1" applyBorder="1" applyAlignment="1">
      <alignment horizontal="center" vertical="center"/>
    </xf>
    <xf numFmtId="164" fontId="21" fillId="0" borderId="16" xfId="0" applyNumberFormat="1" applyFont="1" applyBorder="1" applyAlignment="1" applyProtection="1">
      <alignment horizontal="center" vertical="center"/>
    </xf>
    <xf numFmtId="164" fontId="14" fillId="0" borderId="16" xfId="0" applyNumberFormat="1" applyFont="1" applyBorder="1" applyAlignment="1" applyProtection="1">
      <alignment horizontal="center" vertical="center"/>
    </xf>
    <xf numFmtId="164" fontId="22" fillId="2" borderId="16" xfId="0" applyNumberFormat="1" applyFont="1" applyFill="1" applyBorder="1" applyAlignment="1" applyProtection="1">
      <alignment horizontal="center" vertical="center"/>
    </xf>
    <xf numFmtId="164" fontId="23" fillId="2" borderId="17" xfId="0" applyNumberFormat="1" applyFont="1" applyFill="1" applyBorder="1" applyAlignment="1" applyProtection="1">
      <alignment horizontal="center" vertical="center"/>
    </xf>
    <xf numFmtId="0" fontId="14" fillId="0" borderId="16" xfId="0" applyFont="1" applyBorder="1" applyAlignment="1" applyProtection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/>
    </xf>
    <xf numFmtId="2" fontId="21" fillId="0" borderId="16" xfId="0" applyNumberFormat="1" applyFont="1" applyBorder="1" applyAlignment="1" applyProtection="1">
      <alignment horizontal="center" vertical="center"/>
    </xf>
    <xf numFmtId="2" fontId="25" fillId="2" borderId="16" xfId="0" applyNumberFormat="1" applyFont="1" applyFill="1" applyBorder="1" applyAlignment="1" applyProtection="1">
      <alignment horizontal="center" vertical="center"/>
    </xf>
    <xf numFmtId="2" fontId="26" fillId="2" borderId="17" xfId="0" applyNumberFormat="1" applyFont="1" applyFill="1" applyBorder="1" applyAlignment="1" applyProtection="1">
      <alignment horizontal="center" vertical="center"/>
    </xf>
    <xf numFmtId="2" fontId="13" fillId="0" borderId="0" xfId="0" applyNumberFormat="1" applyFont="1" applyAlignment="1">
      <alignment vertical="center"/>
    </xf>
    <xf numFmtId="166" fontId="13" fillId="0" borderId="0" xfId="0" applyNumberFormat="1" applyFont="1" applyAlignment="1">
      <alignment vertical="center"/>
    </xf>
    <xf numFmtId="0" fontId="13" fillId="0" borderId="16" xfId="0" applyFont="1" applyBorder="1" applyAlignment="1">
      <alignment horizontal="center" vertical="center" wrapText="1"/>
    </xf>
    <xf numFmtId="2" fontId="21" fillId="0" borderId="16" xfId="0" applyNumberFormat="1" applyFont="1" applyBorder="1" applyAlignment="1" applyProtection="1">
      <alignment horizontal="center" vertical="center" wrapText="1"/>
    </xf>
    <xf numFmtId="2" fontId="26" fillId="3" borderId="17" xfId="0" applyNumberFormat="1" applyFont="1" applyFill="1" applyBorder="1" applyAlignment="1" applyProtection="1">
      <alignment horizontal="center" vertical="center"/>
    </xf>
    <xf numFmtId="2" fontId="14" fillId="0" borderId="16" xfId="0" applyNumberFormat="1" applyFont="1" applyBorder="1" applyAlignment="1" applyProtection="1">
      <alignment horizontal="center" vertical="center"/>
    </xf>
    <xf numFmtId="2" fontId="22" fillId="2" borderId="16" xfId="0" applyNumberFormat="1" applyFont="1" applyFill="1" applyBorder="1" applyAlignment="1" applyProtection="1">
      <alignment horizontal="center" vertical="center"/>
    </xf>
    <xf numFmtId="2" fontId="23" fillId="2" borderId="17" xfId="0" applyNumberFormat="1" applyFont="1" applyFill="1" applyBorder="1" applyAlignment="1" applyProtection="1">
      <alignment horizontal="center" vertical="center"/>
    </xf>
    <xf numFmtId="165" fontId="13" fillId="0" borderId="0" xfId="0" applyNumberFormat="1" applyFont="1" applyAlignment="1">
      <alignment vertical="center"/>
    </xf>
    <xf numFmtId="0" fontId="13" fillId="0" borderId="9" xfId="0" applyFont="1" applyBorder="1" applyAlignment="1">
      <alignment horizontal="center" vertical="center" wrapText="1"/>
    </xf>
    <xf numFmtId="2" fontId="21" fillId="0" borderId="10" xfId="0" applyNumberFormat="1" applyFont="1" applyBorder="1" applyAlignment="1" applyProtection="1">
      <alignment horizontal="center" vertical="center"/>
    </xf>
    <xf numFmtId="2" fontId="25" fillId="2" borderId="10" xfId="0" applyNumberFormat="1" applyFont="1" applyFill="1" applyBorder="1" applyAlignment="1" applyProtection="1">
      <alignment horizontal="center" vertical="center"/>
    </xf>
    <xf numFmtId="2" fontId="26" fillId="2" borderId="11" xfId="0" applyNumberFormat="1" applyFont="1" applyFill="1" applyBorder="1" applyAlignment="1" applyProtection="1">
      <alignment horizontal="center" vertical="center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/>
    </xf>
    <xf numFmtId="2" fontId="21" fillId="0" borderId="13" xfId="0" applyNumberFormat="1" applyFont="1" applyBorder="1" applyAlignment="1" applyProtection="1">
      <alignment horizontal="center" vertical="center"/>
    </xf>
    <xf numFmtId="2" fontId="25" fillId="2" borderId="13" xfId="0" applyNumberFormat="1" applyFont="1" applyFill="1" applyBorder="1" applyAlignment="1" applyProtection="1">
      <alignment horizontal="center" vertical="center"/>
    </xf>
    <xf numFmtId="2" fontId="26" fillId="2" borderId="14" xfId="0" applyNumberFormat="1" applyFont="1" applyFill="1" applyBorder="1" applyAlignment="1" applyProtection="1">
      <alignment horizontal="center" vertical="center"/>
    </xf>
    <xf numFmtId="2" fontId="13" fillId="0" borderId="16" xfId="0" applyNumberFormat="1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/>
    </xf>
    <xf numFmtId="2" fontId="21" fillId="0" borderId="7" xfId="0" applyNumberFormat="1" applyFont="1" applyBorder="1" applyAlignment="1" applyProtection="1">
      <alignment horizontal="center" vertical="center"/>
    </xf>
    <xf numFmtId="2" fontId="25" fillId="2" borderId="7" xfId="0" applyNumberFormat="1" applyFont="1" applyFill="1" applyBorder="1" applyAlignment="1" applyProtection="1">
      <alignment horizontal="center" vertical="center"/>
    </xf>
    <xf numFmtId="2" fontId="26" fillId="2" borderId="19" xfId="0" applyNumberFormat="1" applyFont="1" applyFill="1" applyBorder="1" applyAlignment="1" applyProtection="1">
      <alignment horizontal="center" vertical="center"/>
    </xf>
    <xf numFmtId="0" fontId="13" fillId="0" borderId="12" xfId="0" applyFont="1" applyBorder="1" applyAlignment="1">
      <alignment horizontal="center" vertical="center"/>
    </xf>
    <xf numFmtId="2" fontId="26" fillId="2" borderId="20" xfId="0" applyNumberFormat="1" applyFont="1" applyFill="1" applyBorder="1" applyAlignment="1" applyProtection="1">
      <alignment horizontal="center" vertical="center"/>
    </xf>
    <xf numFmtId="2" fontId="23" fillId="2" borderId="11" xfId="0" applyNumberFormat="1" applyFont="1" applyFill="1" applyBorder="1" applyAlignment="1" applyProtection="1">
      <alignment horizontal="center" vertical="center"/>
    </xf>
    <xf numFmtId="2" fontId="17" fillId="0" borderId="15" xfId="0" applyNumberFormat="1" applyFont="1" applyBorder="1" applyAlignment="1">
      <alignment horizontal="center" vertical="center" wrapText="1"/>
    </xf>
    <xf numFmtId="0" fontId="13" fillId="0" borderId="21" xfId="0" applyFont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164" fontId="13" fillId="0" borderId="22" xfId="0" applyNumberFormat="1" applyFont="1" applyBorder="1" applyAlignment="1" applyProtection="1">
      <alignment horizontal="center" vertical="center"/>
    </xf>
    <xf numFmtId="0" fontId="28" fillId="4" borderId="0" xfId="0" applyFont="1" applyFill="1" applyBorder="1"/>
    <xf numFmtId="0" fontId="11" fillId="0" borderId="0" xfId="0" applyFont="1" applyBorder="1"/>
    <xf numFmtId="0" fontId="36" fillId="4" borderId="0" xfId="0" applyFont="1" applyFill="1" applyBorder="1"/>
    <xf numFmtId="0" fontId="11" fillId="0" borderId="0" xfId="0" applyFont="1"/>
    <xf numFmtId="165" fontId="37" fillId="0" borderId="0" xfId="4" applyNumberFormat="1" applyFont="1" applyFill="1" applyBorder="1" applyAlignment="1" applyProtection="1"/>
    <xf numFmtId="165" fontId="38" fillId="5" borderId="0" xfId="4" applyNumberFormat="1" applyFont="1" applyFill="1" applyBorder="1" applyAlignment="1" applyProtection="1"/>
    <xf numFmtId="165" fontId="38" fillId="0" borderId="0" xfId="4" applyNumberFormat="1" applyFont="1" applyFill="1" applyBorder="1" applyAlignment="1" applyProtection="1"/>
    <xf numFmtId="165" fontId="37" fillId="0" borderId="0" xfId="4" applyNumberFormat="1" applyFont="1" applyFill="1" applyBorder="1" applyAlignment="1" applyProtection="1">
      <alignment horizontal="center"/>
    </xf>
    <xf numFmtId="0" fontId="39" fillId="0" borderId="0" xfId="0" applyFont="1"/>
    <xf numFmtId="0" fontId="39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37" fillId="0" borderId="0" xfId="0" applyFont="1"/>
    <xf numFmtId="0" fontId="43" fillId="0" borderId="0" xfId="0" applyFont="1"/>
    <xf numFmtId="0" fontId="44" fillId="0" borderId="0" xfId="0" applyFont="1"/>
    <xf numFmtId="165" fontId="44" fillId="4" borderId="54" xfId="4" applyNumberFormat="1" applyFont="1" applyFill="1" applyBorder="1" applyAlignment="1" applyProtection="1">
      <alignment horizontal="center"/>
    </xf>
    <xf numFmtId="0" fontId="39" fillId="6" borderId="0" xfId="0" applyFont="1" applyFill="1"/>
    <xf numFmtId="0" fontId="39" fillId="6" borderId="0" xfId="0" applyFont="1" applyFill="1" applyAlignment="1">
      <alignment horizontal="center" vertical="center"/>
    </xf>
    <xf numFmtId="0" fontId="44" fillId="6" borderId="0" xfId="0" applyFont="1" applyFill="1"/>
    <xf numFmtId="165" fontId="44" fillId="4" borderId="25" xfId="4" applyNumberFormat="1" applyFont="1" applyFill="1" applyBorder="1" applyAlignment="1" applyProtection="1">
      <alignment horizontal="right"/>
    </xf>
    <xf numFmtId="0" fontId="39" fillId="4" borderId="0" xfId="0" applyFont="1" applyFill="1"/>
    <xf numFmtId="0" fontId="44" fillId="4" borderId="0" xfId="0" applyFont="1" applyFill="1"/>
    <xf numFmtId="164" fontId="39" fillId="3" borderId="0" xfId="0" applyNumberFormat="1" applyFont="1" applyFill="1"/>
    <xf numFmtId="164" fontId="41" fillId="3" borderId="0" xfId="0" applyNumberFormat="1" applyFont="1" applyFill="1"/>
    <xf numFmtId="0" fontId="39" fillId="0" borderId="0" xfId="0" applyFont="1" applyAlignment="1"/>
    <xf numFmtId="0" fontId="46" fillId="0" borderId="0" xfId="0" applyFont="1" applyAlignment="1"/>
    <xf numFmtId="0" fontId="39" fillId="3" borderId="0" xfId="0" applyFont="1" applyFill="1"/>
    <xf numFmtId="164" fontId="38" fillId="3" borderId="0" xfId="0" applyNumberFormat="1" applyFont="1" applyFill="1"/>
    <xf numFmtId="0" fontId="43" fillId="4" borderId="0" xfId="0" applyFont="1" applyFill="1"/>
    <xf numFmtId="0" fontId="47" fillId="4" borderId="0" xfId="0" applyFont="1" applyFill="1"/>
    <xf numFmtId="0" fontId="38" fillId="0" borderId="0" xfId="0" applyFont="1"/>
    <xf numFmtId="164" fontId="39" fillId="11" borderId="0" xfId="0" applyNumberFormat="1" applyFont="1" applyFill="1"/>
    <xf numFmtId="164" fontId="38" fillId="11" borderId="0" xfId="0" applyNumberFormat="1" applyFont="1" applyFill="1"/>
    <xf numFmtId="164" fontId="39" fillId="6" borderId="0" xfId="0" applyNumberFormat="1" applyFont="1" applyFill="1"/>
    <xf numFmtId="164" fontId="41" fillId="6" borderId="0" xfId="0" applyNumberFormat="1" applyFont="1" applyFill="1"/>
    <xf numFmtId="0" fontId="39" fillId="5" borderId="0" xfId="0" applyFont="1" applyFill="1"/>
    <xf numFmtId="0" fontId="44" fillId="5" borderId="0" xfId="0" applyFont="1" applyFill="1"/>
    <xf numFmtId="165" fontId="46" fillId="4" borderId="0" xfId="0" applyNumberFormat="1" applyFont="1" applyFill="1"/>
    <xf numFmtId="0" fontId="39" fillId="0" borderId="0" xfId="0" applyFont="1" applyBorder="1"/>
    <xf numFmtId="0" fontId="44" fillId="0" borderId="0" xfId="0" applyFont="1" applyBorder="1"/>
    <xf numFmtId="164" fontId="39" fillId="3" borderId="0" xfId="0" applyNumberFormat="1" applyFont="1" applyFill="1" applyBorder="1"/>
    <xf numFmtId="164" fontId="41" fillId="3" borderId="0" xfId="0" applyNumberFormat="1" applyFont="1" applyFill="1" applyBorder="1"/>
    <xf numFmtId="169" fontId="39" fillId="0" borderId="0" xfId="0" applyNumberFormat="1" applyFont="1" applyBorder="1"/>
    <xf numFmtId="0" fontId="44" fillId="3" borderId="0" xfId="0" applyFont="1" applyFill="1"/>
    <xf numFmtId="0" fontId="48" fillId="0" borderId="0" xfId="0" applyFont="1"/>
    <xf numFmtId="165" fontId="49" fillId="4" borderId="54" xfId="4" applyNumberFormat="1" applyFont="1" applyFill="1" applyBorder="1" applyAlignment="1" applyProtection="1">
      <alignment horizontal="center"/>
    </xf>
    <xf numFmtId="0" fontId="11" fillId="4" borderId="0" xfId="0" applyFont="1" applyFill="1"/>
    <xf numFmtId="165" fontId="11" fillId="4" borderId="0" xfId="4" applyNumberFormat="1" applyFont="1" applyFill="1" applyBorder="1" applyAlignment="1" applyProtection="1">
      <alignment horizontal="center"/>
    </xf>
    <xf numFmtId="165" fontId="11" fillId="5" borderId="0" xfId="4" applyNumberFormat="1" applyFont="1" applyFill="1" applyBorder="1" applyAlignment="1" applyProtection="1">
      <alignment horizontal="center"/>
    </xf>
    <xf numFmtId="3" fontId="11" fillId="4" borderId="0" xfId="0" applyNumberFormat="1" applyFont="1" applyFill="1"/>
    <xf numFmtId="165" fontId="51" fillId="4" borderId="0" xfId="4" applyNumberFormat="1" applyFont="1" applyFill="1" applyBorder="1" applyAlignment="1" applyProtection="1">
      <alignment horizontal="center"/>
    </xf>
    <xf numFmtId="165" fontId="52" fillId="4" borderId="0" xfId="4" applyNumberFormat="1" applyFont="1" applyFill="1" applyBorder="1" applyAlignment="1" applyProtection="1">
      <alignment horizontal="center"/>
    </xf>
    <xf numFmtId="170" fontId="52" fillId="4" borderId="0" xfId="0" applyNumberFormat="1" applyFont="1" applyFill="1" applyAlignment="1">
      <alignment horizontal="center"/>
    </xf>
    <xf numFmtId="1" fontId="53" fillId="4" borderId="0" xfId="0" applyNumberFormat="1" applyFont="1" applyFill="1" applyAlignment="1">
      <alignment horizontal="center"/>
    </xf>
    <xf numFmtId="0" fontId="53" fillId="4" borderId="0" xfId="0" applyFont="1" applyFill="1"/>
    <xf numFmtId="165" fontId="54" fillId="4" borderId="0" xfId="4" applyNumberFormat="1" applyFont="1" applyFill="1" applyBorder="1" applyAlignment="1" applyProtection="1"/>
    <xf numFmtId="165" fontId="55" fillId="4" borderId="0" xfId="4" applyNumberFormat="1" applyFont="1" applyFill="1" applyBorder="1" applyAlignment="1" applyProtection="1">
      <alignment horizontal="center"/>
    </xf>
    <xf numFmtId="170" fontId="55" fillId="4" borderId="0" xfId="0" applyNumberFormat="1" applyFont="1" applyFill="1" applyAlignment="1">
      <alignment horizontal="center"/>
    </xf>
    <xf numFmtId="165" fontId="56" fillId="4" borderId="0" xfId="4" applyNumberFormat="1" applyFont="1" applyFill="1" applyBorder="1" applyAlignment="1" applyProtection="1">
      <alignment horizontal="center"/>
    </xf>
    <xf numFmtId="165" fontId="57" fillId="4" borderId="0" xfId="4" applyNumberFormat="1" applyFont="1" applyFill="1" applyBorder="1" applyAlignment="1" applyProtection="1"/>
    <xf numFmtId="14" fontId="58" fillId="0" borderId="0" xfId="4" applyNumberFormat="1" applyFont="1" applyFill="1" applyBorder="1" applyAlignment="1" applyProtection="1">
      <alignment horizontal="center" wrapText="1"/>
    </xf>
    <xf numFmtId="165" fontId="59" fillId="4" borderId="0" xfId="4" applyNumberFormat="1" applyFont="1" applyFill="1" applyBorder="1" applyAlignment="1" applyProtection="1">
      <alignment horizontal="center" wrapText="1"/>
    </xf>
    <xf numFmtId="165" fontId="60" fillId="4" borderId="0" xfId="4" applyNumberFormat="1" applyFont="1" applyFill="1" applyBorder="1" applyAlignment="1" applyProtection="1">
      <alignment horizontal="center" wrapText="1"/>
    </xf>
    <xf numFmtId="165" fontId="59" fillId="4" borderId="0" xfId="4" applyNumberFormat="1" applyFont="1" applyFill="1" applyBorder="1" applyAlignment="1" applyProtection="1">
      <alignment horizontal="center"/>
    </xf>
    <xf numFmtId="170" fontId="59" fillId="4" borderId="0" xfId="0" applyNumberFormat="1" applyFont="1" applyFill="1" applyAlignment="1">
      <alignment horizontal="center"/>
    </xf>
    <xf numFmtId="165" fontId="53" fillId="4" borderId="0" xfId="0" applyNumberFormat="1" applyFont="1" applyFill="1"/>
    <xf numFmtId="165" fontId="53" fillId="4" borderId="0" xfId="4" applyNumberFormat="1" applyFont="1" applyFill="1" applyBorder="1" applyAlignment="1" applyProtection="1">
      <alignment horizontal="center"/>
    </xf>
    <xf numFmtId="165" fontId="53" fillId="0" borderId="0" xfId="4" applyNumberFormat="1" applyFont="1" applyFill="1" applyBorder="1" applyAlignment="1" applyProtection="1">
      <alignment horizontal="center"/>
    </xf>
    <xf numFmtId="3" fontId="53" fillId="4" borderId="0" xfId="0" applyNumberFormat="1" applyFont="1" applyFill="1" applyAlignment="1">
      <alignment horizontal="center"/>
    </xf>
    <xf numFmtId="170" fontId="53" fillId="4" borderId="0" xfId="0" applyNumberFormat="1" applyFont="1" applyFill="1" applyAlignment="1">
      <alignment horizontal="center"/>
    </xf>
    <xf numFmtId="0" fontId="58" fillId="4" borderId="74" xfId="0" applyFont="1" applyFill="1" applyBorder="1" applyAlignment="1">
      <alignment horizontal="center" vertical="center"/>
    </xf>
    <xf numFmtId="0" fontId="58" fillId="4" borderId="76" xfId="0" applyFont="1" applyFill="1" applyBorder="1" applyAlignment="1">
      <alignment horizontal="center" vertical="center"/>
    </xf>
    <xf numFmtId="3" fontId="61" fillId="4" borderId="64" xfId="0" applyNumberFormat="1" applyFont="1" applyFill="1" applyBorder="1" applyAlignment="1">
      <alignment horizontal="center" vertical="center"/>
    </xf>
    <xf numFmtId="0" fontId="61" fillId="4" borderId="64" xfId="0" applyFont="1" applyFill="1" applyBorder="1" applyAlignment="1">
      <alignment horizontal="center" vertical="center"/>
    </xf>
    <xf numFmtId="0" fontId="61" fillId="4" borderId="72" xfId="0" applyFont="1" applyFill="1" applyBorder="1" applyAlignment="1">
      <alignment horizontal="center" vertical="center"/>
    </xf>
    <xf numFmtId="0" fontId="63" fillId="4" borderId="59" xfId="0" applyFont="1" applyFill="1" applyBorder="1" applyAlignment="1"/>
    <xf numFmtId="165" fontId="63" fillId="4" borderId="59" xfId="4" applyNumberFormat="1" applyFont="1" applyFill="1" applyBorder="1" applyAlignment="1" applyProtection="1">
      <alignment horizontal="center"/>
    </xf>
    <xf numFmtId="165" fontId="63" fillId="0" borderId="59" xfId="4" applyNumberFormat="1" applyFont="1" applyFill="1" applyBorder="1" applyAlignment="1" applyProtection="1">
      <alignment horizontal="center"/>
    </xf>
    <xf numFmtId="4" fontId="64" fillId="4" borderId="66" xfId="0" applyNumberFormat="1" applyFont="1" applyFill="1" applyBorder="1" applyAlignment="1">
      <alignment horizontal="center"/>
    </xf>
    <xf numFmtId="170" fontId="53" fillId="4" borderId="71" xfId="0" applyNumberFormat="1" applyFont="1" applyFill="1" applyBorder="1" applyAlignment="1">
      <alignment horizontal="center"/>
    </xf>
    <xf numFmtId="3" fontId="53" fillId="4" borderId="78" xfId="0" applyNumberFormat="1" applyFont="1" applyFill="1" applyBorder="1" applyAlignment="1">
      <alignment horizontal="center"/>
    </xf>
    <xf numFmtId="170" fontId="53" fillId="4" borderId="79" xfId="0" applyNumberFormat="1" applyFont="1" applyFill="1" applyBorder="1" applyAlignment="1">
      <alignment horizontal="center"/>
    </xf>
    <xf numFmtId="0" fontId="64" fillId="4" borderId="24" xfId="0" applyFont="1" applyFill="1" applyBorder="1" applyAlignment="1">
      <alignment horizontal="center"/>
    </xf>
    <xf numFmtId="165" fontId="64" fillId="4" borderId="25" xfId="0" applyNumberFormat="1" applyFont="1" applyFill="1" applyBorder="1" applyAlignment="1">
      <alignment horizontal="center"/>
    </xf>
    <xf numFmtId="165" fontId="64" fillId="0" borderId="25" xfId="4" applyNumberFormat="1" applyFont="1" applyFill="1" applyBorder="1" applyAlignment="1" applyProtection="1"/>
    <xf numFmtId="4" fontId="64" fillId="6" borderId="67" xfId="0" applyNumberFormat="1" applyFont="1" applyFill="1" applyBorder="1" applyAlignment="1">
      <alignment horizontal="center"/>
    </xf>
    <xf numFmtId="165" fontId="65" fillId="4" borderId="80" xfId="4" applyNumberFormat="1" applyFont="1" applyFill="1" applyBorder="1" applyAlignment="1" applyProtection="1">
      <alignment horizontal="center"/>
    </xf>
    <xf numFmtId="4" fontId="65" fillId="6" borderId="67" xfId="4" applyNumberFormat="1" applyFont="1" applyFill="1" applyBorder="1" applyAlignment="1" applyProtection="1">
      <alignment horizontal="center"/>
    </xf>
    <xf numFmtId="165" fontId="65" fillId="4" borderId="81" xfId="4" applyNumberFormat="1" applyFont="1" applyFill="1" applyBorder="1" applyAlignment="1" applyProtection="1">
      <alignment horizontal="center"/>
    </xf>
    <xf numFmtId="0" fontId="64" fillId="4" borderId="25" xfId="0" applyFont="1" applyFill="1" applyBorder="1" applyAlignment="1">
      <alignment horizontal="center"/>
    </xf>
    <xf numFmtId="165" fontId="64" fillId="4" borderId="25" xfId="4" applyNumberFormat="1" applyFont="1" applyFill="1" applyBorder="1" applyAlignment="1" applyProtection="1"/>
    <xf numFmtId="165" fontId="64" fillId="5" borderId="25" xfId="4" applyNumberFormat="1" applyFont="1" applyFill="1" applyBorder="1" applyAlignment="1" applyProtection="1"/>
    <xf numFmtId="165" fontId="65" fillId="0" borderId="80" xfId="4" applyNumberFormat="1" applyFont="1" applyFill="1" applyBorder="1" applyAlignment="1" applyProtection="1">
      <alignment horizontal="center"/>
    </xf>
    <xf numFmtId="4" fontId="65" fillId="0" borderId="67" xfId="4" applyNumberFormat="1" applyFont="1" applyFill="1" applyBorder="1" applyAlignment="1" applyProtection="1">
      <alignment horizontal="center"/>
    </xf>
    <xf numFmtId="165" fontId="65" fillId="0" borderId="81" xfId="4" applyNumberFormat="1" applyFont="1" applyFill="1" applyBorder="1" applyAlignment="1" applyProtection="1">
      <alignment horizontal="center"/>
    </xf>
    <xf numFmtId="165" fontId="63" fillId="4" borderId="25" xfId="4" applyNumberFormat="1" applyFont="1" applyFill="1" applyBorder="1" applyAlignment="1" applyProtection="1">
      <alignment horizontal="center"/>
    </xf>
    <xf numFmtId="165" fontId="63" fillId="0" borderId="25" xfId="4" applyNumberFormat="1" applyFont="1" applyFill="1" applyBorder="1" applyAlignment="1" applyProtection="1">
      <alignment horizontal="center"/>
    </xf>
    <xf numFmtId="165" fontId="63" fillId="4" borderId="80" xfId="4" applyNumberFormat="1" applyFont="1" applyFill="1" applyBorder="1" applyAlignment="1" applyProtection="1">
      <alignment horizontal="center"/>
    </xf>
    <xf numFmtId="165" fontId="63" fillId="6" borderId="67" xfId="4" applyNumberFormat="1" applyFont="1" applyFill="1" applyBorder="1" applyAlignment="1" applyProtection="1">
      <alignment horizontal="center"/>
    </xf>
    <xf numFmtId="0" fontId="63" fillId="4" borderId="25" xfId="0" applyFont="1" applyFill="1" applyBorder="1" applyAlignment="1">
      <alignment horizontal="center"/>
    </xf>
    <xf numFmtId="0" fontId="64" fillId="4" borderId="82" xfId="0" applyFont="1" applyFill="1" applyBorder="1" applyAlignment="1">
      <alignment horizontal="center"/>
    </xf>
    <xf numFmtId="0" fontId="64" fillId="4" borderId="80" xfId="0" applyFont="1" applyFill="1" applyBorder="1" applyAlignment="1">
      <alignment horizontal="center"/>
    </xf>
    <xf numFmtId="165" fontId="64" fillId="0" borderId="83" xfId="4" applyNumberFormat="1" applyFont="1" applyFill="1" applyBorder="1" applyAlignment="1" applyProtection="1"/>
    <xf numFmtId="165" fontId="64" fillId="0" borderId="84" xfId="4" applyNumberFormat="1" applyFont="1" applyFill="1" applyBorder="1" applyAlignment="1" applyProtection="1"/>
    <xf numFmtId="165" fontId="64" fillId="4" borderId="25" xfId="4" applyNumberFormat="1" applyFont="1" applyFill="1" applyBorder="1" applyAlignment="1" applyProtection="1">
      <alignment horizontal="right"/>
    </xf>
    <xf numFmtId="165" fontId="64" fillId="0" borderId="25" xfId="4" applyNumberFormat="1" applyFont="1" applyFill="1" applyBorder="1" applyAlignment="1" applyProtection="1">
      <alignment horizontal="right"/>
    </xf>
    <xf numFmtId="165" fontId="65" fillId="4" borderId="25" xfId="4" applyNumberFormat="1" applyFont="1" applyFill="1" applyBorder="1" applyAlignment="1" applyProtection="1">
      <alignment horizontal="center"/>
    </xf>
    <xf numFmtId="165" fontId="65" fillId="0" borderId="25" xfId="4" applyNumberFormat="1" applyFont="1" applyFill="1" applyBorder="1" applyAlignment="1" applyProtection="1">
      <alignment horizontal="center"/>
    </xf>
    <xf numFmtId="165" fontId="65" fillId="9" borderId="25" xfId="4" applyNumberFormat="1" applyFont="1" applyFill="1" applyBorder="1" applyAlignment="1" applyProtection="1">
      <alignment horizontal="center"/>
    </xf>
    <xf numFmtId="0" fontId="53" fillId="4" borderId="24" xfId="0" applyFont="1" applyFill="1" applyBorder="1" applyAlignment="1">
      <alignment horizontal="center"/>
    </xf>
    <xf numFmtId="165" fontId="53" fillId="4" borderId="25" xfId="4" applyNumberFormat="1" applyFont="1" applyFill="1" applyBorder="1" applyAlignment="1" applyProtection="1">
      <alignment horizontal="center"/>
    </xf>
    <xf numFmtId="165" fontId="53" fillId="0" borderId="25" xfId="4" applyNumberFormat="1" applyFont="1" applyFill="1" applyBorder="1" applyAlignment="1" applyProtection="1">
      <alignment horizontal="center"/>
    </xf>
    <xf numFmtId="165" fontId="64" fillId="0" borderId="25" xfId="4" applyNumberFormat="1" applyFont="1" applyFill="1" applyBorder="1" applyAlignment="1" applyProtection="1">
      <alignment horizontal="center"/>
    </xf>
    <xf numFmtId="165" fontId="64" fillId="4" borderId="25" xfId="4" applyNumberFormat="1" applyFont="1" applyFill="1" applyBorder="1" applyAlignment="1" applyProtection="1">
      <alignment horizontal="center"/>
    </xf>
    <xf numFmtId="0" fontId="53" fillId="4" borderId="25" xfId="0" applyFont="1" applyFill="1" applyBorder="1" applyAlignment="1">
      <alignment horizontal="center"/>
    </xf>
    <xf numFmtId="9" fontId="63" fillId="4" borderId="25" xfId="4" applyNumberFormat="1" applyFont="1" applyFill="1" applyBorder="1" applyAlignment="1" applyProtection="1">
      <alignment horizontal="center"/>
    </xf>
    <xf numFmtId="9" fontId="63" fillId="0" borderId="25" xfId="4" applyNumberFormat="1" applyFont="1" applyFill="1" applyBorder="1" applyAlignment="1" applyProtection="1">
      <alignment horizontal="center"/>
    </xf>
    <xf numFmtId="0" fontId="64" fillId="4" borderId="85" xfId="0" applyFont="1" applyFill="1" applyBorder="1" applyAlignment="1">
      <alignment horizontal="center"/>
    </xf>
    <xf numFmtId="0" fontId="64" fillId="4" borderId="55" xfId="0" applyFont="1" applyFill="1" applyBorder="1" applyAlignment="1">
      <alignment horizontal="center"/>
    </xf>
    <xf numFmtId="165" fontId="64" fillId="0" borderId="55" xfId="4" applyNumberFormat="1" applyFont="1" applyFill="1" applyBorder="1" applyAlignment="1" applyProtection="1">
      <alignment horizontal="center"/>
    </xf>
    <xf numFmtId="165" fontId="65" fillId="4" borderId="86" xfId="4" applyNumberFormat="1" applyFont="1" applyFill="1" applyBorder="1" applyAlignment="1" applyProtection="1">
      <alignment horizontal="center"/>
    </xf>
    <xf numFmtId="165" fontId="65" fillId="4" borderId="87" xfId="4" applyNumberFormat="1" applyFont="1" applyFill="1" applyBorder="1" applyAlignment="1" applyProtection="1">
      <alignment horizontal="center"/>
    </xf>
    <xf numFmtId="0" fontId="64" fillId="4" borderId="25" xfId="0" applyFont="1" applyFill="1" applyBorder="1" applyAlignment="1">
      <alignment horizontal="left"/>
    </xf>
    <xf numFmtId="165" fontId="64" fillId="9" borderId="25" xfId="4" applyNumberFormat="1" applyFont="1" applyFill="1" applyBorder="1" applyAlignment="1" applyProtection="1">
      <alignment horizontal="center"/>
    </xf>
    <xf numFmtId="165" fontId="63" fillId="4" borderId="81" xfId="4" applyNumberFormat="1" applyFont="1" applyFill="1" applyBorder="1" applyAlignment="1" applyProtection="1">
      <alignment horizontal="center"/>
    </xf>
    <xf numFmtId="0" fontId="56" fillId="4" borderId="65" xfId="0" applyFont="1" applyFill="1" applyBorder="1" applyAlignment="1"/>
    <xf numFmtId="165" fontId="65" fillId="6" borderId="67" xfId="4" applyNumberFormat="1" applyFont="1" applyFill="1" applyBorder="1" applyAlignment="1" applyProtection="1">
      <alignment horizontal="center"/>
    </xf>
    <xf numFmtId="0" fontId="29" fillId="4" borderId="82" xfId="0" applyFont="1" applyFill="1" applyBorder="1" applyAlignment="1">
      <alignment horizontal="right"/>
    </xf>
    <xf numFmtId="0" fontId="34" fillId="4" borderId="90" xfId="0" applyFont="1" applyFill="1" applyBorder="1"/>
    <xf numFmtId="165" fontId="68" fillId="4" borderId="88" xfId="4" applyNumberFormat="1" applyFont="1" applyFill="1" applyBorder="1" applyAlignment="1" applyProtection="1">
      <alignment horizontal="center"/>
    </xf>
    <xf numFmtId="165" fontId="68" fillId="0" borderId="88" xfId="4" applyNumberFormat="1" applyFont="1" applyFill="1" applyBorder="1" applyAlignment="1" applyProtection="1">
      <alignment horizontal="center"/>
    </xf>
    <xf numFmtId="4" fontId="64" fillId="6" borderId="91" xfId="0" applyNumberFormat="1" applyFont="1" applyFill="1" applyBorder="1" applyAlignment="1">
      <alignment horizontal="center"/>
    </xf>
    <xf numFmtId="0" fontId="68" fillId="4" borderId="92" xfId="0" applyFont="1" applyFill="1" applyBorder="1"/>
    <xf numFmtId="4" fontId="65" fillId="6" borderId="91" xfId="4" applyNumberFormat="1" applyFont="1" applyFill="1" applyBorder="1" applyAlignment="1" applyProtection="1">
      <alignment horizontal="center"/>
    </xf>
    <xf numFmtId="165" fontId="65" fillId="4" borderId="92" xfId="4" applyNumberFormat="1" applyFont="1" applyFill="1" applyBorder="1" applyAlignment="1" applyProtection="1">
      <alignment horizontal="center"/>
    </xf>
    <xf numFmtId="165" fontId="65" fillId="4" borderId="93" xfId="4" applyNumberFormat="1" applyFont="1" applyFill="1" applyBorder="1" applyAlignment="1" applyProtection="1">
      <alignment horizontal="center"/>
    </xf>
    <xf numFmtId="2" fontId="39" fillId="4" borderId="0" xfId="0" applyNumberFormat="1" applyFont="1" applyFill="1"/>
    <xf numFmtId="2" fontId="39" fillId="0" borderId="0" xfId="0" applyNumberFormat="1" applyFont="1"/>
    <xf numFmtId="0" fontId="39" fillId="0" borderId="0" xfId="0" applyFont="1" applyAlignment="1">
      <alignment horizontal="right"/>
    </xf>
    <xf numFmtId="0" fontId="69" fillId="0" borderId="0" xfId="0" applyFont="1"/>
    <xf numFmtId="3" fontId="42" fillId="4" borderId="0" xfId="0" applyNumberFormat="1" applyFont="1" applyFill="1"/>
    <xf numFmtId="3" fontId="39" fillId="0" borderId="0" xfId="0" applyNumberFormat="1" applyFont="1"/>
    <xf numFmtId="165" fontId="38" fillId="0" borderId="0" xfId="4" applyNumberFormat="1" applyFont="1" applyFill="1" applyBorder="1" applyAlignment="1" applyProtection="1">
      <alignment horizontal="right"/>
    </xf>
    <xf numFmtId="165" fontId="43" fillId="0" borderId="0" xfId="4" applyNumberFormat="1" applyFont="1" applyFill="1" applyBorder="1" applyAlignment="1" applyProtection="1">
      <alignment horizontal="center"/>
    </xf>
    <xf numFmtId="0" fontId="69" fillId="4" borderId="0" xfId="0" applyFont="1" applyFill="1"/>
    <xf numFmtId="0" fontId="69" fillId="4" borderId="0" xfId="0" applyFont="1" applyFill="1" applyAlignment="1">
      <alignment horizontal="center" vertical="center"/>
    </xf>
    <xf numFmtId="170" fontId="69" fillId="4" borderId="0" xfId="0" applyNumberFormat="1" applyFont="1" applyFill="1" applyBorder="1" applyAlignment="1">
      <alignment horizontal="center"/>
    </xf>
    <xf numFmtId="170" fontId="69" fillId="4" borderId="38" xfId="0" applyNumberFormat="1" applyFont="1" applyFill="1" applyBorder="1" applyAlignment="1">
      <alignment horizontal="center"/>
    </xf>
    <xf numFmtId="165" fontId="70" fillId="4" borderId="0" xfId="4" applyNumberFormat="1" applyFont="1" applyFill="1" applyBorder="1" applyAlignment="1" applyProtection="1"/>
    <xf numFmtId="165" fontId="70" fillId="0" borderId="0" xfId="4" applyNumberFormat="1" applyFont="1" applyFill="1" applyBorder="1" applyAlignment="1" applyProtection="1"/>
    <xf numFmtId="165" fontId="69" fillId="0" borderId="38" xfId="4" applyNumberFormat="1" applyFont="1" applyFill="1" applyBorder="1" applyAlignment="1" applyProtection="1">
      <alignment horizontal="center"/>
    </xf>
    <xf numFmtId="165" fontId="69" fillId="4" borderId="38" xfId="4" applyNumberFormat="1" applyFont="1" applyFill="1" applyBorder="1" applyAlignment="1" applyProtection="1">
      <alignment horizontal="center"/>
    </xf>
    <xf numFmtId="4" fontId="42" fillId="6" borderId="38" xfId="0" applyNumberFormat="1" applyFont="1" applyFill="1" applyBorder="1" applyAlignment="1">
      <alignment horizontal="center"/>
    </xf>
    <xf numFmtId="4" fontId="42" fillId="4" borderId="38" xfId="0" applyNumberFormat="1" applyFont="1" applyFill="1" applyBorder="1" applyAlignment="1">
      <alignment horizontal="center"/>
    </xf>
    <xf numFmtId="0" fontId="71" fillId="4" borderId="0" xfId="0" applyFont="1" applyFill="1"/>
    <xf numFmtId="2" fontId="42" fillId="4" borderId="38" xfId="0" applyNumberFormat="1" applyFont="1" applyFill="1" applyBorder="1" applyAlignment="1">
      <alignment horizontal="center"/>
    </xf>
    <xf numFmtId="2" fontId="42" fillId="0" borderId="38" xfId="0" applyNumberFormat="1" applyFont="1" applyBorder="1" applyAlignment="1">
      <alignment horizontal="center"/>
    </xf>
    <xf numFmtId="165" fontId="42" fillId="0" borderId="38" xfId="4" applyNumberFormat="1" applyFont="1" applyFill="1" applyBorder="1" applyAlignment="1" applyProtection="1">
      <alignment horizontal="center"/>
    </xf>
    <xf numFmtId="4" fontId="42" fillId="0" borderId="38" xfId="0" applyNumberFormat="1" applyFont="1" applyBorder="1" applyAlignment="1">
      <alignment horizontal="center"/>
    </xf>
    <xf numFmtId="165" fontId="72" fillId="0" borderId="38" xfId="4" applyNumberFormat="1" applyFont="1" applyFill="1" applyBorder="1" applyAlignment="1" applyProtection="1"/>
    <xf numFmtId="165" fontId="71" fillId="4" borderId="106" xfId="4" applyNumberFormat="1" applyFont="1" applyFill="1" applyBorder="1" applyAlignment="1" applyProtection="1">
      <alignment horizontal="center"/>
    </xf>
    <xf numFmtId="165" fontId="71" fillId="0" borderId="106" xfId="4" applyNumberFormat="1" applyFont="1" applyFill="1" applyBorder="1" applyAlignment="1" applyProtection="1">
      <alignment horizontal="center"/>
    </xf>
    <xf numFmtId="4" fontId="42" fillId="6" borderId="106" xfId="0" applyNumberFormat="1" applyFont="1" applyFill="1" applyBorder="1" applyAlignment="1">
      <alignment horizontal="center"/>
    </xf>
    <xf numFmtId="4" fontId="42" fillId="0" borderId="106" xfId="0" applyNumberFormat="1" applyFont="1" applyBorder="1" applyAlignment="1">
      <alignment horizontal="center"/>
    </xf>
    <xf numFmtId="2" fontId="42" fillId="4" borderId="0" xfId="0" applyNumberFormat="1" applyFont="1" applyFill="1"/>
    <xf numFmtId="2" fontId="42" fillId="0" borderId="0" xfId="0" applyNumberFormat="1" applyFont="1"/>
    <xf numFmtId="0" fontId="42" fillId="0" borderId="0" xfId="0" applyFont="1" applyAlignment="1">
      <alignment horizontal="right"/>
    </xf>
    <xf numFmtId="3" fontId="42" fillId="0" borderId="0" xfId="0" applyNumberFormat="1" applyFont="1"/>
    <xf numFmtId="0" fontId="42" fillId="0" borderId="0" xfId="0" applyFont="1"/>
    <xf numFmtId="165" fontId="53" fillId="4" borderId="0" xfId="4" applyNumberFormat="1" applyFont="1" applyFill="1" applyBorder="1" applyAlignment="1" applyProtection="1"/>
    <xf numFmtId="0" fontId="53" fillId="4" borderId="0" xfId="0" applyFont="1" applyFill="1" applyAlignment="1">
      <alignment horizontal="right"/>
    </xf>
    <xf numFmtId="0" fontId="53" fillId="4" borderId="0" xfId="0" applyFont="1" applyFill="1" applyAlignment="1">
      <alignment wrapText="1"/>
    </xf>
    <xf numFmtId="0" fontId="64" fillId="4" borderId="0" xfId="0" applyFont="1" applyFill="1" applyAlignment="1">
      <alignment vertical="center" wrapText="1"/>
    </xf>
    <xf numFmtId="165" fontId="64" fillId="4" borderId="0" xfId="4" applyNumberFormat="1" applyFont="1" applyFill="1" applyBorder="1" applyAlignment="1" applyProtection="1">
      <alignment vertical="center" wrapText="1"/>
    </xf>
    <xf numFmtId="0" fontId="74" fillId="4" borderId="0" xfId="0" applyFont="1" applyFill="1" applyAlignment="1">
      <alignment horizontal="center"/>
    </xf>
    <xf numFmtId="0" fontId="74" fillId="4" borderId="0" xfId="0" applyFont="1" applyFill="1" applyAlignment="1">
      <alignment horizontal="left"/>
    </xf>
    <xf numFmtId="0" fontId="74" fillId="4" borderId="0" xfId="0" applyFont="1" applyFill="1"/>
    <xf numFmtId="0" fontId="74" fillId="4" borderId="0" xfId="0" applyFont="1" applyFill="1" applyBorder="1" applyAlignment="1">
      <alignment horizontal="center"/>
    </xf>
    <xf numFmtId="0" fontId="53" fillId="4" borderId="0" xfId="0" applyFont="1" applyFill="1" applyBorder="1" applyAlignment="1">
      <alignment horizontal="center"/>
    </xf>
    <xf numFmtId="0" fontId="74" fillId="4" borderId="0" xfId="0" applyFont="1" applyFill="1" applyAlignment="1">
      <alignment wrapText="1"/>
    </xf>
    <xf numFmtId="0" fontId="74" fillId="4" borderId="39" xfId="0" applyFont="1" applyFill="1" applyBorder="1" applyAlignment="1">
      <alignment horizontal="right"/>
    </xf>
    <xf numFmtId="2" fontId="35" fillId="4" borderId="0" xfId="0" applyNumberFormat="1" applyFont="1" applyFill="1" applyAlignment="1">
      <alignment horizontal="center" shrinkToFit="1"/>
    </xf>
    <xf numFmtId="0" fontId="75" fillId="4" borderId="0" xfId="0" applyFont="1" applyFill="1"/>
    <xf numFmtId="0" fontId="74" fillId="4" borderId="0" xfId="0" applyFont="1" applyFill="1" applyAlignment="1">
      <alignment horizontal="right" vertical="center" wrapText="1"/>
    </xf>
    <xf numFmtId="0" fontId="74" fillId="4" borderId="94" xfId="0" applyFont="1" applyFill="1" applyBorder="1" applyAlignment="1">
      <alignment wrapText="1"/>
    </xf>
    <xf numFmtId="165" fontId="46" fillId="0" borderId="95" xfId="4" applyNumberFormat="1" applyFont="1" applyFill="1" applyBorder="1" applyAlignment="1" applyProtection="1">
      <alignment horizontal="center"/>
    </xf>
    <xf numFmtId="165" fontId="74" fillId="4" borderId="108" xfId="4" applyNumberFormat="1" applyFont="1" applyFill="1" applyBorder="1" applyAlignment="1" applyProtection="1">
      <alignment wrapText="1"/>
    </xf>
    <xf numFmtId="0" fontId="74" fillId="4" borderId="94" xfId="0" applyFont="1" applyFill="1" applyBorder="1" applyAlignment="1">
      <alignment horizontal="right" wrapText="1"/>
    </xf>
    <xf numFmtId="0" fontId="74" fillId="5" borderId="95" xfId="0" applyFont="1" applyFill="1" applyBorder="1" applyAlignment="1">
      <alignment horizontal="right" wrapText="1"/>
    </xf>
    <xf numFmtId="0" fontId="74" fillId="4" borderId="95" xfId="0" applyFont="1" applyFill="1" applyBorder="1" applyAlignment="1">
      <alignment horizontal="right" wrapText="1"/>
    </xf>
    <xf numFmtId="0" fontId="74" fillId="4" borderId="108" xfId="0" applyFont="1" applyFill="1" applyBorder="1"/>
    <xf numFmtId="0" fontId="53" fillId="4" borderId="0" xfId="0" applyFont="1" applyFill="1" applyBorder="1"/>
    <xf numFmtId="0" fontId="74" fillId="4" borderId="0" xfId="0" applyFont="1" applyFill="1" applyBorder="1"/>
    <xf numFmtId="0" fontId="74" fillId="4" borderId="60" xfId="0" applyFont="1" applyFill="1" applyBorder="1" applyAlignment="1">
      <alignment vertical="center" wrapText="1"/>
    </xf>
    <xf numFmtId="165" fontId="74" fillId="4" borderId="100" xfId="4" applyNumberFormat="1" applyFont="1" applyFill="1" applyBorder="1" applyAlignment="1" applyProtection="1">
      <alignment vertical="center" wrapText="1"/>
    </xf>
    <xf numFmtId="165" fontId="74" fillId="4" borderId="101" xfId="4" applyNumberFormat="1" applyFont="1" applyFill="1" applyBorder="1" applyAlignment="1" applyProtection="1">
      <alignment vertical="center" wrapText="1"/>
    </xf>
    <xf numFmtId="165" fontId="74" fillId="4" borderId="60" xfId="4" applyNumberFormat="1" applyFont="1" applyFill="1" applyBorder="1" applyAlignment="1" applyProtection="1">
      <alignment vertical="center" wrapText="1"/>
    </xf>
    <xf numFmtId="0" fontId="74" fillId="4" borderId="109" xfId="0" applyFont="1" applyFill="1" applyBorder="1" applyAlignment="1">
      <alignment wrapText="1"/>
    </xf>
    <xf numFmtId="0" fontId="76" fillId="4" borderId="0" xfId="0" applyFont="1" applyFill="1" applyAlignment="1">
      <alignment horizontal="center" shrinkToFit="1"/>
    </xf>
    <xf numFmtId="14" fontId="35" fillId="4" borderId="0" xfId="0" applyNumberFormat="1" applyFont="1" applyFill="1" applyAlignment="1">
      <alignment horizontal="center" shrinkToFit="1"/>
    </xf>
    <xf numFmtId="0" fontId="75" fillId="4" borderId="0" xfId="0" applyFont="1" applyFill="1" applyAlignment="1">
      <alignment horizontal="right" vertical="center" wrapText="1"/>
    </xf>
    <xf numFmtId="165" fontId="74" fillId="4" borderId="110" xfId="4" applyNumberFormat="1" applyFont="1" applyFill="1" applyBorder="1" applyAlignment="1" applyProtection="1">
      <alignment wrapText="1"/>
    </xf>
    <xf numFmtId="0" fontId="74" fillId="4" borderId="111" xfId="0" applyFont="1" applyFill="1" applyBorder="1" applyAlignment="1">
      <alignment horizontal="right" wrapText="1"/>
    </xf>
    <xf numFmtId="0" fontId="74" fillId="4" borderId="110" xfId="0" applyFont="1" applyFill="1" applyBorder="1" applyAlignment="1">
      <alignment horizontal="right" wrapText="1"/>
    </xf>
    <xf numFmtId="0" fontId="74" fillId="4" borderId="112" xfId="0" applyFont="1" applyFill="1" applyBorder="1" applyAlignment="1">
      <alignment vertical="center" wrapText="1"/>
    </xf>
    <xf numFmtId="165" fontId="74" fillId="4" borderId="45" xfId="4" applyNumberFormat="1" applyFont="1" applyFill="1" applyBorder="1" applyAlignment="1" applyProtection="1">
      <alignment vertical="center" wrapText="1"/>
    </xf>
    <xf numFmtId="165" fontId="74" fillId="4" borderId="113" xfId="4" applyNumberFormat="1" applyFont="1" applyFill="1" applyBorder="1" applyAlignment="1" applyProtection="1">
      <alignment vertical="center" wrapText="1"/>
    </xf>
    <xf numFmtId="165" fontId="74" fillId="4" borderId="112" xfId="4" applyNumberFormat="1" applyFont="1" applyFill="1" applyBorder="1" applyAlignment="1" applyProtection="1">
      <alignment vertical="center" wrapText="1"/>
    </xf>
    <xf numFmtId="0" fontId="74" fillId="4" borderId="66" xfId="0" applyFont="1" applyFill="1" applyBorder="1" applyAlignment="1">
      <alignment wrapText="1"/>
    </xf>
    <xf numFmtId="0" fontId="77" fillId="4" borderId="0" xfId="0" applyFont="1" applyFill="1" applyAlignment="1">
      <alignment horizontal="center" shrinkToFit="1"/>
    </xf>
    <xf numFmtId="165" fontId="77" fillId="4" borderId="0" xfId="4" applyNumberFormat="1" applyFont="1" applyFill="1" applyBorder="1" applyAlignment="1" applyProtection="1">
      <alignment horizontal="center" shrinkToFit="1"/>
    </xf>
    <xf numFmtId="0" fontId="77" fillId="4" borderId="0" xfId="0" applyFont="1" applyFill="1" applyBorder="1" applyAlignment="1">
      <alignment horizontal="center" shrinkToFit="1"/>
    </xf>
    <xf numFmtId="165" fontId="77" fillId="4" borderId="0" xfId="0" applyNumberFormat="1" applyFont="1" applyFill="1" applyBorder="1" applyAlignment="1">
      <alignment horizontal="center" shrinkToFit="1"/>
    </xf>
    <xf numFmtId="0" fontId="78" fillId="4" borderId="0" xfId="0" applyFont="1" applyFill="1" applyAlignment="1"/>
    <xf numFmtId="0" fontId="79" fillId="4" borderId="0" xfId="0" applyFont="1" applyFill="1" applyBorder="1" applyAlignment="1">
      <alignment horizontal="center" shrinkToFit="1"/>
    </xf>
    <xf numFmtId="0" fontId="74" fillId="4" borderId="111" xfId="0" applyFont="1" applyFill="1" applyBorder="1" applyAlignment="1">
      <alignment wrapText="1"/>
    </xf>
    <xf numFmtId="0" fontId="74" fillId="4" borderId="110" xfId="0" applyFont="1" applyFill="1" applyBorder="1" applyAlignment="1">
      <alignment wrapText="1"/>
    </xf>
    <xf numFmtId="0" fontId="74" fillId="4" borderId="103" xfId="0" applyFont="1" applyFill="1" applyBorder="1" applyAlignment="1">
      <alignment wrapText="1"/>
    </xf>
    <xf numFmtId="0" fontId="74" fillId="5" borderId="110" xfId="0" applyFont="1" applyFill="1" applyBorder="1" applyAlignment="1">
      <alignment horizontal="right" wrapText="1"/>
    </xf>
    <xf numFmtId="0" fontId="74" fillId="4" borderId="102" xfId="0" applyFont="1" applyFill="1" applyBorder="1" applyAlignment="1">
      <alignment vertical="center" wrapText="1"/>
    </xf>
    <xf numFmtId="165" fontId="74" fillId="4" borderId="38" xfId="4" applyNumberFormat="1" applyFont="1" applyFill="1" applyBorder="1" applyAlignment="1" applyProtection="1">
      <alignment vertical="center" wrapText="1"/>
    </xf>
    <xf numFmtId="165" fontId="74" fillId="4" borderId="104" xfId="4" applyNumberFormat="1" applyFont="1" applyFill="1" applyBorder="1" applyAlignment="1" applyProtection="1">
      <alignment vertical="center" wrapText="1"/>
    </xf>
    <xf numFmtId="165" fontId="74" fillId="4" borderId="102" xfId="4" applyNumberFormat="1" applyFont="1" applyFill="1" applyBorder="1" applyAlignment="1" applyProtection="1">
      <alignment vertical="center" wrapText="1"/>
    </xf>
    <xf numFmtId="0" fontId="74" fillId="4" borderId="96" xfId="0" applyFont="1" applyFill="1" applyBorder="1" applyAlignment="1">
      <alignment wrapText="1"/>
    </xf>
    <xf numFmtId="0" fontId="74" fillId="4" borderId="97" xfId="0" applyFont="1" applyFill="1" applyBorder="1" applyAlignment="1">
      <alignment wrapText="1"/>
    </xf>
    <xf numFmtId="165" fontId="74" fillId="4" borderId="98" xfId="0" applyNumberFormat="1" applyFont="1" applyFill="1" applyBorder="1" applyAlignment="1">
      <alignment wrapText="1"/>
    </xf>
    <xf numFmtId="0" fontId="45" fillId="4" borderId="102" xfId="0" applyFont="1" applyFill="1" applyBorder="1" applyAlignment="1">
      <alignment vertical="center" wrapText="1"/>
    </xf>
    <xf numFmtId="0" fontId="74" fillId="4" borderId="119" xfId="0" applyFont="1" applyFill="1" applyBorder="1" applyAlignment="1">
      <alignment wrapText="1"/>
    </xf>
    <xf numFmtId="0" fontId="74" fillId="4" borderId="0" xfId="0" applyFont="1" applyFill="1" applyBorder="1" applyAlignment="1">
      <alignment wrapText="1"/>
    </xf>
    <xf numFmtId="0" fontId="77" fillId="4" borderId="45" xfId="0" applyFont="1" applyFill="1" applyBorder="1" applyAlignment="1">
      <alignment horizontal="center" vertical="center" wrapText="1"/>
    </xf>
    <xf numFmtId="0" fontId="77" fillId="4" borderId="0" xfId="0" applyFont="1" applyFill="1" applyBorder="1" applyAlignment="1">
      <alignment horizontal="center" wrapText="1"/>
    </xf>
    <xf numFmtId="0" fontId="74" fillId="4" borderId="110" xfId="0" applyFont="1" applyFill="1" applyBorder="1" applyAlignment="1">
      <alignment horizontal="right"/>
    </xf>
    <xf numFmtId="0" fontId="74" fillId="4" borderId="104" xfId="0" applyFont="1" applyFill="1" applyBorder="1"/>
    <xf numFmtId="165" fontId="75" fillId="4" borderId="121" xfId="4" applyNumberFormat="1" applyFont="1" applyFill="1" applyBorder="1" applyAlignment="1" applyProtection="1"/>
    <xf numFmtId="165" fontId="75" fillId="4" borderId="122" xfId="4" applyNumberFormat="1" applyFont="1" applyFill="1" applyBorder="1" applyAlignment="1" applyProtection="1"/>
    <xf numFmtId="165" fontId="77" fillId="4" borderId="0" xfId="4" applyNumberFormat="1" applyFont="1" applyFill="1" applyBorder="1" applyAlignment="1" applyProtection="1">
      <alignment horizontal="center" vertical="center"/>
    </xf>
    <xf numFmtId="0" fontId="74" fillId="4" borderId="95" xfId="0" applyFont="1" applyFill="1" applyBorder="1" applyAlignment="1">
      <alignment wrapText="1"/>
    </xf>
    <xf numFmtId="0" fontId="74" fillId="4" borderId="108" xfId="0" applyFont="1" applyFill="1" applyBorder="1" applyAlignment="1">
      <alignment wrapText="1"/>
    </xf>
    <xf numFmtId="165" fontId="75" fillId="4" borderId="110" xfId="4" applyNumberFormat="1" applyFont="1" applyFill="1" applyBorder="1" applyAlignment="1" applyProtection="1"/>
    <xf numFmtId="165" fontId="75" fillId="4" borderId="123" xfId="4" applyNumberFormat="1" applyFont="1" applyFill="1" applyBorder="1" applyAlignment="1" applyProtection="1"/>
    <xf numFmtId="165" fontId="74" fillId="4" borderId="103" xfId="4" applyNumberFormat="1" applyFont="1" applyFill="1" applyBorder="1" applyAlignment="1" applyProtection="1">
      <alignment wrapText="1"/>
    </xf>
    <xf numFmtId="165" fontId="75" fillId="4" borderId="84" xfId="4" applyNumberFormat="1" applyFont="1" applyFill="1" applyBorder="1" applyAlignment="1" applyProtection="1"/>
    <xf numFmtId="0" fontId="74" fillId="4" borderId="98" xfId="0" applyFont="1" applyFill="1" applyBorder="1" applyAlignment="1">
      <alignment wrapText="1"/>
    </xf>
    <xf numFmtId="165" fontId="45" fillId="4" borderId="102" xfId="4" applyNumberFormat="1" applyFont="1" applyFill="1" applyBorder="1" applyAlignment="1" applyProtection="1">
      <alignment vertical="center" wrapText="1"/>
    </xf>
    <xf numFmtId="165" fontId="80" fillId="0" borderId="110" xfId="2" applyNumberFormat="1" applyFont="1" applyBorder="1" applyAlignment="1" applyProtection="1">
      <alignment horizontal="right"/>
    </xf>
    <xf numFmtId="165" fontId="83" fillId="4" borderId="0" xfId="4" applyNumberFormat="1" applyFont="1" applyFill="1" applyBorder="1" applyAlignment="1" applyProtection="1">
      <alignment horizontal="center"/>
    </xf>
    <xf numFmtId="0" fontId="73" fillId="4" borderId="0" xfId="0" applyFont="1" applyFill="1" applyBorder="1" applyAlignment="1"/>
    <xf numFmtId="0" fontId="76" fillId="4" borderId="111" xfId="0" applyFont="1" applyFill="1" applyBorder="1" applyAlignment="1">
      <alignment horizontal="right" wrapText="1"/>
    </xf>
    <xf numFmtId="0" fontId="76" fillId="5" borderId="110" xfId="0" applyFont="1" applyFill="1" applyBorder="1" applyAlignment="1">
      <alignment horizontal="right" wrapText="1"/>
    </xf>
    <xf numFmtId="165" fontId="74" fillId="4" borderId="0" xfId="4" applyNumberFormat="1" applyFont="1" applyFill="1" applyBorder="1" applyAlignment="1" applyProtection="1">
      <alignment wrapText="1"/>
    </xf>
    <xf numFmtId="165" fontId="83" fillId="0" borderId="0" xfId="4" applyNumberFormat="1" applyFont="1" applyFill="1" applyBorder="1" applyAlignment="1" applyProtection="1">
      <alignment horizontal="center" vertical="center"/>
    </xf>
    <xf numFmtId="0" fontId="73" fillId="4" borderId="0" xfId="0" applyFont="1" applyFill="1" applyBorder="1" applyAlignment="1">
      <alignment vertical="center"/>
    </xf>
    <xf numFmtId="0" fontId="73" fillId="4" borderId="0" xfId="0" applyFont="1" applyFill="1" applyAlignment="1">
      <alignment vertical="center"/>
    </xf>
    <xf numFmtId="0" fontId="83" fillId="4" borderId="0" xfId="0" applyFont="1" applyFill="1" applyBorder="1" applyAlignment="1">
      <alignment horizontal="center" shrinkToFit="1"/>
    </xf>
    <xf numFmtId="165" fontId="45" fillId="0" borderId="102" xfId="4" applyNumberFormat="1" applyFont="1" applyFill="1" applyBorder="1" applyAlignment="1" applyProtection="1">
      <alignment vertical="center" wrapText="1"/>
    </xf>
    <xf numFmtId="165" fontId="74" fillId="0" borderId="38" xfId="4" applyNumberFormat="1" applyFont="1" applyFill="1" applyBorder="1" applyAlignment="1" applyProtection="1">
      <alignment vertical="center" wrapText="1"/>
    </xf>
    <xf numFmtId="165" fontId="74" fillId="0" borderId="102" xfId="4" applyNumberFormat="1" applyFont="1" applyFill="1" applyBorder="1" applyAlignment="1" applyProtection="1">
      <alignment vertical="center" wrapText="1"/>
    </xf>
    <xf numFmtId="165" fontId="74" fillId="0" borderId="104" xfId="4" applyNumberFormat="1" applyFont="1" applyFill="1" applyBorder="1" applyAlignment="1" applyProtection="1">
      <alignment vertical="center" wrapText="1"/>
    </xf>
    <xf numFmtId="0" fontId="83" fillId="4" borderId="32" xfId="0" applyFont="1" applyFill="1" applyBorder="1" applyAlignment="1">
      <alignment shrinkToFit="1"/>
    </xf>
    <xf numFmtId="165" fontId="83" fillId="4" borderId="32" xfId="4" applyNumberFormat="1" applyFont="1" applyFill="1" applyBorder="1" applyAlignment="1" applyProtection="1">
      <alignment shrinkToFit="1"/>
    </xf>
    <xf numFmtId="0" fontId="85" fillId="4" borderId="0" xfId="0" applyFont="1" applyFill="1" applyBorder="1" applyAlignment="1">
      <alignment shrinkToFit="1"/>
    </xf>
    <xf numFmtId="0" fontId="86" fillId="4" borderId="0" xfId="0" applyFont="1" applyFill="1" applyBorder="1" applyAlignment="1">
      <alignment horizontal="center" vertical="center"/>
    </xf>
    <xf numFmtId="0" fontId="64" fillId="4" borderId="0" xfId="0" applyFont="1" applyFill="1" applyBorder="1" applyAlignment="1">
      <alignment horizontal="center"/>
    </xf>
    <xf numFmtId="165" fontId="79" fillId="4" borderId="0" xfId="0" applyNumberFormat="1" applyFont="1" applyFill="1" applyBorder="1" applyAlignment="1">
      <alignment horizontal="center" shrinkToFit="1"/>
    </xf>
    <xf numFmtId="0" fontId="75" fillId="4" borderId="129" xfId="0" applyFont="1" applyFill="1" applyBorder="1" applyAlignment="1">
      <alignment vertical="center"/>
    </xf>
    <xf numFmtId="0" fontId="86" fillId="4" borderId="100" xfId="0" applyFont="1" applyFill="1" applyBorder="1" applyAlignment="1">
      <alignment horizontal="center" vertical="center"/>
    </xf>
    <xf numFmtId="165" fontId="54" fillId="0" borderId="100" xfId="4" applyNumberFormat="1" applyFont="1" applyFill="1" applyBorder="1" applyAlignment="1" applyProtection="1"/>
    <xf numFmtId="165" fontId="54" fillId="0" borderId="101" xfId="4" applyNumberFormat="1" applyFont="1" applyFill="1" applyBorder="1" applyAlignment="1" applyProtection="1"/>
    <xf numFmtId="165" fontId="75" fillId="0" borderId="131" xfId="4" applyNumberFormat="1" applyFont="1" applyFill="1" applyBorder="1" applyAlignment="1" applyProtection="1">
      <alignment horizontal="left" wrapText="1"/>
    </xf>
    <xf numFmtId="165" fontId="75" fillId="0" borderId="132" xfId="4" applyNumberFormat="1" applyFont="1" applyFill="1" applyBorder="1" applyAlignment="1" applyProtection="1">
      <alignment horizontal="center" wrapText="1"/>
    </xf>
    <xf numFmtId="165" fontId="75" fillId="0" borderId="0" xfId="4" applyNumberFormat="1" applyFont="1" applyFill="1" applyBorder="1" applyAlignment="1" applyProtection="1">
      <alignment horizontal="center" wrapText="1"/>
    </xf>
    <xf numFmtId="165" fontId="74" fillId="0" borderId="0" xfId="4" applyNumberFormat="1" applyFont="1" applyFill="1" applyBorder="1" applyAlignment="1" applyProtection="1">
      <alignment horizontal="center"/>
    </xf>
    <xf numFmtId="165" fontId="64" fillId="0" borderId="0" xfId="4" applyNumberFormat="1" applyFont="1" applyFill="1" applyBorder="1" applyAlignment="1" applyProtection="1">
      <alignment horizontal="center"/>
    </xf>
    <xf numFmtId="165" fontId="74" fillId="0" borderId="0" xfId="4" applyNumberFormat="1" applyFont="1" applyFill="1" applyBorder="1" applyAlignment="1" applyProtection="1"/>
    <xf numFmtId="0" fontId="74" fillId="4" borderId="110" xfId="0" applyFont="1" applyFill="1" applyBorder="1"/>
    <xf numFmtId="165" fontId="74" fillId="0" borderId="103" xfId="4" applyNumberFormat="1" applyFont="1" applyFill="1" applyBorder="1" applyAlignment="1" applyProtection="1">
      <alignment wrapText="1"/>
    </xf>
    <xf numFmtId="0" fontId="87" fillId="4" borderId="111" xfId="0" applyFont="1" applyFill="1" applyBorder="1" applyAlignment="1">
      <alignment horizontal="right"/>
    </xf>
    <xf numFmtId="0" fontId="75" fillId="4" borderId="50" xfId="0" applyFont="1" applyFill="1" applyBorder="1" applyAlignment="1">
      <alignment horizontal="right"/>
    </xf>
    <xf numFmtId="0" fontId="86" fillId="4" borderId="45" xfId="0" applyFont="1" applyFill="1" applyBorder="1" applyAlignment="1">
      <alignment horizontal="center" vertical="center"/>
    </xf>
    <xf numFmtId="165" fontId="57" fillId="4" borderId="45" xfId="4" applyNumberFormat="1" applyFont="1" applyFill="1" applyBorder="1" applyAlignment="1" applyProtection="1"/>
    <xf numFmtId="165" fontId="57" fillId="4" borderId="113" xfId="4" applyNumberFormat="1" applyFont="1" applyFill="1" applyBorder="1" applyAlignment="1" applyProtection="1"/>
    <xf numFmtId="165" fontId="75" fillId="0" borderId="38" xfId="4" applyNumberFormat="1" applyFont="1" applyFill="1" applyBorder="1" applyAlignment="1" applyProtection="1">
      <alignment horizontal="left" wrapText="1"/>
    </xf>
    <xf numFmtId="165" fontId="75" fillId="4" borderId="134" xfId="4" applyNumberFormat="1" applyFont="1" applyFill="1" applyBorder="1" applyAlignment="1" applyProtection="1">
      <alignment horizontal="center" wrapText="1"/>
    </xf>
    <xf numFmtId="165" fontId="75" fillId="4" borderId="0" xfId="4" applyNumberFormat="1" applyFont="1" applyFill="1" applyBorder="1" applyAlignment="1" applyProtection="1">
      <alignment horizontal="center" wrapText="1"/>
    </xf>
    <xf numFmtId="165" fontId="74" fillId="4" borderId="0" xfId="4" applyNumberFormat="1" applyFont="1" applyFill="1" applyBorder="1" applyAlignment="1" applyProtection="1"/>
    <xf numFmtId="165" fontId="64" fillId="4" borderId="0" xfId="4" applyNumberFormat="1" applyFont="1" applyFill="1" applyBorder="1" applyAlignment="1" applyProtection="1"/>
    <xf numFmtId="165" fontId="74" fillId="4" borderId="0" xfId="0" applyNumberFormat="1" applyFont="1" applyFill="1" applyBorder="1" applyAlignment="1">
      <alignment horizontal="left" shrinkToFit="1"/>
    </xf>
    <xf numFmtId="165" fontId="74" fillId="4" borderId="0" xfId="4" applyNumberFormat="1" applyFont="1" applyFill="1" applyBorder="1" applyAlignment="1" applyProtection="1">
      <alignment shrinkToFit="1"/>
    </xf>
    <xf numFmtId="0" fontId="74" fillId="4" borderId="111" xfId="0" applyFont="1" applyFill="1" applyBorder="1" applyAlignment="1">
      <alignment horizontal="center" wrapText="1"/>
    </xf>
    <xf numFmtId="0" fontId="45" fillId="4" borderId="102" xfId="0" applyFont="1" applyFill="1" applyBorder="1" applyAlignment="1">
      <alignment horizontal="left" vertical="center" wrapText="1"/>
    </xf>
    <xf numFmtId="0" fontId="76" fillId="4" borderId="105" xfId="0" applyFont="1" applyFill="1" applyBorder="1" applyAlignment="1">
      <alignment horizontal="center"/>
    </xf>
    <xf numFmtId="0" fontId="76" fillId="4" borderId="30" xfId="0" applyFont="1" applyFill="1" applyBorder="1" applyAlignment="1">
      <alignment horizontal="center"/>
    </xf>
    <xf numFmtId="0" fontId="76" fillId="4" borderId="43" xfId="0" applyFont="1" applyFill="1" applyBorder="1" applyAlignment="1">
      <alignment horizontal="center"/>
    </xf>
    <xf numFmtId="0" fontId="75" fillId="4" borderId="37" xfId="0" applyFont="1" applyFill="1" applyBorder="1" applyAlignment="1">
      <alignment horizontal="right"/>
    </xf>
    <xf numFmtId="0" fontId="75" fillId="4" borderId="38" xfId="0" applyFont="1" applyFill="1" applyBorder="1" applyAlignment="1">
      <alignment horizontal="left"/>
    </xf>
    <xf numFmtId="165" fontId="76" fillId="4" borderId="38" xfId="4" applyNumberFormat="1" applyFont="1" applyFill="1" applyBorder="1" applyAlignment="1" applyProtection="1"/>
    <xf numFmtId="165" fontId="76" fillId="0" borderId="104" xfId="4" applyNumberFormat="1" applyFont="1" applyFill="1" applyBorder="1" applyAlignment="1" applyProtection="1"/>
    <xf numFmtId="0" fontId="76" fillId="4" borderId="43" xfId="0" applyFont="1" applyFill="1" applyBorder="1" applyAlignment="1">
      <alignment horizontal="left"/>
    </xf>
    <xf numFmtId="165" fontId="76" fillId="4" borderId="134" xfId="4" applyNumberFormat="1" applyFont="1" applyFill="1" applyBorder="1" applyAlignment="1" applyProtection="1">
      <alignment horizontal="center" wrapText="1"/>
    </xf>
    <xf numFmtId="165" fontId="79" fillId="4" borderId="0" xfId="0" applyNumberFormat="1" applyFont="1" applyFill="1" applyBorder="1" applyAlignment="1">
      <alignment shrinkToFit="1"/>
    </xf>
    <xf numFmtId="0" fontId="79" fillId="4" borderId="0" xfId="0" applyFont="1" applyFill="1" applyBorder="1" applyAlignment="1">
      <alignment shrinkToFit="1"/>
    </xf>
    <xf numFmtId="0" fontId="74" fillId="4" borderId="97" xfId="0" applyFont="1" applyFill="1" applyBorder="1"/>
    <xf numFmtId="165" fontId="74" fillId="4" borderId="98" xfId="4" applyNumberFormat="1" applyFont="1" applyFill="1" applyBorder="1" applyAlignment="1" applyProtection="1"/>
    <xf numFmtId="0" fontId="87" fillId="4" borderId="96" xfId="0" applyFont="1" applyFill="1" applyBorder="1" applyAlignment="1">
      <alignment horizontal="right"/>
    </xf>
    <xf numFmtId="0" fontId="74" fillId="4" borderId="97" xfId="0" applyFont="1" applyFill="1" applyBorder="1" applyAlignment="1">
      <alignment horizontal="right"/>
    </xf>
    <xf numFmtId="0" fontId="74" fillId="12" borderId="102" xfId="0" applyFont="1" applyFill="1" applyBorder="1" applyAlignment="1">
      <alignment vertical="center" wrapText="1"/>
    </xf>
    <xf numFmtId="165" fontId="74" fillId="12" borderId="38" xfId="4" applyNumberFormat="1" applyFont="1" applyFill="1" applyBorder="1" applyAlignment="1" applyProtection="1">
      <alignment vertical="center" wrapText="1"/>
    </xf>
    <xf numFmtId="165" fontId="74" fillId="12" borderId="104" xfId="4" applyNumberFormat="1" applyFont="1" applyFill="1" applyBorder="1" applyAlignment="1" applyProtection="1">
      <alignment vertical="center" wrapText="1"/>
    </xf>
    <xf numFmtId="165" fontId="74" fillId="12" borderId="102" xfId="4" applyNumberFormat="1" applyFont="1" applyFill="1" applyBorder="1" applyAlignment="1" applyProtection="1">
      <alignment vertical="center" wrapText="1"/>
    </xf>
    <xf numFmtId="165" fontId="64" fillId="4" borderId="38" xfId="0" applyNumberFormat="1" applyFont="1" applyFill="1" applyBorder="1"/>
    <xf numFmtId="0" fontId="74" fillId="4" borderId="0" xfId="0" applyFont="1" applyFill="1" applyAlignment="1">
      <alignment horizontal="right"/>
    </xf>
    <xf numFmtId="165" fontId="64" fillId="4" borderId="38" xfId="4" applyNumberFormat="1" applyFont="1" applyFill="1" applyBorder="1" applyAlignment="1" applyProtection="1"/>
    <xf numFmtId="165" fontId="64" fillId="4" borderId="38" xfId="4" applyNumberFormat="1" applyFont="1" applyFill="1" applyBorder="1" applyAlignment="1" applyProtection="1">
      <alignment horizontal="center"/>
    </xf>
    <xf numFmtId="165" fontId="74" fillId="4" borderId="0" xfId="4" applyNumberFormat="1" applyFont="1" applyFill="1" applyBorder="1" applyAlignment="1" applyProtection="1">
      <alignment horizontal="center"/>
    </xf>
    <xf numFmtId="165" fontId="64" fillId="4" borderId="0" xfId="4" applyNumberFormat="1" applyFont="1" applyFill="1" applyBorder="1" applyAlignment="1" applyProtection="1">
      <alignment horizontal="center"/>
    </xf>
    <xf numFmtId="165" fontId="53" fillId="4" borderId="0" xfId="0" applyNumberFormat="1" applyFont="1" applyFill="1" applyBorder="1" applyAlignment="1">
      <alignment horizontal="center"/>
    </xf>
    <xf numFmtId="0" fontId="76" fillId="4" borderId="0" xfId="0" applyFont="1" applyFill="1"/>
    <xf numFmtId="165" fontId="76" fillId="4" borderId="0" xfId="0" applyNumberFormat="1" applyFont="1" applyFill="1"/>
    <xf numFmtId="165" fontId="74" fillId="4" borderId="0" xfId="0" applyNumberFormat="1" applyFont="1" applyFill="1"/>
    <xf numFmtId="165" fontId="75" fillId="4" borderId="38" xfId="4" applyNumberFormat="1" applyFont="1" applyFill="1" applyBorder="1" applyAlignment="1" applyProtection="1">
      <alignment horizontal="center"/>
    </xf>
    <xf numFmtId="0" fontId="76" fillId="4" borderId="94" xfId="0" applyFont="1" applyFill="1" applyBorder="1" applyAlignment="1">
      <alignment horizontal="right" wrapText="1"/>
    </xf>
    <xf numFmtId="0" fontId="76" fillId="4" borderId="95" xfId="0" applyFont="1" applyFill="1" applyBorder="1" applyAlignment="1">
      <alignment horizontal="right" wrapText="1"/>
    </xf>
    <xf numFmtId="0" fontId="76" fillId="4" borderId="108" xfId="0" applyFont="1" applyFill="1" applyBorder="1"/>
    <xf numFmtId="0" fontId="76" fillId="4" borderId="105" xfId="0" applyFont="1" applyFill="1" applyBorder="1" applyAlignment="1">
      <alignment horizontal="left"/>
    </xf>
    <xf numFmtId="0" fontId="76" fillId="4" borderId="135" xfId="0" applyFont="1" applyFill="1" applyBorder="1" applyAlignment="1">
      <alignment horizontal="right" wrapText="1"/>
    </xf>
    <xf numFmtId="0" fontId="76" fillId="4" borderId="121" xfId="0" applyFont="1" applyFill="1" applyBorder="1" applyAlignment="1">
      <alignment horizontal="right" wrapText="1"/>
    </xf>
    <xf numFmtId="0" fontId="76" fillId="4" borderId="136" xfId="0" applyFont="1" applyFill="1" applyBorder="1"/>
    <xf numFmtId="165" fontId="57" fillId="0" borderId="38" xfId="4" applyNumberFormat="1" applyFont="1" applyFill="1" applyBorder="1" applyAlignment="1" applyProtection="1"/>
    <xf numFmtId="165" fontId="57" fillId="0" borderId="104" xfId="4" applyNumberFormat="1" applyFont="1" applyFill="1" applyBorder="1" applyAlignment="1" applyProtection="1"/>
    <xf numFmtId="0" fontId="76" fillId="4" borderId="110" xfId="0" applyFont="1" applyFill="1" applyBorder="1" applyAlignment="1">
      <alignment horizontal="right" wrapText="1"/>
    </xf>
    <xf numFmtId="0" fontId="76" fillId="4" borderId="103" xfId="0" applyFont="1" applyFill="1" applyBorder="1"/>
    <xf numFmtId="165" fontId="76" fillId="4" borderId="134" xfId="4" applyNumberFormat="1" applyFont="1" applyFill="1" applyBorder="1" applyAlignment="1" applyProtection="1">
      <alignment horizontal="center"/>
    </xf>
    <xf numFmtId="10" fontId="74" fillId="4" borderId="0" xfId="0" applyNumberFormat="1" applyFont="1" applyFill="1" applyBorder="1" applyAlignment="1"/>
    <xf numFmtId="165" fontId="64" fillId="4" borderId="134" xfId="4" applyNumberFormat="1" applyFont="1" applyFill="1" applyBorder="1" applyAlignment="1" applyProtection="1">
      <alignment horizontal="center"/>
    </xf>
    <xf numFmtId="165" fontId="64" fillId="4" borderId="0" xfId="4" applyNumberFormat="1" applyFont="1" applyFill="1" applyBorder="1" applyAlignment="1" applyProtection="1">
      <alignment horizontal="left" wrapText="1"/>
    </xf>
    <xf numFmtId="165" fontId="74" fillId="4" borderId="0" xfId="0" applyNumberFormat="1" applyFont="1" applyFill="1" applyBorder="1" applyAlignment="1"/>
    <xf numFmtId="165" fontId="54" fillId="0" borderId="38" xfId="4" applyNumberFormat="1" applyFont="1" applyFill="1" applyBorder="1" applyAlignment="1" applyProtection="1"/>
    <xf numFmtId="165" fontId="54" fillId="0" borderId="104" xfId="4" applyNumberFormat="1" applyFont="1" applyFill="1" applyBorder="1" applyAlignment="1" applyProtection="1"/>
    <xf numFmtId="165" fontId="64" fillId="0" borderId="38" xfId="4" applyNumberFormat="1" applyFont="1" applyFill="1" applyBorder="1" applyAlignment="1" applyProtection="1">
      <alignment horizontal="center"/>
    </xf>
    <xf numFmtId="165" fontId="64" fillId="0" borderId="134" xfId="4" applyNumberFormat="1" applyFont="1" applyFill="1" applyBorder="1" applyAlignment="1" applyProtection="1">
      <alignment horizontal="center"/>
    </xf>
    <xf numFmtId="165" fontId="57" fillId="4" borderId="38" xfId="4" applyNumberFormat="1" applyFont="1" applyFill="1" applyBorder="1" applyAlignment="1" applyProtection="1"/>
    <xf numFmtId="165" fontId="57" fillId="4" borderId="104" xfId="4" applyNumberFormat="1" applyFont="1" applyFill="1" applyBorder="1" applyAlignment="1" applyProtection="1"/>
    <xf numFmtId="165" fontId="76" fillId="4" borderId="104" xfId="4" applyNumberFormat="1" applyFont="1" applyFill="1" applyBorder="1" applyAlignment="1" applyProtection="1"/>
    <xf numFmtId="0" fontId="74" fillId="4" borderId="137" xfId="0" applyFont="1" applyFill="1" applyBorder="1" applyAlignment="1">
      <alignment vertical="center" wrapText="1"/>
    </xf>
    <xf numFmtId="165" fontId="74" fillId="4" borderId="106" xfId="4" applyNumberFormat="1" applyFont="1" applyFill="1" applyBorder="1" applyAlignment="1" applyProtection="1">
      <alignment vertical="center" wrapText="1"/>
    </xf>
    <xf numFmtId="165" fontId="74" fillId="4" borderId="107" xfId="4" applyNumberFormat="1" applyFont="1" applyFill="1" applyBorder="1" applyAlignment="1" applyProtection="1">
      <alignment vertical="center" wrapText="1"/>
    </xf>
    <xf numFmtId="165" fontId="74" fillId="4" borderId="137" xfId="4" applyNumberFormat="1" applyFont="1" applyFill="1" applyBorder="1" applyAlignment="1" applyProtection="1">
      <alignment vertical="center" wrapText="1"/>
    </xf>
    <xf numFmtId="165" fontId="74" fillId="4" borderId="138" xfId="0" applyNumberFormat="1" applyFont="1" applyFill="1" applyBorder="1" applyAlignment="1">
      <alignment wrapText="1"/>
    </xf>
    <xf numFmtId="165" fontId="64" fillId="4" borderId="134" xfId="4" applyNumberFormat="1" applyFont="1" applyFill="1" applyBorder="1" applyAlignment="1" applyProtection="1"/>
    <xf numFmtId="0" fontId="74" fillId="4" borderId="0" xfId="0" applyFont="1" applyFill="1" applyAlignment="1">
      <alignment vertical="center" wrapText="1"/>
    </xf>
    <xf numFmtId="165" fontId="74" fillId="4" borderId="0" xfId="4" applyNumberFormat="1" applyFont="1" applyFill="1" applyBorder="1" applyAlignment="1" applyProtection="1">
      <alignment vertical="center" wrapText="1"/>
    </xf>
    <xf numFmtId="1" fontId="65" fillId="5" borderId="27" xfId="3" applyNumberFormat="1" applyFont="1" applyFill="1" applyBorder="1" applyAlignment="1" applyProtection="1"/>
    <xf numFmtId="165" fontId="65" fillId="5" borderId="28" xfId="4" applyNumberFormat="1" applyFont="1" applyFill="1" applyBorder="1" applyAlignment="1" applyProtection="1"/>
    <xf numFmtId="0" fontId="65" fillId="5" borderId="139" xfId="0" applyFont="1" applyFill="1" applyBorder="1"/>
    <xf numFmtId="0" fontId="74" fillId="4" borderId="52" xfId="0" applyFont="1" applyFill="1" applyBorder="1" applyAlignment="1">
      <alignment horizontal="right"/>
    </xf>
    <xf numFmtId="1" fontId="74" fillId="4" borderId="29" xfId="3" applyNumberFormat="1" applyFont="1" applyFill="1" applyBorder="1" applyAlignment="1" applyProtection="1"/>
    <xf numFmtId="0" fontId="53" fillId="4" borderId="140" xfId="0" applyFont="1" applyFill="1" applyBorder="1"/>
    <xf numFmtId="165" fontId="74" fillId="4" borderId="60" xfId="4" applyNumberFormat="1" applyFont="1" applyFill="1" applyBorder="1" applyAlignment="1" applyProtection="1">
      <alignment vertical="center"/>
    </xf>
    <xf numFmtId="165" fontId="74" fillId="4" borderId="140" xfId="4" applyNumberFormat="1" applyFont="1" applyFill="1" applyBorder="1" applyAlignment="1" applyProtection="1"/>
    <xf numFmtId="0" fontId="88" fillId="4" borderId="111" xfId="0" applyFont="1" applyFill="1" applyBorder="1" applyAlignment="1">
      <alignment horizontal="right"/>
    </xf>
    <xf numFmtId="0" fontId="76" fillId="4" borderId="110" xfId="0" applyFont="1" applyFill="1" applyBorder="1" applyAlignment="1">
      <alignment horizontal="right"/>
    </xf>
    <xf numFmtId="0" fontId="74" fillId="4" borderId="141" xfId="0" applyFont="1" applyFill="1" applyBorder="1" applyAlignment="1">
      <alignment wrapText="1"/>
    </xf>
    <xf numFmtId="165" fontId="64" fillId="0" borderId="38" xfId="4" applyNumberFormat="1" applyFont="1" applyFill="1" applyBorder="1" applyAlignment="1" applyProtection="1"/>
    <xf numFmtId="1" fontId="74" fillId="0" borderId="29" xfId="3" applyNumberFormat="1" applyFont="1" applyBorder="1" applyAlignment="1" applyProtection="1"/>
    <xf numFmtId="165" fontId="64" fillId="0" borderId="0" xfId="4" applyNumberFormat="1" applyFont="1" applyFill="1" applyBorder="1" applyAlignment="1" applyProtection="1">
      <alignment vertical="center" wrapText="1"/>
    </xf>
    <xf numFmtId="165" fontId="74" fillId="0" borderId="0" xfId="4" applyNumberFormat="1" applyFont="1" applyFill="1" applyBorder="1" applyAlignment="1" applyProtection="1">
      <alignment wrapText="1"/>
    </xf>
    <xf numFmtId="9" fontId="53" fillId="4" borderId="0" xfId="3" applyFont="1" applyFill="1" applyBorder="1" applyAlignment="1" applyProtection="1"/>
    <xf numFmtId="0" fontId="75" fillId="4" borderId="38" xfId="0" applyFont="1" applyFill="1" applyBorder="1" applyAlignment="1">
      <alignment horizontal="left" shrinkToFit="1"/>
    </xf>
    <xf numFmtId="0" fontId="88" fillId="4" borderId="96" xfId="0" applyFont="1" applyFill="1" applyBorder="1" applyAlignment="1">
      <alignment horizontal="right"/>
    </xf>
    <xf numFmtId="0" fontId="76" fillId="4" borderId="97" xfId="0" applyFont="1" applyFill="1" applyBorder="1" applyAlignment="1">
      <alignment horizontal="right"/>
    </xf>
    <xf numFmtId="165" fontId="76" fillId="4" borderId="98" xfId="4" applyNumberFormat="1" applyFont="1" applyFill="1" applyBorder="1" applyAlignment="1" applyProtection="1"/>
    <xf numFmtId="0" fontId="76" fillId="4" borderId="0" xfId="0" applyFont="1" applyFill="1" applyAlignment="1">
      <alignment horizontal="right"/>
    </xf>
    <xf numFmtId="165" fontId="75" fillId="4" borderId="104" xfId="4" applyNumberFormat="1" applyFont="1" applyFill="1" applyBorder="1" applyAlignment="1" applyProtection="1"/>
    <xf numFmtId="1" fontId="74" fillId="4" borderId="0" xfId="3" applyNumberFormat="1" applyFont="1" applyFill="1" applyBorder="1" applyAlignment="1" applyProtection="1"/>
    <xf numFmtId="1" fontId="74" fillId="4" borderId="31" xfId="3" applyNumberFormat="1" applyFont="1" applyFill="1" applyBorder="1" applyAlignment="1" applyProtection="1"/>
    <xf numFmtId="165" fontId="74" fillId="4" borderId="32" xfId="4" applyNumberFormat="1" applyFont="1" applyFill="1" applyBorder="1" applyAlignment="1" applyProtection="1"/>
    <xf numFmtId="0" fontId="53" fillId="4" borderId="142" xfId="0" applyFont="1" applyFill="1" applyBorder="1"/>
    <xf numFmtId="1" fontId="74" fillId="0" borderId="0" xfId="3" applyNumberFormat="1" applyFont="1" applyBorder="1" applyAlignment="1" applyProtection="1"/>
    <xf numFmtId="0" fontId="75" fillId="4" borderId="37" xfId="0" applyFont="1" applyFill="1" applyBorder="1" applyAlignment="1">
      <alignment horizontal="right" shrinkToFit="1"/>
    </xf>
    <xf numFmtId="0" fontId="64" fillId="4" borderId="37" xfId="0" applyFont="1" applyFill="1" applyBorder="1" applyAlignment="1">
      <alignment shrinkToFit="1"/>
    </xf>
    <xf numFmtId="165" fontId="76" fillId="4" borderId="41" xfId="4" applyNumberFormat="1" applyFont="1" applyFill="1" applyBorder="1" applyAlignment="1" applyProtection="1"/>
    <xf numFmtId="173" fontId="74" fillId="4" borderId="0" xfId="0" applyNumberFormat="1" applyFont="1" applyFill="1" applyBorder="1" applyAlignment="1"/>
    <xf numFmtId="0" fontId="64" fillId="4" borderId="40" xfId="0" applyFont="1" applyFill="1" applyBorder="1"/>
    <xf numFmtId="165" fontId="76" fillId="4" borderId="143" xfId="4" applyNumberFormat="1" applyFont="1" applyFill="1" applyBorder="1" applyAlignment="1" applyProtection="1"/>
    <xf numFmtId="165" fontId="64" fillId="4" borderId="39" xfId="4" applyNumberFormat="1" applyFont="1" applyFill="1" applyBorder="1" applyAlignment="1" applyProtection="1"/>
    <xf numFmtId="165" fontId="64" fillId="4" borderId="128" xfId="4" applyNumberFormat="1" applyFont="1" applyFill="1" applyBorder="1" applyAlignment="1" applyProtection="1"/>
    <xf numFmtId="165" fontId="64" fillId="4" borderId="0" xfId="4" applyNumberFormat="1" applyFont="1" applyFill="1" applyBorder="1" applyAlignment="1" applyProtection="1">
      <alignment wrapText="1"/>
    </xf>
    <xf numFmtId="0" fontId="75" fillId="4" borderId="145" xfId="0" applyFont="1" applyFill="1" applyBorder="1" applyAlignment="1">
      <alignment horizontal="right"/>
    </xf>
    <xf numFmtId="0" fontId="89" fillId="4" borderId="57" xfId="0" applyFont="1" applyFill="1" applyBorder="1" applyAlignment="1">
      <alignment horizontal="right"/>
    </xf>
    <xf numFmtId="165" fontId="90" fillId="0" borderId="57" xfId="4" applyNumberFormat="1" applyFont="1" applyFill="1" applyBorder="1" applyAlignment="1" applyProtection="1">
      <alignment horizontal="right"/>
    </xf>
    <xf numFmtId="165" fontId="90" fillId="0" borderId="57" xfId="4" applyNumberFormat="1" applyFont="1" applyFill="1" applyBorder="1" applyAlignment="1" applyProtection="1">
      <alignment horizontal="right" indent="2"/>
    </xf>
    <xf numFmtId="165" fontId="91" fillId="0" borderId="146" xfId="4" applyNumberFormat="1" applyFont="1" applyFill="1" applyBorder="1" applyAlignment="1" applyProtection="1">
      <alignment horizontal="center"/>
    </xf>
    <xf numFmtId="165" fontId="90" fillId="0" borderId="0" xfId="4" applyNumberFormat="1" applyFont="1" applyFill="1" applyBorder="1" applyAlignment="1" applyProtection="1">
      <alignment horizontal="center"/>
    </xf>
    <xf numFmtId="9" fontId="53" fillId="0" borderId="0" xfId="3" applyFont="1" applyBorder="1" applyAlignment="1" applyProtection="1"/>
    <xf numFmtId="165" fontId="45" fillId="0" borderId="102" xfId="4" applyNumberFormat="1" applyFont="1" applyFill="1" applyBorder="1" applyAlignment="1" applyProtection="1">
      <alignment horizontal="left" vertical="center" wrapText="1"/>
    </xf>
    <xf numFmtId="0" fontId="75" fillId="4" borderId="149" xfId="0" applyFont="1" applyFill="1" applyBorder="1" applyAlignment="1">
      <alignment horizontal="center"/>
    </xf>
    <xf numFmtId="165" fontId="35" fillId="4" borderId="0" xfId="0" applyNumberFormat="1" applyFont="1" applyFill="1" applyBorder="1" applyAlignment="1">
      <alignment horizontal="left"/>
    </xf>
    <xf numFmtId="9" fontId="35" fillId="0" borderId="0" xfId="3" applyFont="1" applyBorder="1" applyAlignment="1" applyProtection="1"/>
    <xf numFmtId="165" fontId="64" fillId="0" borderId="0" xfId="4" applyNumberFormat="1" applyFont="1" applyFill="1" applyBorder="1" applyAlignment="1" applyProtection="1"/>
    <xf numFmtId="165" fontId="75" fillId="0" borderId="151" xfId="4" applyNumberFormat="1" applyFont="1" applyFill="1" applyBorder="1" applyAlignment="1" applyProtection="1"/>
    <xf numFmtId="165" fontId="35" fillId="4" borderId="0" xfId="0" applyNumberFormat="1" applyFont="1" applyFill="1" applyBorder="1" applyAlignment="1">
      <alignment horizontal="center"/>
    </xf>
    <xf numFmtId="0" fontId="92" fillId="4" borderId="0" xfId="0" applyFont="1" applyFill="1" applyBorder="1" applyAlignment="1">
      <alignment horizontal="center" vertical="center"/>
    </xf>
    <xf numFmtId="165" fontId="92" fillId="0" borderId="0" xfId="4" applyNumberFormat="1" applyFont="1" applyFill="1" applyBorder="1" applyAlignment="1" applyProtection="1">
      <alignment horizontal="center" vertical="center"/>
    </xf>
    <xf numFmtId="165" fontId="75" fillId="0" borderId="0" xfId="4" applyNumberFormat="1" applyFont="1" applyFill="1" applyBorder="1" applyAlignment="1" applyProtection="1">
      <alignment horizontal="center"/>
    </xf>
    <xf numFmtId="165" fontId="75" fillId="0" borderId="0" xfId="4" applyNumberFormat="1" applyFont="1" applyFill="1" applyBorder="1" applyAlignment="1" applyProtection="1"/>
    <xf numFmtId="0" fontId="75" fillId="4" borderId="0" xfId="0" applyFont="1" applyFill="1" applyBorder="1" applyAlignment="1">
      <alignment horizontal="right"/>
    </xf>
    <xf numFmtId="165" fontId="75" fillId="0" borderId="0" xfId="4" applyNumberFormat="1" applyFont="1" applyFill="1" applyBorder="1" applyAlignment="1" applyProtection="1">
      <alignment horizontal="right"/>
    </xf>
    <xf numFmtId="9" fontId="35" fillId="4" borderId="0" xfId="3" applyFont="1" applyFill="1" applyBorder="1" applyAlignment="1" applyProtection="1"/>
    <xf numFmtId="165" fontId="93" fillId="4" borderId="0" xfId="0" applyNumberFormat="1" applyFont="1" applyFill="1" applyBorder="1" applyAlignment="1"/>
    <xf numFmtId="165" fontId="93" fillId="4" borderId="0" xfId="4" applyNumberFormat="1" applyFont="1" applyFill="1" applyBorder="1" applyAlignment="1" applyProtection="1"/>
    <xf numFmtId="0" fontId="93" fillId="4" borderId="0" xfId="0" applyFont="1" applyFill="1" applyBorder="1"/>
    <xf numFmtId="0" fontId="93" fillId="4" borderId="0" xfId="0" applyFont="1" applyFill="1"/>
    <xf numFmtId="0" fontId="93" fillId="4" borderId="0" xfId="0" applyFont="1" applyFill="1" applyAlignment="1">
      <alignment horizontal="right"/>
    </xf>
    <xf numFmtId="0" fontId="93" fillId="4" borderId="0" xfId="0" applyFont="1" applyFill="1" applyAlignment="1">
      <alignment wrapText="1"/>
    </xf>
    <xf numFmtId="0" fontId="93" fillId="4" borderId="0" xfId="0" applyFont="1" applyFill="1" applyAlignment="1">
      <alignment vertical="center" wrapText="1"/>
    </xf>
    <xf numFmtId="165" fontId="93" fillId="4" borderId="0" xfId="4" applyNumberFormat="1" applyFont="1" applyFill="1" applyBorder="1" applyAlignment="1" applyProtection="1">
      <alignment vertical="center" wrapText="1"/>
    </xf>
    <xf numFmtId="165" fontId="93" fillId="4" borderId="0" xfId="4" applyNumberFormat="1" applyFont="1" applyFill="1" applyBorder="1" applyAlignment="1" applyProtection="1">
      <alignment wrapText="1"/>
    </xf>
    <xf numFmtId="165" fontId="93" fillId="12" borderId="102" xfId="4" applyNumberFormat="1" applyFont="1" applyFill="1" applyBorder="1" applyAlignment="1" applyProtection="1">
      <alignment vertical="center" wrapText="1"/>
    </xf>
    <xf numFmtId="165" fontId="93" fillId="12" borderId="38" xfId="4" applyNumberFormat="1" applyFont="1" applyFill="1" applyBorder="1" applyAlignment="1" applyProtection="1">
      <alignment vertical="center" wrapText="1"/>
    </xf>
    <xf numFmtId="165" fontId="93" fillId="12" borderId="104" xfId="4" applyNumberFormat="1" applyFont="1" applyFill="1" applyBorder="1" applyAlignment="1" applyProtection="1">
      <alignment vertical="center" wrapText="1"/>
    </xf>
    <xf numFmtId="0" fontId="93" fillId="4" borderId="66" xfId="0" applyFont="1" applyFill="1" applyBorder="1" applyAlignment="1">
      <alignment wrapText="1"/>
    </xf>
    <xf numFmtId="0" fontId="75" fillId="4" borderId="0" xfId="0" applyFont="1" applyFill="1" applyBorder="1" applyAlignment="1">
      <alignment horizontal="center"/>
    </xf>
    <xf numFmtId="165" fontId="75" fillId="4" borderId="0" xfId="0" applyNumberFormat="1" applyFont="1" applyFill="1" applyBorder="1" applyAlignment="1"/>
    <xf numFmtId="165" fontId="74" fillId="12" borderId="152" xfId="4" applyNumberFormat="1" applyFont="1" applyFill="1" applyBorder="1" applyAlignment="1" applyProtection="1">
      <alignment vertical="center" wrapText="1"/>
    </xf>
    <xf numFmtId="165" fontId="74" fillId="12" borderId="33" xfId="4" applyNumberFormat="1" applyFont="1" applyFill="1" applyBorder="1" applyAlignment="1" applyProtection="1">
      <alignment vertical="center" wrapText="1"/>
    </xf>
    <xf numFmtId="165" fontId="74" fillId="12" borderId="33" xfId="0" applyNumberFormat="1" applyFont="1" applyFill="1" applyBorder="1" applyAlignment="1">
      <alignment vertical="center"/>
    </xf>
    <xf numFmtId="0" fontId="74" fillId="12" borderId="144" xfId="0" applyFont="1" applyFill="1" applyBorder="1" applyAlignment="1">
      <alignment vertical="center" wrapText="1"/>
    </xf>
    <xf numFmtId="0" fontId="35" fillId="4" borderId="0" xfId="0" applyFont="1" applyFill="1" applyBorder="1" applyAlignment="1">
      <alignment horizontal="right"/>
    </xf>
    <xf numFmtId="165" fontId="81" fillId="5" borderId="0" xfId="4" applyNumberFormat="1" applyFont="1" applyFill="1" applyBorder="1" applyAlignment="1" applyProtection="1">
      <alignment horizontal="right"/>
    </xf>
    <xf numFmtId="165" fontId="35" fillId="0" borderId="0" xfId="4" applyNumberFormat="1" applyFont="1" applyFill="1" applyBorder="1" applyAlignment="1" applyProtection="1">
      <alignment horizontal="right"/>
    </xf>
    <xf numFmtId="10" fontId="64" fillId="4" borderId="0" xfId="0" applyNumberFormat="1" applyFont="1" applyFill="1" applyBorder="1" applyAlignment="1"/>
    <xf numFmtId="165" fontId="64" fillId="4" borderId="0" xfId="0" applyNumberFormat="1" applyFont="1" applyFill="1" applyBorder="1" applyAlignment="1">
      <alignment horizontal="left"/>
    </xf>
    <xf numFmtId="2" fontId="35" fillId="4" borderId="0" xfId="0" applyNumberFormat="1" applyFont="1" applyFill="1" applyBorder="1" applyAlignment="1">
      <alignment horizontal="right"/>
    </xf>
    <xf numFmtId="9" fontId="35" fillId="0" borderId="0" xfId="3" applyFont="1" applyBorder="1" applyAlignment="1" applyProtection="1">
      <alignment horizontal="center"/>
    </xf>
    <xf numFmtId="175" fontId="53" fillId="4" borderId="0" xfId="0" applyNumberFormat="1" applyFont="1" applyFill="1" applyBorder="1"/>
    <xf numFmtId="165" fontId="53" fillId="4" borderId="0" xfId="0" applyNumberFormat="1" applyFont="1" applyFill="1" applyBorder="1"/>
    <xf numFmtId="0" fontId="53" fillId="4" borderId="0" xfId="0" applyFont="1" applyFill="1" applyBorder="1" applyAlignment="1">
      <alignment horizontal="right"/>
    </xf>
    <xf numFmtId="0" fontId="53" fillId="4" borderId="0" xfId="0" applyFont="1" applyFill="1" applyBorder="1" applyAlignment="1">
      <alignment wrapText="1"/>
    </xf>
    <xf numFmtId="0" fontId="64" fillId="4" borderId="0" xfId="0" applyFont="1" applyFill="1" applyBorder="1" applyAlignment="1">
      <alignment vertical="center" wrapText="1"/>
    </xf>
    <xf numFmtId="165" fontId="74" fillId="12" borderId="31" xfId="4" applyNumberFormat="1" applyFont="1" applyFill="1" applyBorder="1" applyAlignment="1" applyProtection="1">
      <alignment vertical="center" wrapText="1"/>
    </xf>
    <xf numFmtId="165" fontId="74" fillId="12" borderId="32" xfId="4" applyNumberFormat="1" applyFont="1" applyFill="1" applyBorder="1" applyAlignment="1" applyProtection="1">
      <alignment vertical="center" wrapText="1"/>
    </xf>
    <xf numFmtId="0" fontId="74" fillId="12" borderId="32" xfId="0" applyFont="1" applyFill="1" applyBorder="1" applyAlignment="1">
      <alignment vertical="center" wrapText="1"/>
    </xf>
    <xf numFmtId="0" fontId="74" fillId="12" borderId="153" xfId="0" applyFont="1" applyFill="1" applyBorder="1" applyAlignment="1">
      <alignment vertical="center" wrapText="1"/>
    </xf>
    <xf numFmtId="165" fontId="64" fillId="4" borderId="0" xfId="0" applyNumberFormat="1" applyFont="1" applyFill="1" applyBorder="1" applyAlignment="1">
      <alignment horizontal="center"/>
    </xf>
    <xf numFmtId="165" fontId="35" fillId="4" borderId="0" xfId="0" applyNumberFormat="1" applyFont="1" applyFill="1" applyBorder="1" applyAlignment="1"/>
    <xf numFmtId="165" fontId="80" fillId="0" borderId="0" xfId="4" applyNumberFormat="1" applyFont="1" applyFill="1" applyBorder="1" applyAlignment="1" applyProtection="1">
      <alignment horizontal="center" vertical="center" wrapText="1"/>
    </xf>
    <xf numFmtId="165" fontId="80" fillId="9" borderId="0" xfId="4" applyNumberFormat="1" applyFont="1" applyFill="1" applyBorder="1" applyAlignment="1" applyProtection="1">
      <alignment horizontal="right"/>
    </xf>
    <xf numFmtId="0" fontId="80" fillId="4" borderId="0" xfId="0" applyFont="1" applyFill="1" applyBorder="1" applyAlignment="1">
      <alignment horizontal="center" vertical="center" wrapText="1"/>
    </xf>
    <xf numFmtId="165" fontId="94" fillId="9" borderId="0" xfId="0" applyNumberFormat="1" applyFont="1" applyFill="1" applyBorder="1" applyAlignment="1">
      <alignment horizontal="left"/>
    </xf>
    <xf numFmtId="165" fontId="95" fillId="4" borderId="0" xfId="0" applyNumberFormat="1" applyFont="1" applyFill="1" applyBorder="1" applyAlignment="1">
      <alignment horizontal="center"/>
    </xf>
    <xf numFmtId="0" fontId="35" fillId="4" borderId="0" xfId="0" applyFont="1" applyFill="1" applyBorder="1" applyAlignment="1">
      <alignment horizontal="left"/>
    </xf>
    <xf numFmtId="165" fontId="79" fillId="4" borderId="0" xfId="0" applyNumberFormat="1" applyFont="1" applyFill="1" applyBorder="1" applyAlignment="1">
      <alignment horizontal="center"/>
    </xf>
    <xf numFmtId="0" fontId="96" fillId="4" borderId="0" xfId="0" applyFont="1" applyFill="1" applyBorder="1" applyAlignment="1">
      <alignment horizontal="center"/>
    </xf>
    <xf numFmtId="4" fontId="96" fillId="4" borderId="0" xfId="0" applyNumberFormat="1" applyFont="1" applyFill="1" applyBorder="1" applyAlignment="1">
      <alignment horizontal="center"/>
    </xf>
    <xf numFmtId="9" fontId="53" fillId="0" borderId="0" xfId="3" applyFont="1" applyBorder="1" applyAlignment="1" applyProtection="1">
      <alignment horizontal="center"/>
    </xf>
    <xf numFmtId="165" fontId="74" fillId="0" borderId="0" xfId="4" applyNumberFormat="1" applyFont="1" applyFill="1" applyBorder="1" applyAlignment="1" applyProtection="1">
      <alignment horizontal="right"/>
    </xf>
    <xf numFmtId="0" fontId="79" fillId="4" borderId="0" xfId="0" applyFont="1" applyFill="1" applyBorder="1" applyAlignment="1">
      <alignment horizontal="center"/>
    </xf>
    <xf numFmtId="0" fontId="74" fillId="4" borderId="0" xfId="0" applyFont="1" applyFill="1" applyBorder="1" applyAlignment="1">
      <alignment horizontal="right"/>
    </xf>
    <xf numFmtId="0" fontId="74" fillId="4" borderId="0" xfId="0" applyFont="1" applyFill="1" applyBorder="1" applyAlignment="1">
      <alignment horizontal="left"/>
    </xf>
    <xf numFmtId="165" fontId="53" fillId="0" borderId="0" xfId="4" applyNumberFormat="1" applyFont="1" applyFill="1" applyBorder="1" applyAlignment="1" applyProtection="1"/>
    <xf numFmtId="0" fontId="73" fillId="4" borderId="0" xfId="0" applyFont="1" applyFill="1" applyBorder="1"/>
    <xf numFmtId="165" fontId="73" fillId="0" borderId="0" xfId="4" applyNumberFormat="1" applyFont="1" applyFill="1" applyBorder="1" applyAlignment="1" applyProtection="1"/>
    <xf numFmtId="171" fontId="78" fillId="0" borderId="0" xfId="2" applyFont="1" applyBorder="1" applyAlignment="1" applyProtection="1">
      <alignment horizontal="right" vertical="center"/>
    </xf>
    <xf numFmtId="171" fontId="53" fillId="4" borderId="0" xfId="0" applyNumberFormat="1" applyFont="1" applyFill="1" applyBorder="1"/>
    <xf numFmtId="4" fontId="53" fillId="4" borderId="0" xfId="0" applyNumberFormat="1" applyFont="1" applyFill="1" applyBorder="1"/>
    <xf numFmtId="176" fontId="74" fillId="4" borderId="0" xfId="0" applyNumberFormat="1" applyFont="1" applyFill="1" applyBorder="1" applyAlignment="1">
      <alignment horizontal="center"/>
    </xf>
    <xf numFmtId="165" fontId="53" fillId="0" borderId="0" xfId="4" applyNumberFormat="1" applyFont="1" applyFill="1" applyBorder="1" applyAlignment="1" applyProtection="1">
      <alignment horizontal="left"/>
    </xf>
    <xf numFmtId="165" fontId="48" fillId="0" borderId="0" xfId="4" applyNumberFormat="1" applyFont="1" applyFill="1" applyBorder="1" applyAlignment="1" applyProtection="1">
      <alignment horizontal="center" vertical="center"/>
    </xf>
    <xf numFmtId="165" fontId="73" fillId="0" borderId="0" xfId="4" applyNumberFormat="1" applyFont="1" applyFill="1" applyBorder="1" applyAlignment="1" applyProtection="1">
      <alignment horizontal="center"/>
    </xf>
    <xf numFmtId="165" fontId="73" fillId="0" borderId="0" xfId="4" applyNumberFormat="1" applyFont="1" applyFill="1" applyBorder="1" applyAlignment="1" applyProtection="1">
      <alignment horizontal="right" indent="2"/>
    </xf>
    <xf numFmtId="0" fontId="97" fillId="0" borderId="0" xfId="0" applyFont="1"/>
    <xf numFmtId="165" fontId="11" fillId="0" borderId="0" xfId="4" applyNumberFormat="1" applyFont="1" applyFill="1" applyBorder="1" applyAlignment="1" applyProtection="1"/>
    <xf numFmtId="165" fontId="11" fillId="0" borderId="0" xfId="0" applyNumberFormat="1" applyFont="1"/>
    <xf numFmtId="0" fontId="11" fillId="0" borderId="0" xfId="0" applyFont="1" applyAlignment="1"/>
    <xf numFmtId="169" fontId="11" fillId="0" borderId="0" xfId="0" applyNumberFormat="1" applyFont="1"/>
    <xf numFmtId="177" fontId="11" fillId="0" borderId="0" xfId="0" applyNumberFormat="1" applyFont="1"/>
    <xf numFmtId="0" fontId="99" fillId="0" borderId="0" xfId="0" applyFont="1" applyAlignment="1"/>
    <xf numFmtId="165" fontId="97" fillId="0" borderId="0" xfId="0" applyNumberFormat="1" applyFont="1"/>
    <xf numFmtId="165" fontId="11" fillId="0" borderId="0" xfId="3" applyNumberFormat="1" applyFont="1" applyBorder="1" applyAlignment="1" applyProtection="1"/>
    <xf numFmtId="169" fontId="11" fillId="0" borderId="0" xfId="0" applyNumberFormat="1" applyFont="1" applyBorder="1"/>
    <xf numFmtId="165" fontId="11" fillId="0" borderId="0" xfId="0" applyNumberFormat="1" applyFont="1" applyBorder="1"/>
    <xf numFmtId="0" fontId="99" fillId="0" borderId="0" xfId="0" applyFont="1"/>
    <xf numFmtId="0" fontId="97" fillId="0" borderId="0" xfId="0" applyFont="1" applyBorder="1"/>
    <xf numFmtId="165" fontId="97" fillId="0" borderId="0" xfId="0" applyNumberFormat="1" applyFont="1" applyBorder="1"/>
    <xf numFmtId="0" fontId="33" fillId="0" borderId="0" xfId="0" applyFont="1"/>
    <xf numFmtId="0" fontId="101" fillId="0" borderId="0" xfId="0" applyFont="1"/>
    <xf numFmtId="0" fontId="11" fillId="0" borderId="38" xfId="0" applyFont="1" applyBorder="1"/>
    <xf numFmtId="0" fontId="52" fillId="0" borderId="0" xfId="0" applyFont="1" applyAlignment="1">
      <alignment horizontal="center"/>
    </xf>
    <xf numFmtId="0" fontId="53" fillId="0" borderId="0" xfId="0" applyFont="1" applyAlignment="1">
      <alignment horizontal="center"/>
    </xf>
    <xf numFmtId="0" fontId="53" fillId="0" borderId="157" xfId="0" applyFont="1" applyBorder="1" applyAlignment="1">
      <alignment horizontal="center"/>
    </xf>
    <xf numFmtId="0" fontId="53" fillId="0" borderId="110" xfId="0" applyFont="1" applyBorder="1" applyAlignment="1">
      <alignment horizontal="center"/>
    </xf>
    <xf numFmtId="0" fontId="53" fillId="0" borderId="110" xfId="0" applyFont="1" applyBorder="1" applyAlignment="1">
      <alignment horizontal="center" wrapText="1"/>
    </xf>
    <xf numFmtId="0" fontId="53" fillId="0" borderId="165" xfId="0" applyFont="1" applyBorder="1" applyAlignment="1">
      <alignment horizontal="center" wrapText="1"/>
    </xf>
    <xf numFmtId="0" fontId="11" fillId="0" borderId="123" xfId="0" applyFont="1" applyBorder="1"/>
    <xf numFmtId="0" fontId="53" fillId="0" borderId="124" xfId="0" applyFont="1" applyBorder="1" applyAlignment="1">
      <alignment horizontal="center"/>
    </xf>
    <xf numFmtId="0" fontId="53" fillId="0" borderId="125" xfId="0" applyFont="1" applyBorder="1" applyAlignment="1">
      <alignment horizontal="center"/>
    </xf>
    <xf numFmtId="0" fontId="53" fillId="0" borderId="159" xfId="0" applyFont="1" applyBorder="1" applyAlignment="1">
      <alignment horizontal="center"/>
    </xf>
    <xf numFmtId="2" fontId="53" fillId="0" borderId="110" xfId="0" applyNumberFormat="1" applyFont="1" applyBorder="1" applyAlignment="1">
      <alignment horizontal="center"/>
    </xf>
    <xf numFmtId="1" fontId="53" fillId="0" borderId="110" xfId="0" applyNumberFormat="1" applyFont="1" applyBorder="1" applyAlignment="1">
      <alignment horizontal="center"/>
    </xf>
    <xf numFmtId="10" fontId="53" fillId="0" borderId="110" xfId="0" applyNumberFormat="1" applyFont="1" applyBorder="1" applyAlignment="1">
      <alignment horizontal="center"/>
    </xf>
    <xf numFmtId="0" fontId="11" fillId="0" borderId="123" xfId="0" applyFont="1" applyBorder="1" applyAlignment="1">
      <alignment horizontal="center"/>
    </xf>
    <xf numFmtId="2" fontId="53" fillId="0" borderId="125" xfId="0" applyNumberFormat="1" applyFont="1" applyBorder="1" applyAlignment="1">
      <alignment horizontal="center"/>
    </xf>
    <xf numFmtId="0" fontId="11" fillId="0" borderId="126" xfId="0" applyFont="1" applyBorder="1"/>
    <xf numFmtId="0" fontId="58" fillId="0" borderId="0" xfId="0" applyFont="1" applyAlignment="1">
      <alignment horizontal="left"/>
    </xf>
    <xf numFmtId="0" fontId="61" fillId="0" borderId="0" xfId="0" applyFont="1" applyAlignment="1">
      <alignment horizontal="center"/>
    </xf>
    <xf numFmtId="0" fontId="53" fillId="0" borderId="0" xfId="0" applyFont="1" applyBorder="1" applyAlignment="1"/>
    <xf numFmtId="165" fontId="86" fillId="4" borderId="0" xfId="0" applyNumberFormat="1" applyFont="1" applyFill="1" applyBorder="1" applyAlignment="1">
      <alignment horizontal="center" vertical="center"/>
    </xf>
    <xf numFmtId="43" fontId="64" fillId="4" borderId="0" xfId="0" applyNumberFormat="1" applyFont="1" applyFill="1" applyBorder="1" applyAlignment="1">
      <alignment horizontal="center"/>
    </xf>
    <xf numFmtId="43" fontId="73" fillId="4" borderId="0" xfId="0" applyNumberFormat="1" applyFont="1" applyFill="1" applyBorder="1" applyAlignment="1"/>
    <xf numFmtId="43" fontId="10" fillId="0" borderId="110" xfId="1" applyBorder="1" applyAlignment="1">
      <alignment horizontal="center"/>
    </xf>
    <xf numFmtId="43" fontId="10" fillId="0" borderId="123" xfId="1" applyBorder="1" applyAlignment="1">
      <alignment horizontal="center"/>
    </xf>
    <xf numFmtId="43" fontId="10" fillId="0" borderId="123" xfId="1" applyBorder="1"/>
    <xf numFmtId="165" fontId="62" fillId="4" borderId="0" xfId="4" applyNumberFormat="1" applyFont="1" applyFill="1" applyBorder="1" applyAlignment="1" applyProtection="1">
      <alignment horizontal="center"/>
    </xf>
    <xf numFmtId="165" fontId="62" fillId="0" borderId="0" xfId="4" applyNumberFormat="1" applyFont="1" applyFill="1" applyBorder="1" applyAlignment="1" applyProtection="1">
      <alignment horizontal="center"/>
    </xf>
    <xf numFmtId="0" fontId="30" fillId="4" borderId="0" xfId="0" applyFont="1" applyFill="1"/>
    <xf numFmtId="43" fontId="11" fillId="0" borderId="99" xfId="1" applyFont="1" applyFill="1" applyBorder="1" applyAlignment="1" applyProtection="1">
      <alignment horizontal="center" vertical="center" wrapText="1"/>
      <protection locked="0"/>
    </xf>
    <xf numFmtId="0" fontId="11" fillId="0" borderId="110" xfId="5" applyFont="1" applyFill="1" applyBorder="1" applyAlignment="1" applyProtection="1">
      <alignment vertical="top" wrapText="1"/>
      <protection locked="0"/>
    </xf>
    <xf numFmtId="0" fontId="17" fillId="0" borderId="16" xfId="0" applyFont="1" applyBorder="1" applyAlignment="1">
      <alignment horizontal="left" vertical="center" wrapText="1"/>
    </xf>
    <xf numFmtId="1" fontId="19" fillId="0" borderId="2" xfId="0" applyNumberFormat="1" applyFont="1" applyBorder="1" applyAlignment="1">
      <alignment horizontal="right" vertical="center"/>
    </xf>
    <xf numFmtId="165" fontId="38" fillId="0" borderId="0" xfId="4" applyNumberFormat="1" applyFont="1" applyFill="1" applyBorder="1" applyAlignment="1" applyProtection="1">
      <alignment horizontal="center"/>
    </xf>
    <xf numFmtId="43" fontId="39" fillId="0" borderId="0" xfId="0" applyNumberFormat="1" applyFont="1"/>
    <xf numFmtId="165" fontId="71" fillId="4" borderId="45" xfId="4" applyNumberFormat="1" applyFont="1" applyFill="1" applyBorder="1" applyAlignment="1" applyProtection="1">
      <alignment horizontal="center"/>
    </xf>
    <xf numFmtId="2" fontId="71" fillId="4" borderId="45" xfId="0" applyNumberFormat="1" applyFont="1" applyFill="1" applyBorder="1" applyAlignment="1">
      <alignment horizontal="center"/>
    </xf>
    <xf numFmtId="165" fontId="71" fillId="0" borderId="45" xfId="4" applyNumberFormat="1" applyFont="1" applyFill="1" applyBorder="1" applyAlignment="1" applyProtection="1">
      <alignment horizontal="center"/>
    </xf>
    <xf numFmtId="4" fontId="42" fillId="6" borderId="45" xfId="0" applyNumberFormat="1" applyFont="1" applyFill="1" applyBorder="1" applyAlignment="1">
      <alignment horizontal="center"/>
    </xf>
    <xf numFmtId="4" fontId="42" fillId="4" borderId="45" xfId="0" applyNumberFormat="1" applyFont="1" applyFill="1" applyBorder="1" applyAlignment="1">
      <alignment horizontal="center"/>
    </xf>
    <xf numFmtId="2" fontId="69" fillId="4" borderId="0" xfId="0" applyNumberFormat="1" applyFont="1" applyFill="1" applyBorder="1" applyAlignment="1">
      <alignment horizontal="center"/>
    </xf>
    <xf numFmtId="170" fontId="69" fillId="4" borderId="0" xfId="0" applyNumberFormat="1" applyFont="1" applyFill="1" applyBorder="1" applyAlignment="1">
      <alignment horizontal="right"/>
    </xf>
    <xf numFmtId="3" fontId="69" fillId="4" borderId="0" xfId="0" applyNumberFormat="1" applyFont="1" applyFill="1" applyBorder="1" applyAlignment="1">
      <alignment horizontal="center"/>
    </xf>
    <xf numFmtId="43" fontId="32" fillId="0" borderId="38" xfId="1" applyFont="1" applyBorder="1" applyAlignment="1">
      <alignment horizontal="center" vertical="center"/>
    </xf>
    <xf numFmtId="2" fontId="46" fillId="4" borderId="0" xfId="0" applyNumberFormat="1" applyFont="1" applyFill="1"/>
    <xf numFmtId="0" fontId="46" fillId="0" borderId="0" xfId="0" applyFont="1"/>
    <xf numFmtId="165" fontId="11" fillId="0" borderId="41" xfId="0" applyNumberFormat="1" applyFont="1" applyBorder="1"/>
    <xf numFmtId="165" fontId="11" fillId="0" borderId="38" xfId="4" applyNumberFormat="1" applyFont="1" applyFill="1" applyBorder="1" applyAlignment="1" applyProtection="1"/>
    <xf numFmtId="0" fontId="11" fillId="0" borderId="0" xfId="0" applyFont="1" applyAlignment="1">
      <alignment horizontal="right"/>
    </xf>
    <xf numFmtId="0" fontId="39" fillId="0" borderId="28" xfId="0" applyFont="1" applyBorder="1"/>
    <xf numFmtId="0" fontId="39" fillId="4" borderId="28" xfId="0" applyFont="1" applyFill="1" applyBorder="1"/>
    <xf numFmtId="165" fontId="75" fillId="4" borderId="170" xfId="4" applyNumberFormat="1" applyFont="1" applyFill="1" applyBorder="1" applyAlignment="1" applyProtection="1"/>
    <xf numFmtId="0" fontId="52" fillId="0" borderId="0" xfId="0" applyFont="1" applyAlignment="1">
      <alignment horizontal="center"/>
    </xf>
    <xf numFmtId="0" fontId="61" fillId="0" borderId="0" xfId="0" applyFont="1" applyAlignment="1"/>
    <xf numFmtId="0" fontId="10" fillId="0" borderId="0" xfId="0" applyFont="1"/>
    <xf numFmtId="164" fontId="107" fillId="15" borderId="0" xfId="0" applyNumberFormat="1" applyFont="1" applyFill="1"/>
    <xf numFmtId="165" fontId="108" fillId="4" borderId="0" xfId="4" applyNumberFormat="1" applyFont="1" applyFill="1" applyBorder="1" applyAlignment="1" applyProtection="1"/>
    <xf numFmtId="0" fontId="110" fillId="0" borderId="0" xfId="0" applyFont="1"/>
    <xf numFmtId="0" fontId="28" fillId="0" borderId="0" xfId="0" applyFont="1"/>
    <xf numFmtId="0" fontId="111" fillId="0" borderId="0" xfId="0" applyFont="1"/>
    <xf numFmtId="0" fontId="10" fillId="0" borderId="71" xfId="0" applyFont="1" applyBorder="1"/>
    <xf numFmtId="0" fontId="79" fillId="4" borderId="0" xfId="0" applyFont="1" applyFill="1" applyBorder="1" applyAlignment="1">
      <alignment horizontal="center" shrinkToFit="1"/>
    </xf>
    <xf numFmtId="165" fontId="75" fillId="4" borderId="0" xfId="4" applyNumberFormat="1" applyFont="1" applyFill="1" applyBorder="1" applyAlignment="1" applyProtection="1"/>
    <xf numFmtId="0" fontId="46" fillId="4" borderId="0" xfId="0" applyFont="1" applyFill="1" applyBorder="1"/>
    <xf numFmtId="2" fontId="46" fillId="4" borderId="0" xfId="0" applyNumberFormat="1" applyFont="1" applyFill="1" applyBorder="1"/>
    <xf numFmtId="0" fontId="46" fillId="0" borderId="0" xfId="0" applyFont="1" applyBorder="1"/>
    <xf numFmtId="0" fontId="97" fillId="0" borderId="0" xfId="0" applyFont="1" applyBorder="1" applyAlignment="1">
      <alignment horizontal="center"/>
    </xf>
    <xf numFmtId="0" fontId="53" fillId="0" borderId="48" xfId="0" applyFont="1" applyBorder="1" applyAlignment="1">
      <alignment horizontal="center"/>
    </xf>
    <xf numFmtId="2" fontId="53" fillId="0" borderId="99" xfId="0" applyNumberFormat="1" applyFont="1" applyBorder="1" applyAlignment="1">
      <alignment horizontal="center"/>
    </xf>
    <xf numFmtId="0" fontId="53" fillId="0" borderId="121" xfId="0" applyFont="1" applyBorder="1" applyAlignment="1">
      <alignment horizontal="center"/>
    </xf>
    <xf numFmtId="0" fontId="34" fillId="0" borderId="0" xfId="0" applyFont="1"/>
    <xf numFmtId="0" fontId="109" fillId="0" borderId="0" xfId="0" applyFont="1"/>
    <xf numFmtId="165" fontId="71" fillId="17" borderId="0" xfId="4" applyNumberFormat="1" applyFont="1" applyFill="1" applyBorder="1" applyAlignment="1" applyProtection="1"/>
    <xf numFmtId="165" fontId="37" fillId="17" borderId="0" xfId="4" applyNumberFormat="1" applyFont="1" applyFill="1" applyBorder="1" applyAlignment="1" applyProtection="1">
      <alignment wrapText="1"/>
    </xf>
    <xf numFmtId="165" fontId="38" fillId="20" borderId="0" xfId="4" applyNumberFormat="1" applyFont="1" applyFill="1" applyBorder="1" applyAlignment="1" applyProtection="1"/>
    <xf numFmtId="165" fontId="71" fillId="20" borderId="0" xfId="4" applyNumberFormat="1" applyFont="1" applyFill="1" applyBorder="1" applyAlignment="1" applyProtection="1"/>
    <xf numFmtId="165" fontId="71" fillId="14" borderId="0" xfId="4" applyNumberFormat="1" applyFont="1" applyFill="1" applyBorder="1" applyAlignment="1" applyProtection="1"/>
    <xf numFmtId="165" fontId="71" fillId="20" borderId="0" xfId="4" applyNumberFormat="1" applyFont="1" applyFill="1" applyBorder="1" applyAlignment="1" applyProtection="1">
      <alignment horizontal="center"/>
    </xf>
    <xf numFmtId="164" fontId="41" fillId="26" borderId="0" xfId="4" applyNumberFormat="1" applyFont="1" applyFill="1" applyBorder="1" applyAlignment="1" applyProtection="1"/>
    <xf numFmtId="0" fontId="41" fillId="26" borderId="0" xfId="0" applyFont="1" applyFill="1"/>
    <xf numFmtId="43" fontId="11" fillId="0" borderId="0" xfId="0" applyNumberFormat="1" applyFont="1"/>
    <xf numFmtId="43" fontId="10" fillId="0" borderId="110" xfId="1" applyBorder="1"/>
    <xf numFmtId="43" fontId="10" fillId="0" borderId="0" xfId="1" applyAlignment="1">
      <alignment horizontal="center" shrinkToFit="1"/>
    </xf>
    <xf numFmtId="165" fontId="79" fillId="17" borderId="110" xfId="4" applyNumberFormat="1" applyFont="1" applyFill="1" applyBorder="1" applyAlignment="1" applyProtection="1">
      <alignment horizontal="right"/>
    </xf>
    <xf numFmtId="165" fontId="79" fillId="19" borderId="110" xfId="4" applyNumberFormat="1" applyFont="1" applyFill="1" applyBorder="1" applyAlignment="1" applyProtection="1">
      <alignment horizontal="right"/>
    </xf>
    <xf numFmtId="10" fontId="79" fillId="14" borderId="110" xfId="4" applyNumberFormat="1" applyFont="1" applyFill="1" applyBorder="1" applyAlignment="1" applyProtection="1">
      <alignment horizontal="right"/>
    </xf>
    <xf numFmtId="165" fontId="79" fillId="14" borderId="110" xfId="4" applyNumberFormat="1" applyFont="1" applyFill="1" applyBorder="1" applyAlignment="1" applyProtection="1">
      <alignment horizontal="center"/>
    </xf>
    <xf numFmtId="165" fontId="79" fillId="14" borderId="123" xfId="4" applyNumberFormat="1" applyFont="1" applyFill="1" applyBorder="1" applyAlignment="1" applyProtection="1">
      <alignment horizontal="center"/>
    </xf>
    <xf numFmtId="165" fontId="79" fillId="20" borderId="110" xfId="4" applyNumberFormat="1" applyFont="1" applyFill="1" applyBorder="1" applyAlignment="1" applyProtection="1">
      <alignment horizontal="right"/>
    </xf>
    <xf numFmtId="165" fontId="79" fillId="14" borderId="110" xfId="4" applyNumberFormat="1" applyFont="1" applyFill="1" applyBorder="1" applyAlignment="1" applyProtection="1">
      <alignment horizontal="right"/>
    </xf>
    <xf numFmtId="10" fontId="79" fillId="20" borderId="110" xfId="4" applyNumberFormat="1" applyFont="1" applyFill="1" applyBorder="1" applyAlignment="1" applyProtection="1">
      <alignment horizontal="right"/>
    </xf>
    <xf numFmtId="165" fontId="79" fillId="20" borderId="110" xfId="4" applyNumberFormat="1" applyFont="1" applyFill="1" applyBorder="1" applyAlignment="1" applyProtection="1">
      <alignment horizontal="center"/>
    </xf>
    <xf numFmtId="165" fontId="79" fillId="20" borderId="123" xfId="4" applyNumberFormat="1" applyFont="1" applyFill="1" applyBorder="1" applyAlignment="1" applyProtection="1">
      <alignment horizontal="center"/>
    </xf>
    <xf numFmtId="0" fontId="79" fillId="14" borderId="110" xfId="0" applyFont="1" applyFill="1" applyBorder="1" applyAlignment="1">
      <alignment horizontal="center" vertical="center" wrapText="1"/>
    </xf>
    <xf numFmtId="0" fontId="79" fillId="20" borderId="110" xfId="0" applyFont="1" applyFill="1" applyBorder="1" applyAlignment="1">
      <alignment vertical="center" wrapText="1"/>
    </xf>
    <xf numFmtId="0" fontId="79" fillId="14" borderId="110" xfId="0" applyFont="1" applyFill="1" applyBorder="1" applyAlignment="1">
      <alignment vertical="center" wrapText="1"/>
    </xf>
    <xf numFmtId="0" fontId="79" fillId="25" borderId="110" xfId="4" applyNumberFormat="1" applyFont="1" applyFill="1" applyBorder="1" applyAlignment="1" applyProtection="1">
      <alignment horizontal="right"/>
    </xf>
    <xf numFmtId="0" fontId="79" fillId="20" borderId="110" xfId="0" applyFont="1" applyFill="1" applyBorder="1" applyAlignment="1">
      <alignment horizontal="left" vertical="center"/>
    </xf>
    <xf numFmtId="0" fontId="79" fillId="20" borderId="110" xfId="0" applyFont="1" applyFill="1" applyBorder="1" applyAlignment="1">
      <alignment horizontal="center" vertical="center"/>
    </xf>
    <xf numFmtId="49" fontId="79" fillId="20" borderId="110" xfId="0" applyNumberFormat="1" applyFont="1" applyFill="1" applyBorder="1" applyAlignment="1">
      <alignment horizontal="center" vertical="center"/>
    </xf>
    <xf numFmtId="165" fontId="57" fillId="17" borderId="97" xfId="4" applyNumberFormat="1" applyFont="1" applyFill="1" applyBorder="1" applyAlignment="1" applyProtection="1">
      <alignment horizontal="center" vertical="center" wrapText="1"/>
    </xf>
    <xf numFmtId="164" fontId="52" fillId="26" borderId="57" xfId="4" applyNumberFormat="1" applyFont="1" applyFill="1" applyBorder="1" applyAlignment="1" applyProtection="1">
      <alignment horizontal="right"/>
    </xf>
    <xf numFmtId="164" fontId="52" fillId="27" borderId="57" xfId="4" applyNumberFormat="1" applyFont="1" applyFill="1" applyBorder="1" applyAlignment="1" applyProtection="1">
      <alignment horizontal="right"/>
    </xf>
    <xf numFmtId="167" fontId="52" fillId="26" borderId="57" xfId="4" applyNumberFormat="1" applyFont="1" applyFill="1" applyBorder="1" applyAlignment="1" applyProtection="1">
      <alignment horizontal="right"/>
    </xf>
    <xf numFmtId="164" fontId="52" fillId="26" borderId="145" xfId="4" applyNumberFormat="1" applyFont="1" applyFill="1" applyBorder="1" applyAlignment="1" applyProtection="1">
      <alignment horizontal="center" vertical="center" wrapText="1"/>
    </xf>
    <xf numFmtId="0" fontId="117" fillId="0" borderId="0" xfId="0" applyFont="1" applyBorder="1" applyAlignment="1">
      <alignment wrapText="1"/>
    </xf>
    <xf numFmtId="165" fontId="79" fillId="28" borderId="110" xfId="4" applyNumberFormat="1" applyFont="1" applyFill="1" applyBorder="1" applyAlignment="1" applyProtection="1">
      <alignment horizontal="right"/>
    </xf>
    <xf numFmtId="164" fontId="52" fillId="29" borderId="57" xfId="4" applyNumberFormat="1" applyFont="1" applyFill="1" applyBorder="1" applyAlignment="1" applyProtection="1">
      <alignment horizontal="right"/>
    </xf>
    <xf numFmtId="165" fontId="37" fillId="28" borderId="0" xfId="4" applyNumberFormat="1" applyFont="1" applyFill="1" applyBorder="1" applyAlignment="1" applyProtection="1"/>
    <xf numFmtId="165" fontId="37" fillId="0" borderId="119" xfId="4" applyNumberFormat="1" applyFont="1" applyFill="1" applyBorder="1" applyAlignment="1" applyProtection="1"/>
    <xf numFmtId="165" fontId="38" fillId="0" borderId="141" xfId="4" applyNumberFormat="1" applyFont="1" applyFill="1" applyBorder="1" applyAlignment="1" applyProtection="1"/>
    <xf numFmtId="165" fontId="37" fillId="20" borderId="32" xfId="4" applyNumberFormat="1" applyFont="1" applyFill="1" applyBorder="1" applyAlignment="1" applyProtection="1">
      <alignment wrapText="1"/>
    </xf>
    <xf numFmtId="165" fontId="38" fillId="17" borderId="32" xfId="4" applyNumberFormat="1" applyFont="1" applyFill="1" applyBorder="1" applyAlignment="1" applyProtection="1"/>
    <xf numFmtId="165" fontId="38" fillId="20" borderId="32" xfId="4" applyNumberFormat="1" applyFont="1" applyFill="1" applyBorder="1" applyAlignment="1" applyProtection="1"/>
    <xf numFmtId="165" fontId="37" fillId="17" borderId="32" xfId="4" applyNumberFormat="1" applyFont="1" applyFill="1" applyBorder="1" applyAlignment="1" applyProtection="1">
      <alignment wrapText="1"/>
    </xf>
    <xf numFmtId="0" fontId="119" fillId="0" borderId="0" xfId="0" applyFont="1" applyAlignment="1">
      <alignment wrapText="1"/>
    </xf>
    <xf numFmtId="165" fontId="79" fillId="28" borderId="121" xfId="4" applyNumberFormat="1" applyFont="1" applyFill="1" applyBorder="1" applyAlignment="1" applyProtection="1">
      <alignment horizontal="right"/>
    </xf>
    <xf numFmtId="165" fontId="79" fillId="19" borderId="121" xfId="4" applyNumberFormat="1" applyFont="1" applyFill="1" applyBorder="1" applyAlignment="1" applyProtection="1">
      <alignment horizontal="right"/>
    </xf>
    <xf numFmtId="10" fontId="79" fillId="14" borderId="121" xfId="4" applyNumberFormat="1" applyFont="1" applyFill="1" applyBorder="1" applyAlignment="1" applyProtection="1">
      <alignment horizontal="right"/>
    </xf>
    <xf numFmtId="165" fontId="79" fillId="14" borderId="121" xfId="4" applyNumberFormat="1" applyFont="1" applyFill="1" applyBorder="1" applyAlignment="1" applyProtection="1">
      <alignment horizontal="center"/>
    </xf>
    <xf numFmtId="0" fontId="61" fillId="0" borderId="0" xfId="0" applyFont="1" applyAlignment="1"/>
    <xf numFmtId="0" fontId="61" fillId="0" borderId="0" xfId="0" applyFont="1"/>
    <xf numFmtId="2" fontId="57" fillId="0" borderId="0" xfId="4" applyNumberFormat="1" applyFont="1" applyFill="1" applyBorder="1" applyAlignment="1" applyProtection="1">
      <alignment horizontal="center" vertical="center"/>
    </xf>
    <xf numFmtId="0" fontId="76" fillId="4" borderId="0" xfId="0" applyFont="1" applyFill="1" applyBorder="1" applyAlignment="1">
      <alignment vertical="center"/>
    </xf>
    <xf numFmtId="0" fontId="76" fillId="4" borderId="0" xfId="0" applyFont="1" applyFill="1" applyAlignment="1">
      <alignment vertical="center"/>
    </xf>
    <xf numFmtId="0" fontId="120" fillId="0" borderId="0" xfId="0" applyFont="1"/>
    <xf numFmtId="0" fontId="53" fillId="0" borderId="0" xfId="0" applyFont="1"/>
    <xf numFmtId="0" fontId="52" fillId="0" borderId="0" xfId="0" applyFont="1" applyAlignment="1"/>
    <xf numFmtId="0" fontId="74" fillId="0" borderId="0" xfId="0" applyFont="1" applyAlignment="1"/>
    <xf numFmtId="0" fontId="67" fillId="0" borderId="0" xfId="0" applyFont="1" applyAlignment="1"/>
    <xf numFmtId="0" fontId="113" fillId="0" borderId="0" xfId="0" applyFont="1"/>
    <xf numFmtId="0" fontId="121" fillId="0" borderId="0" xfId="0" applyFont="1" applyAlignment="1">
      <alignment horizontal="center"/>
    </xf>
    <xf numFmtId="0" fontId="122" fillId="0" borderId="0" xfId="0" applyFont="1" applyAlignment="1">
      <alignment vertical="top"/>
    </xf>
    <xf numFmtId="0" fontId="121" fillId="0" borderId="0" xfId="0" applyFont="1"/>
    <xf numFmtId="0" fontId="123" fillId="0" borderId="0" xfId="0" applyFont="1"/>
    <xf numFmtId="0" fontId="113" fillId="0" borderId="0" xfId="0" applyFont="1" applyBorder="1"/>
    <xf numFmtId="0" fontId="113" fillId="0" borderId="163" xfId="0" applyFont="1" applyBorder="1"/>
    <xf numFmtId="0" fontId="77" fillId="0" borderId="0" xfId="0" applyFont="1" applyAlignment="1"/>
    <xf numFmtId="0" fontId="121" fillId="0" borderId="0" xfId="0" applyFont="1" applyAlignment="1">
      <alignment vertical="top"/>
    </xf>
    <xf numFmtId="10" fontId="53" fillId="0" borderId="134" xfId="3" applyNumberFormat="1" applyFont="1" applyBorder="1"/>
    <xf numFmtId="10" fontId="53" fillId="0" borderId="172" xfId="3" applyNumberFormat="1" applyFont="1" applyBorder="1"/>
    <xf numFmtId="165" fontId="61" fillId="0" borderId="0" xfId="4" applyNumberFormat="1" applyFont="1" applyFill="1" applyBorder="1" applyAlignment="1" applyProtection="1">
      <alignment horizontal="center"/>
    </xf>
    <xf numFmtId="0" fontId="126" fillId="0" borderId="0" xfId="0" applyFont="1" applyAlignment="1"/>
    <xf numFmtId="165" fontId="61" fillId="0" borderId="0" xfId="0" applyNumberFormat="1" applyFont="1" applyAlignment="1"/>
    <xf numFmtId="165" fontId="61" fillId="0" borderId="0" xfId="0" applyNumberFormat="1" applyFont="1"/>
    <xf numFmtId="0" fontId="113" fillId="0" borderId="0" xfId="0" applyFont="1" applyAlignment="1">
      <alignment horizontal="left"/>
    </xf>
    <xf numFmtId="169" fontId="113" fillId="0" borderId="0" xfId="0" applyNumberFormat="1" applyFont="1" applyBorder="1"/>
    <xf numFmtId="165" fontId="113" fillId="0" borderId="0" xfId="4" applyNumberFormat="1" applyFont="1" applyFill="1" applyBorder="1" applyAlignment="1" applyProtection="1"/>
    <xf numFmtId="169" fontId="61" fillId="0" borderId="0" xfId="0" applyNumberFormat="1" applyFont="1" applyBorder="1"/>
    <xf numFmtId="165" fontId="61" fillId="0" borderId="0" xfId="4" applyNumberFormat="1" applyFont="1" applyFill="1" applyBorder="1" applyAlignment="1" applyProtection="1"/>
    <xf numFmtId="0" fontId="121" fillId="4" borderId="0" xfId="0" applyFont="1" applyFill="1" applyBorder="1"/>
    <xf numFmtId="0" fontId="127" fillId="4" borderId="0" xfId="0" applyFont="1" applyFill="1" applyBorder="1"/>
    <xf numFmtId="2" fontId="121" fillId="4" borderId="0" xfId="0" applyNumberFormat="1" applyFont="1" applyFill="1" applyBorder="1"/>
    <xf numFmtId="2" fontId="113" fillId="0" borderId="0" xfId="0" applyNumberFormat="1" applyFont="1" applyBorder="1"/>
    <xf numFmtId="0" fontId="121" fillId="0" borderId="0" xfId="0" applyFont="1" applyBorder="1"/>
    <xf numFmtId="3" fontId="128" fillId="4" borderId="0" xfId="0" applyNumberFormat="1" applyFont="1" applyFill="1" applyBorder="1"/>
    <xf numFmtId="165" fontId="128" fillId="4" borderId="0" xfId="4" applyNumberFormat="1" applyFont="1" applyFill="1" applyBorder="1" applyAlignment="1" applyProtection="1"/>
    <xf numFmtId="0" fontId="129" fillId="4" borderId="0" xfId="0" applyFont="1" applyFill="1" applyBorder="1" applyAlignment="1">
      <alignment horizontal="center" shrinkToFit="1"/>
    </xf>
    <xf numFmtId="0" fontId="113" fillId="4" borderId="0" xfId="0" applyFont="1" applyFill="1"/>
    <xf numFmtId="0" fontId="121" fillId="4" borderId="0" xfId="0" applyFont="1" applyFill="1"/>
    <xf numFmtId="0" fontId="121" fillId="4" borderId="111" xfId="0" applyFont="1" applyFill="1" applyBorder="1" applyAlignment="1">
      <alignment wrapText="1"/>
    </xf>
    <xf numFmtId="0" fontId="121" fillId="4" borderId="110" xfId="0" applyFont="1" applyFill="1" applyBorder="1" applyAlignment="1">
      <alignment wrapText="1"/>
    </xf>
    <xf numFmtId="165" fontId="121" fillId="4" borderId="103" xfId="4" applyNumberFormat="1" applyFont="1" applyFill="1" applyBorder="1" applyAlignment="1" applyProtection="1">
      <alignment wrapText="1"/>
    </xf>
    <xf numFmtId="0" fontId="121" fillId="4" borderId="111" xfId="0" applyFont="1" applyFill="1" applyBorder="1" applyAlignment="1">
      <alignment horizontal="right" wrapText="1"/>
    </xf>
    <xf numFmtId="0" fontId="121" fillId="4" borderId="110" xfId="0" applyFont="1" applyFill="1" applyBorder="1" applyAlignment="1">
      <alignment horizontal="right" wrapText="1"/>
    </xf>
    <xf numFmtId="0" fontId="121" fillId="4" borderId="108" xfId="0" applyFont="1" applyFill="1" applyBorder="1"/>
    <xf numFmtId="0" fontId="113" fillId="4" borderId="0" xfId="0" applyFont="1" applyFill="1" applyBorder="1"/>
    <xf numFmtId="0" fontId="121" fillId="4" borderId="0" xfId="0" applyFont="1" applyFill="1" applyAlignment="1">
      <alignment wrapText="1"/>
    </xf>
    <xf numFmtId="0" fontId="121" fillId="4" borderId="102" xfId="0" applyFont="1" applyFill="1" applyBorder="1" applyAlignment="1">
      <alignment vertical="center" wrapText="1"/>
    </xf>
    <xf numFmtId="165" fontId="121" fillId="4" borderId="38" xfId="4" applyNumberFormat="1" applyFont="1" applyFill="1" applyBorder="1" applyAlignment="1" applyProtection="1">
      <alignment vertical="center" wrapText="1"/>
    </xf>
    <xf numFmtId="165" fontId="121" fillId="4" borderId="104" xfId="4" applyNumberFormat="1" applyFont="1" applyFill="1" applyBorder="1" applyAlignment="1" applyProtection="1">
      <alignment vertical="center" wrapText="1"/>
    </xf>
    <xf numFmtId="165" fontId="121" fillId="4" borderId="102" xfId="4" applyNumberFormat="1" applyFont="1" applyFill="1" applyBorder="1" applyAlignment="1" applyProtection="1">
      <alignment vertical="center" wrapText="1"/>
    </xf>
    <xf numFmtId="0" fontId="121" fillId="4" borderId="66" xfId="0" applyFont="1" applyFill="1" applyBorder="1" applyAlignment="1">
      <alignment wrapText="1"/>
    </xf>
    <xf numFmtId="0" fontId="113" fillId="4" borderId="0" xfId="0" applyFont="1" applyFill="1" applyAlignment="1">
      <alignment wrapText="1"/>
    </xf>
    <xf numFmtId="165" fontId="130" fillId="4" borderId="0" xfId="0" applyNumberFormat="1" applyFont="1" applyFill="1" applyBorder="1"/>
    <xf numFmtId="0" fontId="130" fillId="4" borderId="0" xfId="0" applyFont="1" applyFill="1"/>
    <xf numFmtId="2" fontId="69" fillId="4" borderId="38" xfId="0" applyNumberFormat="1" applyFont="1" applyFill="1" applyBorder="1" applyAlignment="1">
      <alignment horizontal="center"/>
    </xf>
    <xf numFmtId="3" fontId="69" fillId="4" borderId="38" xfId="0" applyNumberFormat="1" applyFont="1" applyFill="1" applyBorder="1" applyAlignment="1">
      <alignment horizontal="center"/>
    </xf>
    <xf numFmtId="2" fontId="46" fillId="4" borderId="38" xfId="0" applyNumberFormat="1" applyFont="1" applyFill="1" applyBorder="1" applyAlignment="1"/>
    <xf numFmtId="0" fontId="39" fillId="0" borderId="38" xfId="0" applyFont="1" applyBorder="1"/>
    <xf numFmtId="0" fontId="46" fillId="0" borderId="38" xfId="0" applyFont="1" applyBorder="1"/>
    <xf numFmtId="3" fontId="42" fillId="4" borderId="38" xfId="0" applyNumberFormat="1" applyFont="1" applyFill="1" applyBorder="1"/>
    <xf numFmtId="3" fontId="39" fillId="0" borderId="38" xfId="0" applyNumberFormat="1" applyFont="1" applyBorder="1"/>
    <xf numFmtId="43" fontId="32" fillId="0" borderId="39" xfId="1" applyFont="1" applyBorder="1" applyAlignment="1">
      <alignment horizontal="center" vertical="center"/>
    </xf>
    <xf numFmtId="43" fontId="32" fillId="0" borderId="45" xfId="1" applyFont="1" applyBorder="1" applyAlignment="1">
      <alignment horizontal="center" vertical="center"/>
    </xf>
    <xf numFmtId="2" fontId="46" fillId="4" borderId="45" xfId="0" applyNumberFormat="1" applyFont="1" applyFill="1" applyBorder="1"/>
    <xf numFmtId="2" fontId="39" fillId="0" borderId="45" xfId="0" applyNumberFormat="1" applyFont="1" applyBorder="1"/>
    <xf numFmtId="0" fontId="39" fillId="0" borderId="45" xfId="0" applyFont="1" applyBorder="1" applyAlignment="1">
      <alignment horizontal="right"/>
    </xf>
    <xf numFmtId="0" fontId="39" fillId="0" borderId="45" xfId="0" applyFont="1" applyBorder="1"/>
    <xf numFmtId="0" fontId="46" fillId="0" borderId="45" xfId="0" applyFont="1" applyBorder="1"/>
    <xf numFmtId="3" fontId="42" fillId="4" borderId="45" xfId="0" applyNumberFormat="1" applyFont="1" applyFill="1" applyBorder="1"/>
    <xf numFmtId="3" fontId="39" fillId="0" borderId="45" xfId="0" applyNumberFormat="1" applyFont="1" applyBorder="1"/>
    <xf numFmtId="43" fontId="32" fillId="20" borderId="38" xfId="1" applyFont="1" applyFill="1" applyBorder="1" applyAlignment="1">
      <alignment horizontal="center" vertical="center"/>
    </xf>
    <xf numFmtId="0" fontId="69" fillId="14" borderId="0" xfId="0" applyFont="1" applyFill="1"/>
    <xf numFmtId="2" fontId="21" fillId="0" borderId="0" xfId="0" applyNumberFormat="1" applyFont="1" applyBorder="1" applyAlignment="1" applyProtection="1">
      <alignment horizontal="center" vertical="center"/>
    </xf>
    <xf numFmtId="0" fontId="64" fillId="0" borderId="73" xfId="0" applyFont="1" applyBorder="1"/>
    <xf numFmtId="43" fontId="97" fillId="0" borderId="0" xfId="0" applyNumberFormat="1" applyFont="1"/>
    <xf numFmtId="4" fontId="69" fillId="31" borderId="38" xfId="0" applyNumberFormat="1" applyFont="1" applyFill="1" applyBorder="1" applyAlignment="1">
      <alignment horizontal="center"/>
    </xf>
    <xf numFmtId="0" fontId="136" fillId="4" borderId="0" xfId="0" applyFont="1" applyFill="1"/>
    <xf numFmtId="0" fontId="137" fillId="0" borderId="0" xfId="0" applyFont="1"/>
    <xf numFmtId="2" fontId="41" fillId="4" borderId="35" xfId="0" applyNumberFormat="1" applyFont="1" applyFill="1" applyBorder="1" applyAlignment="1">
      <alignment horizontal="center" vertical="center"/>
    </xf>
    <xf numFmtId="170" fontId="41" fillId="4" borderId="35" xfId="0" applyNumberFormat="1" applyFont="1" applyFill="1" applyBorder="1" applyAlignment="1">
      <alignment horizontal="center" vertical="center"/>
    </xf>
    <xf numFmtId="1" fontId="41" fillId="4" borderId="38" xfId="0" applyNumberFormat="1" applyFont="1" applyFill="1" applyBorder="1" applyAlignment="1">
      <alignment horizontal="center" wrapText="1"/>
    </xf>
    <xf numFmtId="0" fontId="52" fillId="4" borderId="102" xfId="0" applyFont="1" applyFill="1" applyBorder="1" applyAlignment="1">
      <alignment vertical="center" wrapText="1"/>
    </xf>
    <xf numFmtId="165" fontId="52" fillId="4" borderId="38" xfId="4" applyNumberFormat="1" applyFont="1" applyFill="1" applyBorder="1" applyAlignment="1" applyProtection="1">
      <alignment vertical="center" wrapText="1"/>
    </xf>
    <xf numFmtId="165" fontId="52" fillId="4" borderId="104" xfId="4" applyNumberFormat="1" applyFont="1" applyFill="1" applyBorder="1" applyAlignment="1" applyProtection="1">
      <alignment vertical="center" wrapText="1"/>
    </xf>
    <xf numFmtId="165" fontId="52" fillId="4" borderId="102" xfId="4" applyNumberFormat="1" applyFont="1" applyFill="1" applyBorder="1" applyAlignment="1" applyProtection="1">
      <alignment vertical="center" wrapText="1"/>
    </xf>
    <xf numFmtId="165" fontId="75" fillId="4" borderId="99" xfId="4" applyNumberFormat="1" applyFont="1" applyFill="1" applyBorder="1" applyAlignment="1" applyProtection="1"/>
    <xf numFmtId="165" fontId="75" fillId="4" borderId="186" xfId="4" applyNumberFormat="1" applyFont="1" applyFill="1" applyBorder="1" applyAlignment="1" applyProtection="1"/>
    <xf numFmtId="165" fontId="75" fillId="4" borderId="166" xfId="4" applyNumberFormat="1" applyFont="1" applyFill="1" applyBorder="1" applyAlignment="1" applyProtection="1"/>
    <xf numFmtId="0" fontId="74" fillId="4" borderId="187" xfId="0" applyFont="1" applyFill="1" applyBorder="1" applyAlignment="1">
      <alignment wrapText="1"/>
    </xf>
    <xf numFmtId="0" fontId="74" fillId="4" borderId="99" xfId="0" applyFont="1" applyFill="1" applyBorder="1" applyAlignment="1">
      <alignment wrapText="1"/>
    </xf>
    <xf numFmtId="165" fontId="74" fillId="4" borderId="188" xfId="4" applyNumberFormat="1" applyFont="1" applyFill="1" applyBorder="1" applyAlignment="1" applyProtection="1">
      <alignment wrapText="1"/>
    </xf>
    <xf numFmtId="0" fontId="74" fillId="4" borderId="187" xfId="0" applyFont="1" applyFill="1" applyBorder="1" applyAlignment="1">
      <alignment horizontal="right" wrapText="1"/>
    </xf>
    <xf numFmtId="0" fontId="74" fillId="4" borderId="99" xfId="0" applyFont="1" applyFill="1" applyBorder="1" applyAlignment="1">
      <alignment horizontal="right" wrapText="1"/>
    </xf>
    <xf numFmtId="0" fontId="74" fillId="4" borderId="194" xfId="0" applyFont="1" applyFill="1" applyBorder="1"/>
    <xf numFmtId="0" fontId="74" fillId="4" borderId="195" xfId="0" applyFont="1" applyFill="1" applyBorder="1" applyAlignment="1">
      <alignment vertical="center" wrapText="1"/>
    </xf>
    <xf numFmtId="165" fontId="74" fillId="4" borderId="39" xfId="4" applyNumberFormat="1" applyFont="1" applyFill="1" applyBorder="1" applyAlignment="1" applyProtection="1">
      <alignment vertical="center" wrapText="1"/>
    </xf>
    <xf numFmtId="165" fontId="74" fillId="4" borderId="143" xfId="4" applyNumberFormat="1" applyFont="1" applyFill="1" applyBorder="1" applyAlignment="1" applyProtection="1">
      <alignment vertical="center" wrapText="1"/>
    </xf>
    <xf numFmtId="165" fontId="74" fillId="4" borderId="195" xfId="4" applyNumberFormat="1" applyFont="1" applyFill="1" applyBorder="1" applyAlignment="1" applyProtection="1">
      <alignment vertical="center" wrapText="1"/>
    </xf>
    <xf numFmtId="165" fontId="54" fillId="4" borderId="49" xfId="4" applyNumberFormat="1" applyFont="1" applyFill="1" applyBorder="1" applyAlignment="1" applyProtection="1"/>
    <xf numFmtId="165" fontId="54" fillId="4" borderId="172" xfId="4" applyNumberFormat="1" applyFont="1" applyFill="1" applyBorder="1" applyAlignment="1" applyProtection="1"/>
    <xf numFmtId="165" fontId="54" fillId="4" borderId="193" xfId="4" applyNumberFormat="1" applyFont="1" applyFill="1" applyBorder="1" applyAlignment="1" applyProtection="1"/>
    <xf numFmtId="0" fontId="55" fillId="4" borderId="33" xfId="0" applyFont="1" applyFill="1" applyBorder="1" applyAlignment="1">
      <alignment horizontal="center" shrinkToFit="1"/>
    </xf>
    <xf numFmtId="0" fontId="61" fillId="4" borderId="33" xfId="0" applyFont="1" applyFill="1" applyBorder="1"/>
    <xf numFmtId="0" fontId="52" fillId="4" borderId="33" xfId="0" applyFont="1" applyFill="1" applyBorder="1"/>
    <xf numFmtId="0" fontId="52" fillId="4" borderId="196" xfId="0" applyFont="1" applyFill="1" applyBorder="1" applyAlignment="1">
      <alignment wrapText="1"/>
    </xf>
    <xf numFmtId="0" fontId="52" fillId="4" borderId="197" xfId="0" applyFont="1" applyFill="1" applyBorder="1" applyAlignment="1">
      <alignment wrapText="1"/>
    </xf>
    <xf numFmtId="165" fontId="52" fillId="4" borderId="198" xfId="4" applyNumberFormat="1" applyFont="1" applyFill="1" applyBorder="1" applyAlignment="1" applyProtection="1">
      <alignment wrapText="1"/>
    </xf>
    <xf numFmtId="0" fontId="52" fillId="4" borderId="196" xfId="0" applyFont="1" applyFill="1" applyBorder="1" applyAlignment="1">
      <alignment horizontal="right" wrapText="1"/>
    </xf>
    <xf numFmtId="0" fontId="52" fillId="4" borderId="197" xfId="0" applyFont="1" applyFill="1" applyBorder="1" applyAlignment="1">
      <alignment horizontal="right" wrapText="1"/>
    </xf>
    <xf numFmtId="0" fontId="52" fillId="4" borderId="198" xfId="0" applyFont="1" applyFill="1" applyBorder="1"/>
    <xf numFmtId="0" fontId="52" fillId="4" borderId="33" xfId="0" applyFont="1" applyFill="1" applyBorder="1" applyAlignment="1">
      <alignment wrapText="1"/>
    </xf>
    <xf numFmtId="0" fontId="52" fillId="4" borderId="199" xfId="0" applyFont="1" applyFill="1" applyBorder="1" applyAlignment="1">
      <alignment wrapText="1"/>
    </xf>
    <xf numFmtId="0" fontId="61" fillId="4" borderId="33" xfId="0" applyFont="1" applyFill="1" applyBorder="1" applyAlignment="1">
      <alignment wrapText="1"/>
    </xf>
    <xf numFmtId="0" fontId="97" fillId="0" borderId="33" xfId="0" applyFont="1" applyBorder="1"/>
    <xf numFmtId="0" fontId="54" fillId="4" borderId="46" xfId="0" applyFont="1" applyFill="1" applyBorder="1" applyAlignment="1">
      <alignment vertical="center"/>
    </xf>
    <xf numFmtId="0" fontId="54" fillId="4" borderId="127" xfId="0" applyFont="1" applyFill="1" applyBorder="1" applyAlignment="1">
      <alignment vertical="center"/>
    </xf>
    <xf numFmtId="165" fontId="138" fillId="4" borderId="106" xfId="4" applyNumberFormat="1" applyFont="1" applyFill="1" applyBorder="1" applyAlignment="1" applyProtection="1">
      <alignment horizontal="center" vertical="center"/>
    </xf>
    <xf numFmtId="0" fontId="138" fillId="4" borderId="106" xfId="0" applyFont="1" applyFill="1" applyBorder="1" applyAlignment="1">
      <alignment horizontal="center" vertical="center"/>
    </xf>
    <xf numFmtId="0" fontId="138" fillId="4" borderId="128" xfId="0" applyFont="1" applyFill="1" applyBorder="1" applyAlignment="1">
      <alignment horizontal="center" vertical="center"/>
    </xf>
    <xf numFmtId="0" fontId="61" fillId="0" borderId="173" xfId="0" applyFont="1" applyBorder="1" applyAlignment="1">
      <alignment horizontal="center" wrapText="1"/>
    </xf>
    <xf numFmtId="0" fontId="64" fillId="0" borderId="24" xfId="0" applyFont="1" applyBorder="1" applyAlignment="1">
      <alignment horizontal="center"/>
    </xf>
    <xf numFmtId="0" fontId="64" fillId="0" borderId="25" xfId="0" applyFont="1" applyBorder="1"/>
    <xf numFmtId="0" fontId="64" fillId="0" borderId="25" xfId="0" applyFont="1" applyBorder="1" applyAlignment="1">
      <alignment horizontal="center"/>
    </xf>
    <xf numFmtId="165" fontId="64" fillId="0" borderId="25" xfId="0" applyNumberFormat="1" applyFont="1" applyBorder="1" applyAlignment="1"/>
    <xf numFmtId="165" fontId="64" fillId="0" borderId="25" xfId="0" applyNumberFormat="1" applyFont="1" applyBorder="1"/>
    <xf numFmtId="0" fontId="64" fillId="0" borderId="73" xfId="0" applyFont="1" applyBorder="1" applyAlignment="1">
      <alignment horizontal="left"/>
    </xf>
    <xf numFmtId="0" fontId="64" fillId="0" borderId="73" xfId="0" quotePrefix="1" applyFont="1" applyBorder="1" applyAlignment="1">
      <alignment horizontal="left"/>
    </xf>
    <xf numFmtId="0" fontId="64" fillId="0" borderId="55" xfId="0" applyFont="1" applyBorder="1"/>
    <xf numFmtId="0" fontId="64" fillId="0" borderId="55" xfId="0" applyFont="1" applyBorder="1" applyAlignment="1">
      <alignment horizontal="center"/>
    </xf>
    <xf numFmtId="165" fontId="64" fillId="0" borderId="55" xfId="0" applyNumberFormat="1" applyFont="1" applyBorder="1" applyAlignment="1"/>
    <xf numFmtId="165" fontId="64" fillId="0" borderId="55" xfId="0" applyNumberFormat="1" applyFont="1" applyBorder="1"/>
    <xf numFmtId="0" fontId="64" fillId="0" borderId="192" xfId="0" applyFont="1" applyBorder="1" applyAlignment="1">
      <alignment horizontal="left"/>
    </xf>
    <xf numFmtId="0" fontId="58" fillId="0" borderId="178" xfId="0" applyFont="1" applyBorder="1"/>
    <xf numFmtId="0" fontId="58" fillId="0" borderId="179" xfId="0" applyFont="1" applyBorder="1"/>
    <xf numFmtId="0" fontId="58" fillId="0" borderId="179" xfId="0" applyFont="1" applyBorder="1" applyAlignment="1">
      <alignment wrapText="1"/>
    </xf>
    <xf numFmtId="0" fontId="58" fillId="0" borderId="180" xfId="0" applyFont="1" applyBorder="1" applyAlignment="1">
      <alignment horizontal="left"/>
    </xf>
    <xf numFmtId="0" fontId="64" fillId="0" borderId="85" xfId="0" applyFont="1" applyBorder="1" applyAlignment="1">
      <alignment horizontal="center"/>
    </xf>
    <xf numFmtId="165" fontId="64" fillId="0" borderId="192" xfId="0" applyNumberFormat="1" applyFont="1" applyBorder="1"/>
    <xf numFmtId="0" fontId="64" fillId="0" borderId="200" xfId="0" applyFont="1" applyBorder="1" applyAlignment="1">
      <alignment horizontal="center"/>
    </xf>
    <xf numFmtId="0" fontId="64" fillId="0" borderId="59" xfId="0" applyFont="1" applyBorder="1" applyAlignment="1">
      <alignment horizontal="center"/>
    </xf>
    <xf numFmtId="0" fontId="64" fillId="0" borderId="59" xfId="0" applyFont="1" applyBorder="1"/>
    <xf numFmtId="165" fontId="64" fillId="0" borderId="59" xfId="0" applyNumberFormat="1" applyFont="1" applyBorder="1"/>
    <xf numFmtId="0" fontId="64" fillId="0" borderId="201" xfId="0" applyFont="1" applyBorder="1"/>
    <xf numFmtId="0" fontId="58" fillId="0" borderId="202" xfId="0" applyFont="1" applyBorder="1" applyAlignment="1">
      <alignment horizontal="center"/>
    </xf>
    <xf numFmtId="0" fontId="58" fillId="0" borderId="26" xfId="0" applyFont="1" applyBorder="1"/>
    <xf numFmtId="0" fontId="58" fillId="0" borderId="26" xfId="0" applyFont="1" applyBorder="1" applyAlignment="1">
      <alignment horizontal="center"/>
    </xf>
    <xf numFmtId="0" fontId="58" fillId="0" borderId="26" xfId="0" applyFont="1" applyBorder="1" applyAlignment="1"/>
    <xf numFmtId="165" fontId="58" fillId="0" borderId="26" xfId="0" applyNumberFormat="1" applyFont="1" applyBorder="1"/>
    <xf numFmtId="165" fontId="58" fillId="0" borderId="203" xfId="0" applyNumberFormat="1" applyFont="1" applyBorder="1"/>
    <xf numFmtId="0" fontId="97" fillId="0" borderId="30" xfId="0" applyFont="1" applyBorder="1"/>
    <xf numFmtId="0" fontId="61" fillId="0" borderId="114" xfId="0" applyFont="1" applyBorder="1" applyAlignment="1">
      <alignment horizontal="center"/>
    </xf>
    <xf numFmtId="0" fontId="61" fillId="0" borderId="116" xfId="0" applyFont="1" applyBorder="1" applyAlignment="1">
      <alignment horizontal="center"/>
    </xf>
    <xf numFmtId="0" fontId="61" fillId="0" borderId="116" xfId="0" applyFont="1" applyBorder="1" applyAlignment="1">
      <alignment horizontal="center" wrapText="1"/>
    </xf>
    <xf numFmtId="0" fontId="61" fillId="0" borderId="110" xfId="0" applyFont="1" applyBorder="1" applyAlignment="1">
      <alignment horizontal="center"/>
    </xf>
    <xf numFmtId="0" fontId="61" fillId="0" borderId="182" xfId="0" applyFont="1" applyBorder="1" applyAlignment="1">
      <alignment horizontal="center" vertical="center"/>
    </xf>
    <xf numFmtId="0" fontId="61" fillId="0" borderId="183" xfId="0" applyFont="1" applyBorder="1" applyAlignment="1">
      <alignment horizontal="center" vertical="center"/>
    </xf>
    <xf numFmtId="0" fontId="61" fillId="13" borderId="120" xfId="0" applyFont="1" applyFill="1" applyBorder="1" applyAlignment="1">
      <alignment horizontal="center"/>
    </xf>
    <xf numFmtId="0" fontId="61" fillId="13" borderId="121" xfId="0" applyFont="1" applyFill="1" applyBorder="1" applyAlignment="1">
      <alignment horizontal="center"/>
    </xf>
    <xf numFmtId="0" fontId="61" fillId="13" borderId="122" xfId="0" applyFont="1" applyFill="1" applyBorder="1" applyAlignment="1">
      <alignment horizontal="center"/>
    </xf>
    <xf numFmtId="0" fontId="53" fillId="0" borderId="99" xfId="0" applyFont="1" applyBorder="1" applyAlignment="1">
      <alignment horizontal="center"/>
    </xf>
    <xf numFmtId="0" fontId="61" fillId="0" borderId="37" xfId="0" applyFont="1" applyBorder="1" applyAlignment="1">
      <alignment horizontal="center"/>
    </xf>
    <xf numFmtId="0" fontId="61" fillId="0" borderId="38" xfId="0" applyFont="1" applyBorder="1" applyAlignment="1">
      <alignment horizontal="center"/>
    </xf>
    <xf numFmtId="0" fontId="53" fillId="18" borderId="121" xfId="0" applyFont="1" applyFill="1" applyBorder="1" applyAlignment="1">
      <alignment horizontal="center"/>
    </xf>
    <xf numFmtId="0" fontId="53" fillId="18" borderId="37" xfId="0" applyFont="1" applyFill="1" applyBorder="1" applyAlignment="1">
      <alignment horizontal="center"/>
    </xf>
    <xf numFmtId="0" fontId="53" fillId="18" borderId="38" xfId="0" applyFont="1" applyFill="1" applyBorder="1" applyAlignment="1">
      <alignment horizontal="center"/>
    </xf>
    <xf numFmtId="0" fontId="53" fillId="18" borderId="134" xfId="0" applyFont="1" applyFill="1" applyBorder="1" applyAlignment="1">
      <alignment horizontal="center"/>
    </xf>
    <xf numFmtId="0" fontId="11" fillId="20" borderId="30" xfId="0" applyFont="1" applyFill="1" applyBorder="1"/>
    <xf numFmtId="43" fontId="53" fillId="0" borderId="110" xfId="1" applyFont="1" applyBorder="1" applyAlignment="1">
      <alignment horizontal="center"/>
    </xf>
    <xf numFmtId="43" fontId="53" fillId="0" borderId="165" xfId="1" applyFont="1" applyBorder="1" applyAlignment="1">
      <alignment horizontal="center"/>
    </xf>
    <xf numFmtId="43" fontId="53" fillId="0" borderId="123" xfId="1" applyFont="1" applyBorder="1" applyAlignment="1">
      <alignment horizontal="center"/>
    </xf>
    <xf numFmtId="43" fontId="53" fillId="0" borderId="166" xfId="1" applyFont="1" applyBorder="1" applyAlignment="1">
      <alignment horizontal="center"/>
    </xf>
    <xf numFmtId="43" fontId="53" fillId="0" borderId="99" xfId="1" applyFont="1" applyBorder="1" applyAlignment="1">
      <alignment horizontal="center"/>
    </xf>
    <xf numFmtId="43" fontId="53" fillId="0" borderId="158" xfId="1" applyFont="1" applyBorder="1"/>
    <xf numFmtId="43" fontId="61" fillId="0" borderId="38" xfId="1" applyFont="1" applyBorder="1" applyAlignment="1">
      <alignment horizontal="center"/>
    </xf>
    <xf numFmtId="43" fontId="61" fillId="0" borderId="134" xfId="1" applyFont="1" applyBorder="1" applyAlignment="1">
      <alignment horizontal="center"/>
    </xf>
    <xf numFmtId="43" fontId="53" fillId="0" borderId="121" xfId="1" applyFont="1" applyBorder="1" applyAlignment="1">
      <alignment horizontal="center"/>
    </xf>
    <xf numFmtId="0" fontId="53" fillId="0" borderId="120" xfId="0" applyFont="1" applyBorder="1"/>
    <xf numFmtId="0" fontId="53" fillId="0" borderId="121" xfId="0" applyFont="1" applyBorder="1" applyAlignment="1">
      <alignment horizontal="left"/>
    </xf>
    <xf numFmtId="43" fontId="53" fillId="0" borderId="110" xfId="1" applyFont="1" applyBorder="1"/>
    <xf numFmtId="43" fontId="53" fillId="0" borderId="110" xfId="1" applyFont="1" applyBorder="1" applyAlignment="1">
      <alignment horizontal="right"/>
    </xf>
    <xf numFmtId="43" fontId="53" fillId="0" borderId="121" xfId="1" applyFont="1" applyBorder="1"/>
    <xf numFmtId="0" fontId="53" fillId="0" borderId="121" xfId="0" applyFont="1" applyBorder="1"/>
    <xf numFmtId="0" fontId="53" fillId="0" borderId="122" xfId="0" applyFont="1" applyBorder="1"/>
    <xf numFmtId="0" fontId="53" fillId="0" borderId="157" xfId="0" applyFont="1" applyBorder="1"/>
    <xf numFmtId="0" fontId="53" fillId="0" borderId="110" xfId="0" applyFont="1" applyBorder="1" applyAlignment="1">
      <alignment horizontal="left"/>
    </xf>
    <xf numFmtId="0" fontId="53" fillId="0" borderId="110" xfId="0" applyFont="1" applyBorder="1"/>
    <xf numFmtId="0" fontId="53" fillId="0" borderId="123" xfId="0" applyFont="1" applyBorder="1"/>
    <xf numFmtId="0" fontId="53" fillId="0" borderId="124" xfId="0" applyFont="1" applyBorder="1"/>
    <xf numFmtId="0" fontId="53" fillId="0" borderId="125" xfId="0" applyFont="1" applyBorder="1"/>
    <xf numFmtId="0" fontId="53" fillId="0" borderId="126" xfId="0" applyFont="1" applyBorder="1"/>
    <xf numFmtId="3" fontId="41" fillId="4" borderId="38" xfId="0" applyNumberFormat="1" applyFont="1" applyFill="1" applyBorder="1" applyAlignment="1">
      <alignment horizontal="center" vertical="center"/>
    </xf>
    <xf numFmtId="0" fontId="65" fillId="4" borderId="0" xfId="0" applyFont="1" applyFill="1"/>
    <xf numFmtId="0" fontId="58" fillId="0" borderId="205" xfId="0" applyFont="1" applyBorder="1" applyAlignment="1">
      <alignment horizontal="center"/>
    </xf>
    <xf numFmtId="0" fontId="58" fillId="0" borderId="206" xfId="0" applyFont="1" applyBorder="1"/>
    <xf numFmtId="165" fontId="58" fillId="0" borderId="206" xfId="0" applyNumberFormat="1" applyFont="1" applyBorder="1" applyAlignment="1"/>
    <xf numFmtId="165" fontId="58" fillId="0" borderId="206" xfId="0" applyNumberFormat="1" applyFont="1" applyBorder="1"/>
    <xf numFmtId="165" fontId="58" fillId="0" borderId="207" xfId="0" applyNumberFormat="1" applyFont="1" applyBorder="1"/>
    <xf numFmtId="165" fontId="61" fillId="0" borderId="162" xfId="0" applyNumberFormat="1" applyFont="1" applyBorder="1"/>
    <xf numFmtId="0" fontId="53" fillId="18" borderId="120" xfId="0" applyFont="1" applyFill="1" applyBorder="1" applyAlignment="1">
      <alignment horizontal="center"/>
    </xf>
    <xf numFmtId="0" fontId="53" fillId="18" borderId="122" xfId="0" applyFont="1" applyFill="1" applyBorder="1" applyAlignment="1">
      <alignment horizontal="center"/>
    </xf>
    <xf numFmtId="0" fontId="10" fillId="0" borderId="38" xfId="0" applyFont="1" applyBorder="1"/>
    <xf numFmtId="0" fontId="109" fillId="0" borderId="0" xfId="0" applyFont="1" applyAlignment="1"/>
    <xf numFmtId="43" fontId="53" fillId="4" borderId="0" xfId="0" applyNumberFormat="1" applyFont="1" applyFill="1"/>
    <xf numFmtId="0" fontId="139" fillId="4" borderId="38" xfId="0" applyFont="1" applyFill="1" applyBorder="1" applyAlignment="1">
      <alignment horizontal="left" wrapText="1"/>
    </xf>
    <xf numFmtId="0" fontId="53" fillId="0" borderId="38" xfId="0" applyFont="1" applyBorder="1" applyAlignment="1">
      <alignment horizontal="center"/>
    </xf>
    <xf numFmtId="0" fontId="65" fillId="0" borderId="38" xfId="0" applyFont="1" applyBorder="1"/>
    <xf numFmtId="43" fontId="61" fillId="0" borderId="38" xfId="1" applyFont="1" applyBorder="1" applyAlignment="1"/>
    <xf numFmtId="43" fontId="61" fillId="0" borderId="38" xfId="1" applyFont="1" applyBorder="1"/>
    <xf numFmtId="0" fontId="27" fillId="4" borderId="0" xfId="0" applyFont="1" applyFill="1" applyBorder="1"/>
    <xf numFmtId="0" fontId="53" fillId="0" borderId="110" xfId="0" applyFont="1" applyBorder="1" applyAlignment="1">
      <alignment horizontal="center" vertical="center"/>
    </xf>
    <xf numFmtId="2" fontId="53" fillId="0" borderId="110" xfId="0" applyNumberFormat="1" applyFont="1" applyBorder="1" applyAlignment="1">
      <alignment horizontal="center" vertical="center"/>
    </xf>
    <xf numFmtId="43" fontId="10" fillId="0" borderId="110" xfId="1" applyBorder="1" applyAlignment="1">
      <alignment horizontal="center" vertical="center"/>
    </xf>
    <xf numFmtId="165" fontId="64" fillId="0" borderId="25" xfId="0" applyNumberFormat="1" applyFont="1" applyBorder="1" applyAlignment="1">
      <alignment vertical="center"/>
    </xf>
    <xf numFmtId="165" fontId="76" fillId="20" borderId="104" xfId="4" applyNumberFormat="1" applyFont="1" applyFill="1" applyBorder="1" applyAlignment="1" applyProtection="1">
      <alignment horizontal="right"/>
    </xf>
    <xf numFmtId="165" fontId="76" fillId="20" borderId="104" xfId="4" applyNumberFormat="1" applyFont="1" applyFill="1" applyBorder="1" applyAlignment="1" applyProtection="1"/>
    <xf numFmtId="165" fontId="57" fillId="20" borderId="104" xfId="4" applyNumberFormat="1" applyFont="1" applyFill="1" applyBorder="1" applyAlignment="1" applyProtection="1"/>
    <xf numFmtId="0" fontId="64" fillId="0" borderId="73" xfId="0" applyFont="1" applyBorder="1" applyAlignment="1">
      <alignment wrapText="1"/>
    </xf>
    <xf numFmtId="165" fontId="64" fillId="20" borderId="25" xfId="0" applyNumberFormat="1" applyFont="1" applyFill="1" applyBorder="1"/>
    <xf numFmtId="0" fontId="62" fillId="4" borderId="110" xfId="0" applyFont="1" applyFill="1" applyBorder="1" applyAlignment="1">
      <alignment horizontal="center" vertical="center" wrapText="1"/>
    </xf>
    <xf numFmtId="165" fontId="62" fillId="4" borderId="110" xfId="4" applyNumberFormat="1" applyFont="1" applyFill="1" applyBorder="1" applyAlignment="1" applyProtection="1">
      <alignment horizontal="center" vertical="center" wrapText="1"/>
    </xf>
    <xf numFmtId="0" fontId="56" fillId="4" borderId="123" xfId="0" applyFont="1" applyFill="1" applyBorder="1" applyAlignment="1">
      <alignment horizontal="center" vertical="center" wrapText="1"/>
    </xf>
    <xf numFmtId="0" fontId="27" fillId="4" borderId="157" xfId="0" applyFont="1" applyFill="1" applyBorder="1"/>
    <xf numFmtId="165" fontId="80" fillId="4" borderId="110" xfId="2" applyNumberFormat="1" applyFont="1" applyFill="1" applyBorder="1" applyAlignment="1" applyProtection="1">
      <alignment horizontal="right"/>
    </xf>
    <xf numFmtId="165" fontId="75" fillId="4" borderId="123" xfId="4" applyNumberFormat="1" applyFont="1" applyFill="1" applyBorder="1" applyAlignment="1" applyProtection="1">
      <alignment vertical="center"/>
    </xf>
    <xf numFmtId="165" fontId="82" fillId="4" borderId="110" xfId="4" applyNumberFormat="1" applyFont="1" applyFill="1" applyBorder="1" applyAlignment="1" applyProtection="1">
      <alignment horizontal="right"/>
    </xf>
    <xf numFmtId="165" fontId="82" fillId="4" borderId="110" xfId="4" applyNumberFormat="1" applyFont="1" applyFill="1" applyBorder="1" applyAlignment="1" applyProtection="1">
      <alignment horizontal="right" vertical="center"/>
    </xf>
    <xf numFmtId="172" fontId="62" fillId="4" borderId="124" xfId="3" applyNumberFormat="1" applyFont="1" applyFill="1" applyBorder="1" applyAlignment="1" applyProtection="1">
      <alignment horizontal="center" vertical="center" wrapText="1"/>
    </xf>
    <xf numFmtId="165" fontId="62" fillId="4" borderId="125" xfId="2" applyNumberFormat="1" applyFont="1" applyFill="1" applyBorder="1" applyAlignment="1" applyProtection="1">
      <alignment horizontal="right" vertical="center"/>
    </xf>
    <xf numFmtId="165" fontId="62" fillId="0" borderId="125" xfId="2" applyNumberFormat="1" applyFont="1" applyBorder="1" applyAlignment="1" applyProtection="1">
      <alignment horizontal="right" vertical="center"/>
    </xf>
    <xf numFmtId="165" fontId="62" fillId="4" borderId="125" xfId="4" applyNumberFormat="1" applyFont="1" applyFill="1" applyBorder="1" applyAlignment="1" applyProtection="1">
      <alignment horizontal="right" vertical="center" wrapText="1"/>
    </xf>
    <xf numFmtId="165" fontId="67" fillId="4" borderId="125" xfId="4" applyNumberFormat="1" applyFont="1" applyFill="1" applyBorder="1" applyAlignment="1" applyProtection="1">
      <alignment horizontal="right" vertical="center" wrapText="1"/>
    </xf>
    <xf numFmtId="165" fontId="54" fillId="4" borderId="125" xfId="4" applyNumberFormat="1" applyFont="1" applyFill="1" applyBorder="1" applyAlignment="1" applyProtection="1"/>
    <xf numFmtId="165" fontId="54" fillId="4" borderId="126" xfId="4" applyNumberFormat="1" applyFont="1" applyFill="1" applyBorder="1" applyAlignment="1" applyProtection="1"/>
    <xf numFmtId="0" fontId="53" fillId="32" borderId="116" xfId="0" applyFont="1" applyFill="1" applyBorder="1" applyAlignment="1">
      <alignment horizontal="center"/>
    </xf>
    <xf numFmtId="0" fontId="53" fillId="33" borderId="157" xfId="0" applyFont="1" applyFill="1" applyBorder="1" applyAlignment="1">
      <alignment horizontal="center"/>
    </xf>
    <xf numFmtId="0" fontId="61" fillId="33" borderId="110" xfId="0" applyFont="1" applyFill="1" applyBorder="1" applyAlignment="1">
      <alignment horizontal="center"/>
    </xf>
    <xf numFmtId="0" fontId="53" fillId="33" borderId="110" xfId="0" applyFont="1" applyFill="1" applyBorder="1" applyAlignment="1">
      <alignment horizontal="center"/>
    </xf>
    <xf numFmtId="2" fontId="53" fillId="33" borderId="110" xfId="0" applyNumberFormat="1" applyFont="1" applyFill="1" applyBorder="1" applyAlignment="1">
      <alignment horizontal="center"/>
    </xf>
    <xf numFmtId="43" fontId="10" fillId="34" borderId="110" xfId="1" applyFill="1" applyBorder="1" applyAlignment="1">
      <alignment horizontal="center"/>
    </xf>
    <xf numFmtId="0" fontId="11" fillId="34" borderId="123" xfId="0" applyFont="1" applyFill="1" applyBorder="1"/>
    <xf numFmtId="0" fontId="11" fillId="34" borderId="0" xfId="0" applyFont="1" applyFill="1"/>
    <xf numFmtId="0" fontId="53" fillId="32" borderId="114" xfId="0" applyFont="1" applyFill="1" applyBorder="1" applyAlignment="1">
      <alignment horizontal="center"/>
    </xf>
    <xf numFmtId="0" fontId="53" fillId="32" borderId="118" xfId="0" applyFont="1" applyFill="1" applyBorder="1" applyAlignment="1">
      <alignment horizontal="center"/>
    </xf>
    <xf numFmtId="165" fontId="46" fillId="14" borderId="38" xfId="4" applyNumberFormat="1" applyFont="1" applyFill="1" applyBorder="1" applyAlignment="1" applyProtection="1">
      <alignment horizontal="center" vertical="center"/>
    </xf>
    <xf numFmtId="165" fontId="46" fillId="4" borderId="38" xfId="4" applyNumberFormat="1" applyFont="1" applyFill="1" applyBorder="1" applyAlignment="1" applyProtection="1">
      <alignment horizontal="center" vertical="center"/>
    </xf>
    <xf numFmtId="165" fontId="46" fillId="4" borderId="39" xfId="4" applyNumberFormat="1" applyFont="1" applyFill="1" applyBorder="1" applyAlignment="1" applyProtection="1">
      <alignment horizontal="center" vertical="center"/>
    </xf>
    <xf numFmtId="165" fontId="41" fillId="0" borderId="0" xfId="4" applyNumberFormat="1" applyFont="1" applyFill="1" applyBorder="1" applyAlignment="1" applyProtection="1">
      <alignment horizontal="center" vertical="center"/>
    </xf>
    <xf numFmtId="165" fontId="69" fillId="0" borderId="0" xfId="4" applyNumberFormat="1" applyFont="1" applyFill="1" applyBorder="1" applyAlignment="1" applyProtection="1">
      <alignment horizontal="center" vertical="center"/>
    </xf>
    <xf numFmtId="165" fontId="70" fillId="4" borderId="38" xfId="4" applyNumberFormat="1" applyFont="1" applyFill="1" applyBorder="1" applyAlignment="1" applyProtection="1">
      <alignment horizontal="center" vertical="center"/>
    </xf>
    <xf numFmtId="165" fontId="46" fillId="0" borderId="38" xfId="4" applyNumberFormat="1" applyFont="1" applyFill="1" applyBorder="1" applyAlignment="1" applyProtection="1">
      <alignment horizontal="center" vertical="center"/>
    </xf>
    <xf numFmtId="165" fontId="46" fillId="4" borderId="45" xfId="4" applyNumberFormat="1" applyFont="1" applyFill="1" applyBorder="1" applyAlignment="1" applyProtection="1">
      <alignment horizontal="center" vertical="center"/>
    </xf>
    <xf numFmtId="165" fontId="46" fillId="0" borderId="45" xfId="4" applyNumberFormat="1" applyFont="1" applyFill="1" applyBorder="1" applyAlignment="1" applyProtection="1">
      <alignment horizontal="center" vertical="center"/>
    </xf>
    <xf numFmtId="165" fontId="71" fillId="4" borderId="38" xfId="4" applyNumberFormat="1" applyFont="1" applyFill="1" applyBorder="1" applyAlignment="1" applyProtection="1">
      <alignment horizontal="center" vertical="center"/>
    </xf>
    <xf numFmtId="165" fontId="71" fillId="4" borderId="45" xfId="4" applyNumberFormat="1" applyFont="1" applyFill="1" applyBorder="1" applyAlignment="1" applyProtection="1">
      <alignment horizontal="center" vertical="center"/>
    </xf>
    <xf numFmtId="165" fontId="71" fillId="0" borderId="38" xfId="4" applyNumberFormat="1" applyFont="1" applyFill="1" applyBorder="1" applyAlignment="1" applyProtection="1">
      <alignment horizontal="center" vertical="center"/>
    </xf>
    <xf numFmtId="165" fontId="71" fillId="4" borderId="106" xfId="4" applyNumberFormat="1" applyFont="1" applyFill="1" applyBorder="1" applyAlignment="1" applyProtection="1">
      <alignment horizontal="center" vertical="center"/>
    </xf>
    <xf numFmtId="165" fontId="71" fillId="4" borderId="0" xfId="4" applyNumberFormat="1" applyFont="1" applyFill="1" applyBorder="1" applyAlignment="1" applyProtection="1">
      <alignment horizontal="center" vertical="center"/>
    </xf>
    <xf numFmtId="165" fontId="46" fillId="4" borderId="0" xfId="4" applyNumberFormat="1" applyFont="1" applyFill="1" applyBorder="1" applyAlignment="1" applyProtection="1">
      <alignment horizontal="center" vertical="center"/>
    </xf>
    <xf numFmtId="165" fontId="71" fillId="4" borderId="113" xfId="4" applyNumberFormat="1" applyFont="1" applyFill="1" applyBorder="1" applyAlignment="1" applyProtection="1">
      <alignment horizontal="center" vertical="center"/>
    </xf>
    <xf numFmtId="165" fontId="69" fillId="4" borderId="104" xfId="4" applyNumberFormat="1" applyFont="1" applyFill="1" applyBorder="1" applyAlignment="1" applyProtection="1">
      <alignment horizontal="center" vertical="center"/>
    </xf>
    <xf numFmtId="165" fontId="69" fillId="0" borderId="104" xfId="4" applyNumberFormat="1" applyFont="1" applyFill="1" applyBorder="1" applyAlignment="1" applyProtection="1">
      <alignment horizontal="center" vertical="center"/>
    </xf>
    <xf numFmtId="0" fontId="39" fillId="4" borderId="104" xfId="0" applyFont="1" applyFill="1" applyBorder="1" applyAlignment="1">
      <alignment horizontal="center" vertical="center"/>
    </xf>
    <xf numFmtId="0" fontId="39" fillId="4" borderId="107" xfId="0" applyFont="1" applyFill="1" applyBorder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0" fontId="39" fillId="4" borderId="0" xfId="0" applyFont="1" applyFill="1" applyAlignment="1">
      <alignment horizontal="center"/>
    </xf>
    <xf numFmtId="165" fontId="38" fillId="0" borderId="0" xfId="4" applyNumberFormat="1" applyFont="1" applyFill="1" applyBorder="1" applyAlignment="1" applyProtection="1">
      <alignment horizontal="center" vertical="center"/>
    </xf>
    <xf numFmtId="0" fontId="69" fillId="4" borderId="0" xfId="0" applyFont="1" applyFill="1" applyBorder="1" applyAlignment="1">
      <alignment horizontal="center" vertical="center"/>
    </xf>
    <xf numFmtId="0" fontId="70" fillId="4" borderId="38" xfId="0" applyFont="1" applyFill="1" applyBorder="1" applyAlignment="1">
      <alignment horizontal="center" vertical="center"/>
    </xf>
    <xf numFmtId="0" fontId="46" fillId="4" borderId="38" xfId="0" applyFont="1" applyFill="1" applyBorder="1" applyAlignment="1">
      <alignment horizontal="center" vertical="center"/>
    </xf>
    <xf numFmtId="0" fontId="46" fillId="14" borderId="38" xfId="0" applyFont="1" applyFill="1" applyBorder="1" applyAlignment="1">
      <alignment horizontal="center" vertical="center"/>
    </xf>
    <xf numFmtId="0" fontId="46" fillId="4" borderId="39" xfId="0" applyFont="1" applyFill="1" applyBorder="1" applyAlignment="1">
      <alignment horizontal="center" vertical="center"/>
    </xf>
    <xf numFmtId="0" fontId="46" fillId="4" borderId="45" xfId="0" applyFont="1" applyFill="1" applyBorder="1" applyAlignment="1">
      <alignment horizontal="center" vertical="center"/>
    </xf>
    <xf numFmtId="43" fontId="103" fillId="0" borderId="38" xfId="1" applyFont="1" applyBorder="1" applyAlignment="1">
      <alignment horizontal="center" vertical="center"/>
    </xf>
    <xf numFmtId="0" fontId="69" fillId="4" borderId="38" xfId="0" applyFont="1" applyFill="1" applyBorder="1" applyAlignment="1">
      <alignment horizontal="center" vertical="center"/>
    </xf>
    <xf numFmtId="0" fontId="71" fillId="4" borderId="45" xfId="0" applyFont="1" applyFill="1" applyBorder="1" applyAlignment="1">
      <alignment horizontal="center" vertical="center"/>
    </xf>
    <xf numFmtId="0" fontId="71" fillId="4" borderId="38" xfId="0" applyFont="1" applyFill="1" applyBorder="1" applyAlignment="1">
      <alignment horizontal="center" vertical="center"/>
    </xf>
    <xf numFmtId="0" fontId="71" fillId="4" borderId="0" xfId="0" applyFont="1" applyFill="1" applyAlignment="1">
      <alignment horizontal="center" vertical="center"/>
    </xf>
    <xf numFmtId="165" fontId="47" fillId="0" borderId="0" xfId="4" applyNumberFormat="1" applyFont="1" applyFill="1" applyBorder="1" applyAlignment="1" applyProtection="1">
      <alignment horizontal="center"/>
    </xf>
    <xf numFmtId="0" fontId="39" fillId="4" borderId="38" xfId="0" applyFont="1" applyFill="1" applyBorder="1" applyAlignment="1">
      <alignment horizontal="center"/>
    </xf>
    <xf numFmtId="0" fontId="39" fillId="4" borderId="45" xfId="0" applyFont="1" applyFill="1" applyBorder="1" applyAlignment="1">
      <alignment horizontal="center"/>
    </xf>
    <xf numFmtId="0" fontId="39" fillId="4" borderId="106" xfId="0" applyFont="1" applyFill="1" applyBorder="1" applyAlignment="1">
      <alignment horizontal="center"/>
    </xf>
    <xf numFmtId="9" fontId="104" fillId="0" borderId="110" xfId="3" applyBorder="1" applyAlignment="1">
      <alignment horizontal="center"/>
    </xf>
    <xf numFmtId="164" fontId="52" fillId="35" borderId="57" xfId="4" applyNumberFormat="1" applyFont="1" applyFill="1" applyBorder="1" applyAlignment="1" applyProtection="1">
      <alignment horizontal="right"/>
    </xf>
    <xf numFmtId="164" fontId="52" fillId="37" borderId="57" xfId="4" applyNumberFormat="1" applyFont="1" applyFill="1" applyBorder="1" applyAlignment="1" applyProtection="1">
      <alignment horizontal="right"/>
    </xf>
    <xf numFmtId="167" fontId="52" fillId="35" borderId="57" xfId="4" applyNumberFormat="1" applyFont="1" applyFill="1" applyBorder="1" applyAlignment="1" applyProtection="1">
      <alignment horizontal="right"/>
    </xf>
    <xf numFmtId="164" fontId="41" fillId="35" borderId="0" xfId="4" applyNumberFormat="1" applyFont="1" applyFill="1" applyBorder="1" applyAlignment="1" applyProtection="1"/>
    <xf numFmtId="164" fontId="52" fillId="35" borderId="145" xfId="4" applyNumberFormat="1" applyFont="1" applyFill="1" applyBorder="1" applyAlignment="1" applyProtection="1">
      <alignment horizontal="center" vertical="center" wrapText="1"/>
    </xf>
    <xf numFmtId="43" fontId="103" fillId="36" borderId="57" xfId="1" applyFont="1" applyFill="1" applyBorder="1" applyAlignment="1" applyProtection="1">
      <alignment horizontal="right"/>
    </xf>
    <xf numFmtId="164" fontId="52" fillId="35" borderId="189" xfId="4" applyNumberFormat="1" applyFont="1" applyFill="1" applyBorder="1" applyAlignment="1" applyProtection="1">
      <alignment horizontal="center" vertical="center" wrapText="1"/>
    </xf>
    <xf numFmtId="43" fontId="103" fillId="36" borderId="190" xfId="1" applyFont="1" applyFill="1" applyBorder="1" applyAlignment="1" applyProtection="1">
      <alignment horizontal="right"/>
    </xf>
    <xf numFmtId="164" fontId="52" fillId="35" borderId="190" xfId="4" applyNumberFormat="1" applyFont="1" applyFill="1" applyBorder="1" applyAlignment="1" applyProtection="1">
      <alignment horizontal="right"/>
    </xf>
    <xf numFmtId="167" fontId="52" fillId="35" borderId="190" xfId="4" applyNumberFormat="1" applyFont="1" applyFill="1" applyBorder="1" applyAlignment="1" applyProtection="1">
      <alignment horizontal="right"/>
    </xf>
    <xf numFmtId="165" fontId="79" fillId="28" borderId="110" xfId="4" applyNumberFormat="1" applyFont="1" applyFill="1" applyBorder="1" applyAlignment="1" applyProtection="1">
      <alignment horizontal="center" vertical="center" wrapText="1"/>
    </xf>
    <xf numFmtId="0" fontId="39" fillId="20" borderId="0" xfId="0" applyFont="1" applyFill="1" applyAlignment="1">
      <alignment wrapText="1"/>
    </xf>
    <xf numFmtId="0" fontId="39" fillId="20" borderId="32" xfId="0" applyFont="1" applyFill="1" applyBorder="1" applyAlignment="1">
      <alignment horizontal="center" wrapText="1"/>
    </xf>
    <xf numFmtId="165" fontId="39" fillId="20" borderId="32" xfId="4" applyNumberFormat="1" applyFont="1" applyFill="1" applyBorder="1" applyAlignment="1" applyProtection="1">
      <alignment horizontal="center" wrapText="1"/>
    </xf>
    <xf numFmtId="0" fontId="79" fillId="20" borderId="157" xfId="0" applyFont="1" applyFill="1" applyBorder="1" applyAlignment="1">
      <alignment horizontal="center" vertical="center" wrapText="1"/>
    </xf>
    <xf numFmtId="0" fontId="79" fillId="14" borderId="157" xfId="0" applyFont="1" applyFill="1" applyBorder="1" applyAlignment="1">
      <alignment horizontal="center" vertical="center" wrapText="1"/>
    </xf>
    <xf numFmtId="164" fontId="79" fillId="22" borderId="157" xfId="0" applyNumberFormat="1" applyFont="1" applyFill="1" applyBorder="1" applyAlignment="1">
      <alignment horizontal="center" vertical="center" wrapText="1"/>
    </xf>
    <xf numFmtId="49" fontId="79" fillId="20" borderId="110" xfId="0" applyNumberFormat="1" applyFont="1" applyFill="1" applyBorder="1" applyAlignment="1">
      <alignment horizontal="center" vertical="center" wrapText="1"/>
    </xf>
    <xf numFmtId="165" fontId="79" fillId="28" borderId="110" xfId="4" applyNumberFormat="1" applyFont="1" applyFill="1" applyBorder="1" applyAlignment="1" applyProtection="1">
      <alignment vertical="center" wrapText="1"/>
    </xf>
    <xf numFmtId="165" fontId="79" fillId="19" borderId="110" xfId="4" applyNumberFormat="1" applyFont="1" applyFill="1" applyBorder="1" applyAlignment="1" applyProtection="1">
      <alignment vertical="center" wrapText="1"/>
    </xf>
    <xf numFmtId="165" fontId="79" fillId="20" borderId="110" xfId="4" applyNumberFormat="1" applyFont="1" applyFill="1" applyBorder="1" applyAlignment="1" applyProtection="1">
      <alignment vertical="center" wrapText="1"/>
    </xf>
    <xf numFmtId="164" fontId="79" fillId="22" borderId="48" xfId="0" applyNumberFormat="1" applyFont="1" applyFill="1" applyBorder="1" applyAlignment="1">
      <alignment horizontal="center" vertical="center" wrapText="1"/>
    </xf>
    <xf numFmtId="164" fontId="79" fillId="29" borderId="99" xfId="4" applyNumberFormat="1" applyFont="1" applyFill="1" applyBorder="1" applyAlignment="1" applyProtection="1">
      <alignment vertical="center" wrapText="1"/>
    </xf>
    <xf numFmtId="164" fontId="79" fillId="23" borderId="99" xfId="4" applyNumberFormat="1" applyFont="1" applyFill="1" applyBorder="1" applyAlignment="1" applyProtection="1">
      <alignment vertical="center" wrapText="1"/>
    </xf>
    <xf numFmtId="164" fontId="79" fillId="22" borderId="99" xfId="4" applyNumberFormat="1" applyFont="1" applyFill="1" applyBorder="1" applyAlignment="1" applyProtection="1">
      <alignment vertical="center" wrapText="1"/>
    </xf>
    <xf numFmtId="164" fontId="79" fillId="20" borderId="110" xfId="0" applyNumberFormat="1" applyFont="1" applyFill="1" applyBorder="1" applyAlignment="1" applyProtection="1">
      <alignment horizontal="center" vertical="center" wrapText="1"/>
    </xf>
    <xf numFmtId="0" fontId="79" fillId="22" borderId="48" xfId="0" applyFont="1" applyFill="1" applyBorder="1" applyAlignment="1">
      <alignment horizontal="center" vertical="center" wrapText="1"/>
    </xf>
    <xf numFmtId="164" fontId="79" fillId="22" borderId="99" xfId="0" applyNumberFormat="1" applyFont="1" applyFill="1" applyBorder="1" applyAlignment="1" applyProtection="1">
      <alignment vertical="center" wrapText="1"/>
    </xf>
    <xf numFmtId="165" fontId="79" fillId="23" borderId="99" xfId="4" applyNumberFormat="1" applyFont="1" applyFill="1" applyBorder="1" applyAlignment="1" applyProtection="1">
      <alignment vertical="center" wrapText="1"/>
    </xf>
    <xf numFmtId="165" fontId="79" fillId="22" borderId="99" xfId="4" applyNumberFormat="1" applyFont="1" applyFill="1" applyBorder="1" applyAlignment="1" applyProtection="1">
      <alignment vertical="center" wrapText="1"/>
    </xf>
    <xf numFmtId="0" fontId="79" fillId="14" borderId="120" xfId="0" applyFont="1" applyFill="1" applyBorder="1" applyAlignment="1">
      <alignment horizontal="center" vertical="center" wrapText="1"/>
    </xf>
    <xf numFmtId="0" fontId="79" fillId="14" borderId="121" xfId="0" applyFont="1" applyFill="1" applyBorder="1" applyAlignment="1">
      <alignment horizontal="left" vertical="center" wrapText="1"/>
    </xf>
    <xf numFmtId="43" fontId="10" fillId="36" borderId="57" xfId="1" applyFont="1" applyFill="1" applyBorder="1" applyAlignment="1" applyProtection="1">
      <alignment horizontal="right"/>
    </xf>
    <xf numFmtId="0" fontId="71" fillId="20" borderId="0" xfId="0" applyFont="1" applyFill="1" applyBorder="1" applyAlignment="1">
      <alignment vertical="center" wrapText="1"/>
    </xf>
    <xf numFmtId="0" fontId="71" fillId="20" borderId="0" xfId="0" applyFont="1" applyFill="1" applyBorder="1" applyAlignment="1">
      <alignment vertical="center"/>
    </xf>
    <xf numFmtId="0" fontId="71" fillId="20" borderId="0" xfId="0" applyFont="1" applyFill="1" applyBorder="1" applyAlignment="1">
      <alignment horizontal="center" vertical="center" wrapText="1"/>
    </xf>
    <xf numFmtId="165" fontId="71" fillId="20" borderId="0" xfId="4" applyNumberFormat="1" applyFont="1" applyFill="1" applyBorder="1" applyAlignment="1" applyProtection="1">
      <alignment horizontal="center" vertical="center" wrapText="1"/>
    </xf>
    <xf numFmtId="165" fontId="71" fillId="17" borderId="0" xfId="4" applyNumberFormat="1" applyFont="1" applyFill="1" applyBorder="1" applyAlignment="1" applyProtection="1">
      <alignment vertical="center" wrapText="1"/>
    </xf>
    <xf numFmtId="165" fontId="71" fillId="20" borderId="0" xfId="4" applyNumberFormat="1" applyFont="1" applyFill="1" applyBorder="1" applyAlignment="1" applyProtection="1">
      <alignment vertical="center"/>
    </xf>
    <xf numFmtId="0" fontId="71" fillId="20" borderId="0" xfId="0" applyFont="1" applyFill="1" applyAlignment="1">
      <alignment wrapText="1"/>
    </xf>
    <xf numFmtId="0" fontId="71" fillId="20" borderId="0" xfId="0" applyFont="1" applyFill="1" applyBorder="1" applyAlignment="1">
      <alignment horizontal="center" wrapText="1"/>
    </xf>
    <xf numFmtId="165" fontId="71" fillId="20" borderId="0" xfId="4" applyNumberFormat="1" applyFont="1" applyFill="1" applyBorder="1" applyAlignment="1" applyProtection="1">
      <alignment horizontal="center" wrapText="1"/>
    </xf>
    <xf numFmtId="0" fontId="39" fillId="0" borderId="0" xfId="0" applyFont="1" applyAlignment="1">
      <alignment wrapText="1"/>
    </xf>
    <xf numFmtId="0" fontId="39" fillId="0" borderId="0" xfId="0" applyFont="1" applyAlignment="1">
      <alignment horizontal="center" wrapText="1"/>
    </xf>
    <xf numFmtId="165" fontId="39" fillId="0" borderId="66" xfId="4" applyNumberFormat="1" applyFont="1" applyFill="1" applyBorder="1" applyAlignment="1" applyProtection="1">
      <alignment horizontal="center" wrapText="1"/>
    </xf>
    <xf numFmtId="10" fontId="79" fillId="14" borderId="110" xfId="4" applyNumberFormat="1" applyFont="1" applyFill="1" applyBorder="1" applyAlignment="1" applyProtection="1">
      <alignment vertical="center"/>
    </xf>
    <xf numFmtId="0" fontId="39" fillId="4" borderId="0" xfId="0" applyFont="1" applyFill="1" applyAlignment="1">
      <alignment vertical="center"/>
    </xf>
    <xf numFmtId="0" fontId="44" fillId="4" borderId="0" xfId="0" applyFont="1" applyFill="1" applyAlignment="1">
      <alignment vertical="center"/>
    </xf>
    <xf numFmtId="0" fontId="74" fillId="14" borderId="110" xfId="0" applyFont="1" applyFill="1" applyBorder="1" applyAlignment="1">
      <alignment horizontal="left" vertical="center" wrapText="1"/>
    </xf>
    <xf numFmtId="164" fontId="54" fillId="38" borderId="57" xfId="4" applyNumberFormat="1" applyFont="1" applyFill="1" applyBorder="1" applyAlignment="1" applyProtection="1">
      <alignment horizontal="right"/>
    </xf>
    <xf numFmtId="43" fontId="105" fillId="36" borderId="57" xfId="1" applyFont="1" applyFill="1" applyBorder="1" applyAlignment="1" applyProtection="1">
      <alignment horizontal="right"/>
    </xf>
    <xf numFmtId="164" fontId="43" fillId="38" borderId="58" xfId="0" applyNumberFormat="1" applyFont="1" applyFill="1" applyBorder="1"/>
    <xf numFmtId="165" fontId="43" fillId="38" borderId="58" xfId="0" applyNumberFormat="1" applyFont="1" applyFill="1" applyBorder="1"/>
    <xf numFmtId="0" fontId="71" fillId="0" borderId="0" xfId="0" applyFont="1"/>
    <xf numFmtId="0" fontId="79" fillId="21" borderId="157" xfId="0" applyFont="1" applyFill="1" applyBorder="1" applyAlignment="1">
      <alignment horizontal="center" vertical="center" wrapText="1"/>
    </xf>
    <xf numFmtId="165" fontId="79" fillId="14" borderId="110" xfId="4" applyNumberFormat="1" applyFont="1" applyFill="1" applyBorder="1" applyAlignment="1" applyProtection="1">
      <alignment vertical="center" wrapText="1"/>
    </xf>
    <xf numFmtId="165" fontId="79" fillId="20" borderId="110" xfId="4" applyNumberFormat="1" applyFont="1" applyFill="1" applyBorder="1" applyAlignment="1" applyProtection="1">
      <alignment horizontal="right" vertical="center" wrapText="1"/>
    </xf>
    <xf numFmtId="165" fontId="79" fillId="14" borderId="110" xfId="4" applyNumberFormat="1" applyFont="1" applyFill="1" applyBorder="1" applyAlignment="1" applyProtection="1">
      <alignment horizontal="right" vertical="center" wrapText="1"/>
    </xf>
    <xf numFmtId="0" fontId="79" fillId="21" borderId="184" xfId="0" applyFont="1" applyFill="1" applyBorder="1" applyAlignment="1">
      <alignment horizontal="center" vertical="center" wrapText="1"/>
    </xf>
    <xf numFmtId="0" fontId="79" fillId="20" borderId="97" xfId="0" applyFont="1" applyFill="1" applyBorder="1" applyAlignment="1">
      <alignment horizontal="center" vertical="center" wrapText="1"/>
    </xf>
    <xf numFmtId="0" fontId="79" fillId="20" borderId="97" xfId="0" applyFont="1" applyFill="1" applyBorder="1" applyAlignment="1">
      <alignment horizontal="center" vertical="center"/>
    </xf>
    <xf numFmtId="165" fontId="79" fillId="28" borderId="97" xfId="4" applyNumberFormat="1" applyFont="1" applyFill="1" applyBorder="1" applyAlignment="1" applyProtection="1">
      <alignment horizontal="right"/>
    </xf>
    <xf numFmtId="165" fontId="79" fillId="14" borderId="97" xfId="4" applyNumberFormat="1" applyFont="1" applyFill="1" applyBorder="1" applyAlignment="1" applyProtection="1">
      <alignment horizontal="center"/>
    </xf>
    <xf numFmtId="165" fontId="79" fillId="28" borderId="110" xfId="4" applyNumberFormat="1" applyFont="1" applyFill="1" applyBorder="1" applyAlignment="1" applyProtection="1">
      <alignment horizontal="center"/>
    </xf>
    <xf numFmtId="165" fontId="79" fillId="28" borderId="97" xfId="4" applyNumberFormat="1" applyFont="1" applyFill="1" applyBorder="1" applyAlignment="1" applyProtection="1">
      <alignment horizontal="center"/>
    </xf>
    <xf numFmtId="0" fontId="79" fillId="14" borderId="184" xfId="0" applyFont="1" applyFill="1" applyBorder="1" applyAlignment="1">
      <alignment horizontal="center" vertical="center" wrapText="1"/>
    </xf>
    <xf numFmtId="0" fontId="117" fillId="0" borderId="0" xfId="0" applyFont="1" applyBorder="1" applyAlignment="1">
      <alignment horizontal="center" wrapText="1"/>
    </xf>
    <xf numFmtId="164" fontId="52" fillId="37" borderId="57" xfId="4" applyNumberFormat="1" applyFont="1" applyFill="1" applyBorder="1" applyAlignment="1" applyProtection="1">
      <alignment horizontal="center"/>
    </xf>
    <xf numFmtId="0" fontId="71" fillId="34" borderId="0" xfId="0" applyFont="1" applyFill="1"/>
    <xf numFmtId="0" fontId="39" fillId="39" borderId="0" xfId="0" applyFont="1" applyFill="1"/>
    <xf numFmtId="0" fontId="44" fillId="39" borderId="0" xfId="0" applyFont="1" applyFill="1"/>
    <xf numFmtId="0" fontId="61" fillId="0" borderId="164" xfId="0" applyFont="1" applyBorder="1" applyAlignment="1">
      <alignment horizontal="center" wrapText="1"/>
    </xf>
    <xf numFmtId="0" fontId="53" fillId="0" borderId="157" xfId="0" applyFont="1" applyBorder="1" applyAlignment="1">
      <alignment horizontal="center" vertical="center"/>
    </xf>
    <xf numFmtId="0" fontId="97" fillId="4" borderId="0" xfId="0" applyFont="1" applyFill="1" applyBorder="1"/>
    <xf numFmtId="0" fontId="105" fillId="4" borderId="0" xfId="0" applyFont="1" applyFill="1" applyBorder="1"/>
    <xf numFmtId="0" fontId="97" fillId="6" borderId="0" xfId="0" applyFont="1" applyFill="1" applyBorder="1"/>
    <xf numFmtId="43" fontId="97" fillId="0" borderId="38" xfId="1" applyFont="1" applyBorder="1" applyAlignment="1">
      <alignment horizontal="center"/>
    </xf>
    <xf numFmtId="165" fontId="36" fillId="4" borderId="0" xfId="0" applyNumberFormat="1" applyFont="1" applyFill="1" applyBorder="1"/>
    <xf numFmtId="0" fontId="97" fillId="9" borderId="0" xfId="0" applyFont="1" applyFill="1" applyBorder="1"/>
    <xf numFmtId="43" fontId="97" fillId="0" borderId="38" xfId="1" applyFont="1" applyBorder="1" applyAlignment="1" applyProtection="1">
      <alignment horizontal="center"/>
    </xf>
    <xf numFmtId="0" fontId="97" fillId="4" borderId="25" xfId="0" applyFont="1" applyFill="1" applyBorder="1"/>
    <xf numFmtId="0" fontId="51" fillId="4" borderId="55" xfId="0" applyFont="1" applyFill="1" applyBorder="1" applyAlignment="1">
      <alignment horizontal="left"/>
    </xf>
    <xf numFmtId="0" fontId="51" fillId="4" borderId="55" xfId="0" applyFont="1" applyFill="1" applyBorder="1" applyAlignment="1">
      <alignment wrapText="1"/>
    </xf>
    <xf numFmtId="0" fontId="51" fillId="4" borderId="55" xfId="0" applyFont="1" applyFill="1" applyBorder="1"/>
    <xf numFmtId="2" fontId="97" fillId="4" borderId="55" xfId="0" applyNumberFormat="1" applyFont="1" applyFill="1" applyBorder="1"/>
    <xf numFmtId="0" fontId="97" fillId="4" borderId="68" xfId="0" applyFont="1" applyFill="1" applyBorder="1"/>
    <xf numFmtId="2" fontId="97" fillId="4" borderId="65" xfId="0" applyNumberFormat="1" applyFont="1" applyFill="1" applyBorder="1"/>
    <xf numFmtId="0" fontId="51" fillId="4" borderId="59" xfId="0" applyFont="1" applyFill="1" applyBorder="1" applyAlignment="1">
      <alignment horizontal="left"/>
    </xf>
    <xf numFmtId="0" fontId="51" fillId="4" borderId="59" xfId="0" applyFont="1" applyFill="1" applyBorder="1" applyAlignment="1">
      <alignment wrapText="1"/>
    </xf>
    <xf numFmtId="0" fontId="51" fillId="4" borderId="59" xfId="0" applyFont="1" applyFill="1" applyBorder="1"/>
    <xf numFmtId="2" fontId="97" fillId="4" borderId="59" xfId="0" applyNumberFormat="1" applyFont="1" applyFill="1" applyBorder="1"/>
    <xf numFmtId="2" fontId="141" fillId="4" borderId="25" xfId="0" applyNumberFormat="1" applyFont="1" applyFill="1" applyBorder="1"/>
    <xf numFmtId="2" fontId="97" fillId="4" borderId="25" xfId="0" applyNumberFormat="1" applyFont="1" applyFill="1" applyBorder="1"/>
    <xf numFmtId="0" fontId="51" fillId="4" borderId="25" xfId="0" applyFont="1" applyFill="1" applyBorder="1" applyAlignment="1">
      <alignment horizontal="left"/>
    </xf>
    <xf numFmtId="0" fontId="51" fillId="4" borderId="25" xfId="0" applyFont="1" applyFill="1" applyBorder="1" applyAlignment="1">
      <alignment wrapText="1"/>
    </xf>
    <xf numFmtId="0" fontId="51" fillId="4" borderId="25" xfId="0" applyFont="1" applyFill="1" applyBorder="1"/>
    <xf numFmtId="0" fontId="97" fillId="4" borderId="24" xfId="0" applyFont="1" applyFill="1" applyBorder="1"/>
    <xf numFmtId="0" fontId="51" fillId="0" borderId="25" xfId="0" applyFont="1" applyBorder="1" applyAlignment="1">
      <alignment wrapText="1"/>
    </xf>
    <xf numFmtId="0" fontId="97" fillId="0" borderId="25" xfId="0" applyFont="1" applyBorder="1"/>
    <xf numFmtId="0" fontId="141" fillId="0" borderId="25" xfId="0" applyFont="1" applyBorder="1"/>
    <xf numFmtId="0" fontId="142" fillId="0" borderId="25" xfId="0" applyFont="1" applyBorder="1" applyAlignment="1">
      <alignment horizontal="center"/>
    </xf>
    <xf numFmtId="0" fontId="143" fillId="0" borderId="26" xfId="0" applyFont="1" applyBorder="1" applyAlignment="1">
      <alignment horizontal="center"/>
    </xf>
    <xf numFmtId="0" fontId="142" fillId="0" borderId="25" xfId="0" applyFont="1" applyBorder="1"/>
    <xf numFmtId="0" fontId="28" fillId="4" borderId="31" xfId="0" applyFont="1" applyFill="1" applyBorder="1" applyAlignment="1">
      <alignment vertical="center"/>
    </xf>
    <xf numFmtId="0" fontId="28" fillId="4" borderId="32" xfId="0" applyFont="1" applyFill="1" applyBorder="1" applyAlignment="1">
      <alignment vertical="center"/>
    </xf>
    <xf numFmtId="0" fontId="145" fillId="4" borderId="0" xfId="0" applyFont="1" applyFill="1" applyBorder="1" applyAlignment="1">
      <alignment vertical="center"/>
    </xf>
    <xf numFmtId="0" fontId="146" fillId="4" borderId="34" xfId="0" applyFont="1" applyFill="1" applyBorder="1" applyAlignment="1">
      <alignment horizontal="center" vertical="center"/>
    </xf>
    <xf numFmtId="0" fontId="58" fillId="4" borderId="35" xfId="0" applyFont="1" applyFill="1" applyBorder="1" applyAlignment="1">
      <alignment horizontal="left" vertical="center"/>
    </xf>
    <xf numFmtId="0" fontId="58" fillId="4" borderId="36" xfId="0" applyFont="1" applyFill="1" applyBorder="1" applyAlignment="1">
      <alignment horizontal="center" vertical="center" wrapText="1"/>
    </xf>
    <xf numFmtId="9" fontId="58" fillId="4" borderId="35" xfId="3" applyFont="1" applyFill="1" applyBorder="1" applyAlignment="1" applyProtection="1">
      <alignment horizontal="center" vertical="center" wrapText="1"/>
    </xf>
    <xf numFmtId="0" fontId="58" fillId="4" borderId="35" xfId="0" applyFont="1" applyFill="1" applyBorder="1" applyAlignment="1">
      <alignment horizontal="center" vertical="center"/>
    </xf>
    <xf numFmtId="0" fontId="146" fillId="4" borderId="36" xfId="0" applyFont="1" applyFill="1" applyBorder="1" applyAlignment="1">
      <alignment horizontal="center"/>
    </xf>
    <xf numFmtId="0" fontId="146" fillId="14" borderId="36" xfId="0" applyFont="1" applyFill="1" applyBorder="1" applyAlignment="1">
      <alignment horizontal="center"/>
    </xf>
    <xf numFmtId="0" fontId="147" fillId="4" borderId="36" xfId="0" applyFont="1" applyFill="1" applyBorder="1" applyAlignment="1">
      <alignment horizontal="center"/>
    </xf>
    <xf numFmtId="0" fontId="146" fillId="7" borderId="38" xfId="0" applyFont="1" applyFill="1" applyBorder="1" applyAlignment="1">
      <alignment horizontal="center"/>
    </xf>
    <xf numFmtId="0" fontId="148" fillId="7" borderId="38" xfId="0" applyFont="1" applyFill="1" applyBorder="1" applyAlignment="1">
      <alignment horizontal="center"/>
    </xf>
    <xf numFmtId="0" fontId="148" fillId="8" borderId="38" xfId="0" applyFont="1" applyFill="1" applyBorder="1" applyAlignment="1">
      <alignment horizontal="center"/>
    </xf>
    <xf numFmtId="0" fontId="58" fillId="4" borderId="38" xfId="0" applyFont="1" applyFill="1" applyBorder="1" applyAlignment="1">
      <alignment horizontal="center" vertical="center"/>
    </xf>
    <xf numFmtId="165" fontId="146" fillId="3" borderId="38" xfId="4" applyNumberFormat="1" applyFont="1" applyFill="1" applyBorder="1" applyAlignment="1" applyProtection="1">
      <alignment horizontal="center"/>
    </xf>
    <xf numFmtId="165" fontId="146" fillId="0" borderId="38" xfId="4" applyNumberFormat="1" applyFont="1" applyFill="1" applyBorder="1" applyAlignment="1" applyProtection="1"/>
    <xf numFmtId="165" fontId="146" fillId="4" borderId="38" xfId="0" applyNumberFormat="1" applyFont="1" applyFill="1" applyBorder="1" applyAlignment="1">
      <alignment horizontal="center"/>
    </xf>
    <xf numFmtId="0" fontId="146" fillId="4" borderId="50" xfId="0" applyFont="1" applyFill="1" applyBorder="1" applyAlignment="1">
      <alignment horizontal="center" vertical="center"/>
    </xf>
    <xf numFmtId="0" fontId="146" fillId="4" borderId="37" xfId="0" applyFont="1" applyFill="1" applyBorder="1" applyAlignment="1">
      <alignment horizontal="center" vertical="center"/>
    </xf>
    <xf numFmtId="165" fontId="146" fillId="8" borderId="43" xfId="0" applyNumberFormat="1" applyFont="1" applyFill="1" applyBorder="1" applyAlignment="1">
      <alignment horizontal="center"/>
    </xf>
    <xf numFmtId="0" fontId="58" fillId="4" borderId="39" xfId="0" applyFont="1" applyFill="1" applyBorder="1" applyAlignment="1">
      <alignment horizontal="left" vertical="center"/>
    </xf>
    <xf numFmtId="0" fontId="58" fillId="4" borderId="44" xfId="0" applyFont="1" applyFill="1" applyBorder="1" applyAlignment="1">
      <alignment horizontal="left" vertical="center"/>
    </xf>
    <xf numFmtId="0" fontId="58" fillId="4" borderId="45" xfId="0" applyFont="1" applyFill="1" applyBorder="1" applyAlignment="1">
      <alignment horizontal="left" vertical="center"/>
    </xf>
    <xf numFmtId="0" fontId="31" fillId="4" borderId="38" xfId="0" applyFont="1" applyFill="1" applyBorder="1" applyAlignment="1">
      <alignment horizontal="center" vertical="center"/>
    </xf>
    <xf numFmtId="165" fontId="146" fillId="8" borderId="38" xfId="0" applyNumberFormat="1" applyFont="1" applyFill="1" applyBorder="1" applyAlignment="1">
      <alignment horizontal="center"/>
    </xf>
    <xf numFmtId="0" fontId="149" fillId="4" borderId="38" xfId="0" applyFont="1" applyFill="1" applyBorder="1" applyAlignment="1">
      <alignment horizontal="center"/>
    </xf>
    <xf numFmtId="2" fontId="146" fillId="5" borderId="38" xfId="0" applyNumberFormat="1" applyFont="1" applyFill="1" applyBorder="1"/>
    <xf numFmtId="2" fontId="146" fillId="4" borderId="38" xfId="0" applyNumberFormat="1" applyFont="1" applyFill="1" applyBorder="1"/>
    <xf numFmtId="165" fontId="146" fillId="5" borderId="38" xfId="4" applyNumberFormat="1" applyFont="1" applyFill="1" applyBorder="1" applyAlignment="1" applyProtection="1"/>
    <xf numFmtId="165" fontId="150" fillId="0" borderId="38" xfId="4" applyNumberFormat="1" applyFont="1" applyFill="1" applyBorder="1" applyAlignment="1" applyProtection="1"/>
    <xf numFmtId="0" fontId="146" fillId="6" borderId="37" xfId="0" applyFont="1" applyFill="1" applyBorder="1" applyAlignment="1">
      <alignment horizontal="center" vertical="center"/>
    </xf>
    <xf numFmtId="165" fontId="146" fillId="0" borderId="38" xfId="4" applyNumberFormat="1" applyFont="1" applyFill="1" applyBorder="1" applyAlignment="1" applyProtection="1">
      <alignment horizontal="center"/>
    </xf>
    <xf numFmtId="165" fontId="58" fillId="5" borderId="38" xfId="4" applyNumberFormat="1" applyFont="1" applyFill="1" applyBorder="1" applyAlignment="1" applyProtection="1">
      <alignment horizontal="center" vertical="center"/>
    </xf>
    <xf numFmtId="165" fontId="146" fillId="5" borderId="38" xfId="4" applyNumberFormat="1" applyFont="1" applyFill="1" applyBorder="1" applyAlignment="1" applyProtection="1">
      <alignment horizontal="center"/>
    </xf>
    <xf numFmtId="165" fontId="150" fillId="5" borderId="38" xfId="4" applyNumberFormat="1" applyFont="1" applyFill="1" applyBorder="1" applyAlignment="1" applyProtection="1"/>
    <xf numFmtId="165" fontId="150" fillId="3" borderId="38" xfId="4" applyNumberFormat="1" applyFont="1" applyFill="1" applyBorder="1" applyAlignment="1" applyProtection="1"/>
    <xf numFmtId="0" fontId="149" fillId="5" borderId="38" xfId="0" applyFont="1" applyFill="1" applyBorder="1" applyAlignment="1">
      <alignment horizontal="center"/>
    </xf>
    <xf numFmtId="165" fontId="58" fillId="3" borderId="38" xfId="4" applyNumberFormat="1" applyFont="1" applyFill="1" applyBorder="1" applyAlignment="1" applyProtection="1">
      <alignment horizontal="center" vertical="center"/>
    </xf>
    <xf numFmtId="165" fontId="58" fillId="0" borderId="38" xfId="4" applyNumberFormat="1" applyFont="1" applyFill="1" applyBorder="1" applyAlignment="1" applyProtection="1">
      <alignment horizontal="center" vertical="center"/>
    </xf>
    <xf numFmtId="0" fontId="58" fillId="4" borderId="39" xfId="0" applyFont="1" applyFill="1" applyBorder="1" applyAlignment="1">
      <alignment horizontal="center" vertical="center"/>
    </xf>
    <xf numFmtId="0" fontId="58" fillId="4" borderId="44" xfId="0" applyFont="1" applyFill="1" applyBorder="1" applyAlignment="1">
      <alignment horizontal="center" vertical="center"/>
    </xf>
    <xf numFmtId="0" fontId="58" fillId="4" borderId="45" xfId="0" applyFont="1" applyFill="1" applyBorder="1" applyAlignment="1">
      <alignment horizontal="center" vertical="center"/>
    </xf>
    <xf numFmtId="165" fontId="152" fillId="0" borderId="38" xfId="4" applyNumberFormat="1" applyFont="1" applyFill="1" applyBorder="1" applyAlignment="1" applyProtection="1"/>
    <xf numFmtId="165" fontId="146" fillId="3" borderId="38" xfId="4" applyNumberFormat="1" applyFont="1" applyFill="1" applyBorder="1" applyAlignment="1" applyProtection="1"/>
    <xf numFmtId="165" fontId="152" fillId="0" borderId="38" xfId="4" applyNumberFormat="1" applyFont="1" applyFill="1" applyBorder="1" applyAlignment="1" applyProtection="1">
      <alignment horizontal="center"/>
    </xf>
    <xf numFmtId="165" fontId="146" fillId="23" borderId="38" xfId="4" applyNumberFormat="1" applyFont="1" applyFill="1" applyBorder="1" applyAlignment="1" applyProtection="1">
      <alignment horizontal="center"/>
    </xf>
    <xf numFmtId="0" fontId="146" fillId="4" borderId="47" xfId="0" applyFont="1" applyFill="1" applyBorder="1" applyAlignment="1">
      <alignment horizontal="center" vertical="center"/>
    </xf>
    <xf numFmtId="0" fontId="58" fillId="4" borderId="49" xfId="0" applyFont="1" applyFill="1" applyBorder="1" applyAlignment="1">
      <alignment horizontal="center" vertical="center"/>
    </xf>
    <xf numFmtId="49" fontId="58" fillId="4" borderId="36" xfId="0" applyNumberFormat="1" applyFont="1" applyFill="1" applyBorder="1" applyAlignment="1">
      <alignment horizontal="center" vertical="center" wrapText="1"/>
    </xf>
    <xf numFmtId="49" fontId="58" fillId="4" borderId="44" xfId="0" applyNumberFormat="1" applyFont="1" applyFill="1" applyBorder="1" applyAlignment="1">
      <alignment horizontal="center" vertical="center" wrapText="1"/>
    </xf>
    <xf numFmtId="49" fontId="58" fillId="4" borderId="45" xfId="0" applyNumberFormat="1" applyFont="1" applyFill="1" applyBorder="1" applyAlignment="1">
      <alignment horizontal="center" vertical="center" wrapText="1"/>
    </xf>
    <xf numFmtId="0" fontId="58" fillId="4" borderId="44" xfId="0" applyFont="1" applyFill="1" applyBorder="1" applyAlignment="1">
      <alignment horizontal="center" vertical="center" wrapText="1"/>
    </xf>
    <xf numFmtId="164" fontId="52" fillId="35" borderId="57" xfId="4" applyNumberFormat="1" applyFont="1" applyFill="1" applyBorder="1" applyAlignment="1" applyProtection="1">
      <alignment horizontal="center"/>
    </xf>
    <xf numFmtId="167" fontId="52" fillId="37" borderId="57" xfId="4" applyNumberFormat="1" applyFont="1" applyFill="1" applyBorder="1" applyAlignment="1" applyProtection="1">
      <alignment horizontal="right"/>
    </xf>
    <xf numFmtId="165" fontId="79" fillId="14" borderId="110" xfId="4" applyNumberFormat="1" applyFont="1" applyFill="1" applyBorder="1" applyAlignment="1" applyProtection="1">
      <alignment horizontal="left" vertical="center" wrapText="1"/>
    </xf>
    <xf numFmtId="167" fontId="52" fillId="27" borderId="57" xfId="4" applyNumberFormat="1" applyFont="1" applyFill="1" applyBorder="1" applyAlignment="1" applyProtection="1">
      <alignment horizontal="right"/>
    </xf>
    <xf numFmtId="165" fontId="74" fillId="14" borderId="110" xfId="4" applyNumberFormat="1" applyFont="1" applyFill="1" applyBorder="1" applyAlignment="1" applyProtection="1">
      <alignment vertical="center" wrapText="1"/>
    </xf>
    <xf numFmtId="2" fontId="79" fillId="14" borderId="110" xfId="4" applyNumberFormat="1" applyFont="1" applyFill="1" applyBorder="1" applyAlignment="1" applyProtection="1">
      <alignment horizontal="right"/>
    </xf>
    <xf numFmtId="164" fontId="79" fillId="20" borderId="110" xfId="0" applyNumberFormat="1" applyFont="1" applyFill="1" applyBorder="1" applyAlignment="1" applyProtection="1">
      <alignment vertical="center" wrapText="1"/>
    </xf>
    <xf numFmtId="165" fontId="79" fillId="14" borderId="121" xfId="4" applyNumberFormat="1" applyFont="1" applyFill="1" applyBorder="1" applyAlignment="1" applyProtection="1">
      <alignment horizontal="right"/>
    </xf>
    <xf numFmtId="0" fontId="76" fillId="14" borderId="110" xfId="0" applyFont="1" applyFill="1" applyBorder="1" applyAlignment="1">
      <alignment vertical="center" wrapText="1"/>
    </xf>
    <xf numFmtId="0" fontId="79" fillId="14" borderId="121" xfId="0" applyFont="1" applyFill="1" applyBorder="1" applyAlignment="1">
      <alignment horizontal="center" vertical="center" wrapText="1"/>
    </xf>
    <xf numFmtId="165" fontId="79" fillId="14" borderId="121" xfId="4" applyNumberFormat="1" applyFont="1" applyFill="1" applyBorder="1" applyAlignment="1" applyProtection="1">
      <alignment vertical="center" wrapText="1"/>
    </xf>
    <xf numFmtId="165" fontId="79" fillId="20" borderId="121" xfId="4" applyNumberFormat="1" applyFont="1" applyFill="1" applyBorder="1" applyAlignment="1" applyProtection="1">
      <alignment horizontal="right"/>
    </xf>
    <xf numFmtId="165" fontId="79" fillId="14" borderId="121" xfId="4" applyNumberFormat="1" applyFont="1" applyFill="1" applyBorder="1" applyAlignment="1" applyProtection="1">
      <alignment horizontal="right" vertical="center" wrapText="1"/>
    </xf>
    <xf numFmtId="168" fontId="79" fillId="19" borderId="121" xfId="4" applyNumberFormat="1" applyFont="1" applyFill="1" applyBorder="1" applyAlignment="1" applyProtection="1">
      <alignment horizontal="right"/>
    </xf>
    <xf numFmtId="165" fontId="79" fillId="14" borderId="121" xfId="4" applyNumberFormat="1" applyFont="1" applyFill="1" applyBorder="1" applyAlignment="1" applyProtection="1">
      <alignment horizontal="center" vertical="center" wrapText="1"/>
    </xf>
    <xf numFmtId="165" fontId="79" fillId="14" borderId="122" xfId="4" applyNumberFormat="1" applyFont="1" applyFill="1" applyBorder="1" applyAlignment="1" applyProtection="1">
      <alignment horizontal="center" vertical="center" wrapText="1"/>
    </xf>
    <xf numFmtId="0" fontId="79" fillId="20" borderId="37" xfId="0" applyFont="1" applyFill="1" applyBorder="1" applyAlignment="1">
      <alignment horizontal="center" vertical="center" wrapText="1"/>
    </xf>
    <xf numFmtId="0" fontId="79" fillId="20" borderId="38" xfId="0" applyFont="1" applyFill="1" applyBorder="1" applyAlignment="1">
      <alignment horizontal="left" vertical="center" wrapText="1"/>
    </xf>
    <xf numFmtId="0" fontId="79" fillId="20" borderId="38" xfId="0" applyFont="1" applyFill="1" applyBorder="1" applyAlignment="1">
      <alignment horizontal="center" vertical="center" wrapText="1"/>
    </xf>
    <xf numFmtId="0" fontId="79" fillId="20" borderId="38" xfId="0" applyFont="1" applyFill="1" applyBorder="1" applyAlignment="1">
      <alignment horizontal="center" vertical="center"/>
    </xf>
    <xf numFmtId="165" fontId="79" fillId="14" borderId="38" xfId="4" applyNumberFormat="1" applyFont="1" applyFill="1" applyBorder="1" applyAlignment="1" applyProtection="1">
      <alignment vertical="center" wrapText="1"/>
    </xf>
    <xf numFmtId="165" fontId="79" fillId="28" borderId="38" xfId="4" applyNumberFormat="1" applyFont="1" applyFill="1" applyBorder="1" applyAlignment="1" applyProtection="1">
      <alignment horizontal="right"/>
    </xf>
    <xf numFmtId="165" fontId="79" fillId="20" borderId="38" xfId="4" applyNumberFormat="1" applyFont="1" applyFill="1" applyBorder="1" applyAlignment="1" applyProtection="1">
      <alignment horizontal="right"/>
    </xf>
    <xf numFmtId="165" fontId="79" fillId="14" borderId="38" xfId="4" applyNumberFormat="1" applyFont="1" applyFill="1" applyBorder="1" applyAlignment="1" applyProtection="1">
      <alignment horizontal="right" vertical="center" wrapText="1"/>
    </xf>
    <xf numFmtId="165" fontId="79" fillId="19" borderId="38" xfId="4" applyNumberFormat="1" applyFont="1" applyFill="1" applyBorder="1" applyAlignment="1" applyProtection="1">
      <alignment horizontal="right"/>
    </xf>
    <xf numFmtId="168" fontId="79" fillId="19" borderId="38" xfId="4" applyNumberFormat="1" applyFont="1" applyFill="1" applyBorder="1" applyAlignment="1" applyProtection="1">
      <alignment horizontal="right"/>
    </xf>
    <xf numFmtId="10" fontId="79" fillId="14" borderId="38" xfId="4" applyNumberFormat="1" applyFont="1" applyFill="1" applyBorder="1" applyAlignment="1" applyProtection="1">
      <alignment horizontal="right"/>
    </xf>
    <xf numFmtId="10" fontId="79" fillId="14" borderId="38" xfId="4" applyNumberFormat="1" applyFont="1" applyFill="1" applyBorder="1" applyAlignment="1" applyProtection="1">
      <alignment vertical="center"/>
    </xf>
    <xf numFmtId="165" fontId="79" fillId="14" borderId="38" xfId="4" applyNumberFormat="1" applyFont="1" applyFill="1" applyBorder="1" applyAlignment="1" applyProtection="1">
      <alignment horizontal="center" vertical="center" wrapText="1"/>
    </xf>
    <xf numFmtId="165" fontId="79" fillId="14" borderId="134" xfId="4" applyNumberFormat="1" applyFont="1" applyFill="1" applyBorder="1" applyAlignment="1" applyProtection="1">
      <alignment horizontal="center"/>
    </xf>
    <xf numFmtId="0" fontId="79" fillId="20" borderId="209" xfId="0" applyFont="1" applyFill="1" applyBorder="1" applyAlignment="1">
      <alignment horizontal="center" vertical="center" wrapText="1"/>
    </xf>
    <xf numFmtId="0" fontId="79" fillId="20" borderId="197" xfId="0" applyFont="1" applyFill="1" applyBorder="1" applyAlignment="1">
      <alignment vertical="center" wrapText="1"/>
    </xf>
    <xf numFmtId="0" fontId="79" fillId="20" borderId="197" xfId="0" applyFont="1" applyFill="1" applyBorder="1" applyAlignment="1">
      <alignment horizontal="left" vertical="center"/>
    </xf>
    <xf numFmtId="0" fontId="79" fillId="20" borderId="197" xfId="0" applyFont="1" applyFill="1" applyBorder="1" applyAlignment="1">
      <alignment horizontal="center" vertical="center" wrapText="1"/>
    </xf>
    <xf numFmtId="165" fontId="79" fillId="14" borderId="197" xfId="4" applyNumberFormat="1" applyFont="1" applyFill="1" applyBorder="1" applyAlignment="1" applyProtection="1">
      <alignment horizontal="center" vertical="center" wrapText="1"/>
    </xf>
    <xf numFmtId="165" fontId="79" fillId="28" borderId="197" xfId="4" applyNumberFormat="1" applyFont="1" applyFill="1" applyBorder="1" applyAlignment="1" applyProtection="1">
      <alignment horizontal="right"/>
    </xf>
    <xf numFmtId="165" fontId="79" fillId="20" borderId="197" xfId="4" applyNumberFormat="1" applyFont="1" applyFill="1" applyBorder="1" applyAlignment="1" applyProtection="1">
      <alignment horizontal="center" vertical="center" wrapText="1"/>
    </xf>
    <xf numFmtId="165" fontId="79" fillId="14" borderId="197" xfId="4" applyNumberFormat="1" applyFont="1" applyFill="1" applyBorder="1" applyAlignment="1" applyProtection="1">
      <alignment horizontal="right"/>
    </xf>
    <xf numFmtId="165" fontId="79" fillId="19" borderId="197" xfId="4" applyNumberFormat="1" applyFont="1" applyFill="1" applyBorder="1" applyAlignment="1" applyProtection="1">
      <alignment horizontal="right"/>
    </xf>
    <xf numFmtId="10" fontId="79" fillId="14" borderId="197" xfId="4" applyNumberFormat="1" applyFont="1" applyFill="1" applyBorder="1" applyAlignment="1" applyProtection="1">
      <alignment horizontal="right"/>
    </xf>
    <xf numFmtId="10" fontId="79" fillId="14" borderId="197" xfId="4" applyNumberFormat="1" applyFont="1" applyFill="1" applyBorder="1" applyAlignment="1" applyProtection="1">
      <alignment vertical="center"/>
    </xf>
    <xf numFmtId="165" fontId="79" fillId="20" borderId="197" xfId="4" applyNumberFormat="1" applyFont="1" applyFill="1" applyBorder="1" applyAlignment="1" applyProtection="1">
      <alignment horizontal="center"/>
    </xf>
    <xf numFmtId="0" fontId="79" fillId="14" borderId="97" xfId="0" applyFont="1" applyFill="1" applyBorder="1" applyAlignment="1">
      <alignment horizontal="left" vertical="center" wrapText="1"/>
    </xf>
    <xf numFmtId="0" fontId="79" fillId="14" borderId="97" xfId="0" applyFont="1" applyFill="1" applyBorder="1" applyAlignment="1">
      <alignment horizontal="center" vertical="center" wrapText="1"/>
    </xf>
    <xf numFmtId="165" fontId="79" fillId="14" borderId="97" xfId="4" applyNumberFormat="1" applyFont="1" applyFill="1" applyBorder="1" applyAlignment="1" applyProtection="1">
      <alignment horizontal="center" vertical="center" wrapText="1"/>
    </xf>
    <xf numFmtId="165" fontId="79" fillId="20" borderId="97" xfId="4" applyNumberFormat="1" applyFont="1" applyFill="1" applyBorder="1" applyAlignment="1" applyProtection="1">
      <alignment horizontal="center" vertical="center" wrapText="1"/>
    </xf>
    <xf numFmtId="165" fontId="79" fillId="14" borderId="97" xfId="4" applyNumberFormat="1" applyFont="1" applyFill="1" applyBorder="1" applyAlignment="1" applyProtection="1">
      <alignment horizontal="right"/>
    </xf>
    <xf numFmtId="165" fontId="79" fillId="19" borderId="97" xfId="4" applyNumberFormat="1" applyFont="1" applyFill="1" applyBorder="1" applyAlignment="1" applyProtection="1">
      <alignment horizontal="right"/>
    </xf>
    <xf numFmtId="10" fontId="79" fillId="14" borderId="97" xfId="4" applyNumberFormat="1" applyFont="1" applyFill="1" applyBorder="1" applyAlignment="1" applyProtection="1">
      <alignment horizontal="right"/>
    </xf>
    <xf numFmtId="10" fontId="79" fillId="14" borderId="97" xfId="4" applyNumberFormat="1" applyFont="1" applyFill="1" applyBorder="1" applyAlignment="1" applyProtection="1">
      <alignment vertical="center"/>
    </xf>
    <xf numFmtId="165" fontId="79" fillId="20" borderId="97" xfId="4" applyNumberFormat="1" applyFont="1" applyFill="1" applyBorder="1" applyAlignment="1" applyProtection="1">
      <alignment horizontal="center"/>
    </xf>
    <xf numFmtId="0" fontId="79" fillId="14" borderId="209" xfId="0" applyFont="1" applyFill="1" applyBorder="1" applyAlignment="1">
      <alignment horizontal="center" vertical="center" wrapText="1"/>
    </xf>
    <xf numFmtId="49" fontId="79" fillId="20" borderId="197" xfId="0" applyNumberFormat="1" applyFont="1" applyFill="1" applyBorder="1" applyAlignment="1">
      <alignment horizontal="center" vertical="center" wrapText="1"/>
    </xf>
    <xf numFmtId="165" fontId="79" fillId="14" borderId="197" xfId="4" applyNumberFormat="1" applyFont="1" applyFill="1" applyBorder="1" applyAlignment="1" applyProtection="1">
      <alignment horizontal="left" vertical="center" wrapText="1"/>
    </xf>
    <xf numFmtId="165" fontId="79" fillId="28" borderId="197" xfId="4" applyNumberFormat="1" applyFont="1" applyFill="1" applyBorder="1" applyAlignment="1" applyProtection="1">
      <alignment horizontal="center" vertical="center" wrapText="1"/>
    </xf>
    <xf numFmtId="10" fontId="79" fillId="20" borderId="197" xfId="4" applyNumberFormat="1" applyFont="1" applyFill="1" applyBorder="1" applyAlignment="1" applyProtection="1">
      <alignment horizontal="right"/>
    </xf>
    <xf numFmtId="165" fontId="79" fillId="14" borderId="197" xfId="4" applyNumberFormat="1" applyFont="1" applyFill="1" applyBorder="1" applyAlignment="1" applyProtection="1">
      <alignment horizontal="center"/>
    </xf>
    <xf numFmtId="0" fontId="79" fillId="20" borderId="211" xfId="0" applyFont="1" applyFill="1" applyBorder="1" applyAlignment="1">
      <alignment horizontal="center" vertical="center" wrapText="1"/>
    </xf>
    <xf numFmtId="0" fontId="79" fillId="20" borderId="106" xfId="0" applyFont="1" applyFill="1" applyBorder="1" applyAlignment="1">
      <alignment horizontal="left" vertical="center" wrapText="1"/>
    </xf>
    <xf numFmtId="0" fontId="79" fillId="20" borderId="106" xfId="0" applyFont="1" applyFill="1" applyBorder="1" applyAlignment="1">
      <alignment horizontal="center" vertical="center" wrapText="1"/>
    </xf>
    <xf numFmtId="165" fontId="79" fillId="14" borderId="106" xfId="4" applyNumberFormat="1" applyFont="1" applyFill="1" applyBorder="1" applyAlignment="1" applyProtection="1">
      <alignment vertical="center" wrapText="1"/>
    </xf>
    <xf numFmtId="165" fontId="79" fillId="28" borderId="106" xfId="4" applyNumberFormat="1" applyFont="1" applyFill="1" applyBorder="1" applyAlignment="1" applyProtection="1">
      <alignment horizontal="right" vertical="center"/>
    </xf>
    <xf numFmtId="165" fontId="79" fillId="20" borderId="106" xfId="4" applyNumberFormat="1" applyFont="1" applyFill="1" applyBorder="1" applyAlignment="1" applyProtection="1">
      <alignment horizontal="right" vertical="center"/>
    </xf>
    <xf numFmtId="165" fontId="79" fillId="14" borderId="106" xfId="4" applyNumberFormat="1" applyFont="1" applyFill="1" applyBorder="1" applyAlignment="1" applyProtection="1">
      <alignment horizontal="right" vertical="center"/>
    </xf>
    <xf numFmtId="165" fontId="79" fillId="19" borderId="106" xfId="4" applyNumberFormat="1" applyFont="1" applyFill="1" applyBorder="1" applyAlignment="1" applyProtection="1">
      <alignment horizontal="right" vertical="center"/>
    </xf>
    <xf numFmtId="10" fontId="79" fillId="14" borderId="106" xfId="4" applyNumberFormat="1" applyFont="1" applyFill="1" applyBorder="1" applyAlignment="1" applyProtection="1">
      <alignment horizontal="right"/>
    </xf>
    <xf numFmtId="10" fontId="79" fillId="14" borderId="106" xfId="4" applyNumberFormat="1" applyFont="1" applyFill="1" applyBorder="1" applyAlignment="1" applyProtection="1">
      <alignment vertical="center"/>
    </xf>
    <xf numFmtId="165" fontId="79" fillId="14" borderId="106" xfId="4" applyNumberFormat="1" applyFont="1" applyFill="1" applyBorder="1" applyAlignment="1" applyProtection="1">
      <alignment horizontal="center"/>
    </xf>
    <xf numFmtId="165" fontId="79" fillId="14" borderId="122" xfId="4" applyNumberFormat="1" applyFont="1" applyFill="1" applyBorder="1" applyAlignment="1" applyProtection="1">
      <alignment horizontal="center"/>
    </xf>
    <xf numFmtId="0" fontId="79" fillId="39" borderId="37" xfId="0" applyFont="1" applyFill="1" applyBorder="1" applyAlignment="1">
      <alignment horizontal="center" vertical="center" wrapText="1"/>
    </xf>
    <xf numFmtId="0" fontId="79" fillId="39" borderId="38" xfId="0" applyFont="1" applyFill="1" applyBorder="1" applyAlignment="1">
      <alignment horizontal="left" vertical="center" wrapText="1"/>
    </xf>
    <xf numFmtId="165" fontId="79" fillId="39" borderId="38" xfId="4" applyNumberFormat="1" applyFont="1" applyFill="1" applyBorder="1" applyAlignment="1" applyProtection="1">
      <alignment horizontal="center"/>
    </xf>
    <xf numFmtId="0" fontId="79" fillId="14" borderId="197" xfId="0" applyFont="1" applyFill="1" applyBorder="1" applyAlignment="1">
      <alignment horizontal="left" vertical="center" wrapText="1"/>
    </xf>
    <xf numFmtId="165" fontId="79" fillId="14" borderId="197" xfId="4" applyNumberFormat="1" applyFont="1" applyFill="1" applyBorder="1" applyAlignment="1" applyProtection="1">
      <alignment vertical="center" wrapText="1"/>
    </xf>
    <xf numFmtId="165" fontId="79" fillId="14" borderId="182" xfId="4" applyNumberFormat="1" applyFont="1" applyFill="1" applyBorder="1" applyAlignment="1" applyProtection="1">
      <alignment horizontal="right"/>
    </xf>
    <xf numFmtId="165" fontId="79" fillId="28" borderId="182" xfId="4" applyNumberFormat="1" applyFont="1" applyFill="1" applyBorder="1" applyAlignment="1" applyProtection="1">
      <alignment horizontal="right"/>
    </xf>
    <xf numFmtId="165" fontId="79" fillId="19" borderId="182" xfId="4" applyNumberFormat="1" applyFont="1" applyFill="1" applyBorder="1" applyAlignment="1" applyProtection="1">
      <alignment horizontal="right"/>
    </xf>
    <xf numFmtId="10" fontId="79" fillId="14" borderId="182" xfId="4" applyNumberFormat="1" applyFont="1" applyFill="1" applyBorder="1" applyAlignment="1" applyProtection="1">
      <alignment horizontal="right"/>
    </xf>
    <xf numFmtId="165" fontId="79" fillId="14" borderId="182" xfId="4" applyNumberFormat="1" applyFont="1" applyFill="1" applyBorder="1" applyAlignment="1" applyProtection="1">
      <alignment horizontal="center"/>
    </xf>
    <xf numFmtId="0" fontId="79" fillId="20" borderId="48" xfId="0" applyFont="1" applyFill="1" applyBorder="1" applyAlignment="1">
      <alignment horizontal="center" vertical="center" wrapText="1"/>
    </xf>
    <xf numFmtId="0" fontId="79" fillId="20" borderId="99" xfId="0" applyFont="1" applyFill="1" applyBorder="1" applyAlignment="1">
      <alignment horizontal="left" vertical="center" wrapText="1"/>
    </xf>
    <xf numFmtId="0" fontId="79" fillId="20" borderId="99" xfId="0" applyFont="1" applyFill="1" applyBorder="1" applyAlignment="1">
      <alignment horizontal="center" vertical="center"/>
    </xf>
    <xf numFmtId="0" fontId="79" fillId="20" borderId="99" xfId="0" applyFont="1" applyFill="1" applyBorder="1" applyAlignment="1">
      <alignment horizontal="center" vertical="center" wrapText="1"/>
    </xf>
    <xf numFmtId="165" fontId="79" fillId="28" borderId="99" xfId="4" applyNumberFormat="1" applyFont="1" applyFill="1" applyBorder="1" applyAlignment="1" applyProtection="1">
      <alignment horizontal="right"/>
    </xf>
    <xf numFmtId="165" fontId="79" fillId="20" borderId="99" xfId="4" applyNumberFormat="1" applyFont="1" applyFill="1" applyBorder="1" applyAlignment="1" applyProtection="1">
      <alignment horizontal="right"/>
    </xf>
    <xf numFmtId="165" fontId="79" fillId="14" borderId="99" xfId="4" applyNumberFormat="1" applyFont="1" applyFill="1" applyBorder="1" applyAlignment="1" applyProtection="1">
      <alignment horizontal="right"/>
    </xf>
    <xf numFmtId="165" fontId="79" fillId="19" borderId="99" xfId="4" applyNumberFormat="1" applyFont="1" applyFill="1" applyBorder="1" applyAlignment="1" applyProtection="1">
      <alignment horizontal="right"/>
    </xf>
    <xf numFmtId="10" fontId="79" fillId="14" borderId="99" xfId="4" applyNumberFormat="1" applyFont="1" applyFill="1" applyBorder="1" applyAlignment="1" applyProtection="1">
      <alignment horizontal="right"/>
    </xf>
    <xf numFmtId="165" fontId="79" fillId="14" borderId="99" xfId="4" applyNumberFormat="1" applyFont="1" applyFill="1" applyBorder="1" applyAlignment="1" applyProtection="1">
      <alignment horizontal="center"/>
    </xf>
    <xf numFmtId="165" fontId="79" fillId="14" borderId="166" xfId="4" applyNumberFormat="1" applyFont="1" applyFill="1" applyBorder="1" applyAlignment="1" applyProtection="1">
      <alignment horizontal="center"/>
    </xf>
    <xf numFmtId="0" fontId="79" fillId="20" borderId="120" xfId="0" applyFont="1" applyFill="1" applyBorder="1" applyAlignment="1">
      <alignment horizontal="center" vertical="center" wrapText="1"/>
    </xf>
    <xf numFmtId="0" fontId="79" fillId="20" borderId="121" xfId="0" applyFont="1" applyFill="1" applyBorder="1" applyAlignment="1">
      <alignment horizontal="left" vertical="center" wrapText="1"/>
    </xf>
    <xf numFmtId="0" fontId="79" fillId="20" borderId="121" xfId="0" applyFont="1" applyFill="1" applyBorder="1" applyAlignment="1">
      <alignment horizontal="center" vertical="center"/>
    </xf>
    <xf numFmtId="0" fontId="79" fillId="20" borderId="121" xfId="0" applyFont="1" applyFill="1" applyBorder="1" applyAlignment="1">
      <alignment horizontal="center" vertical="center" wrapText="1"/>
    </xf>
    <xf numFmtId="10" fontId="79" fillId="14" borderId="121" xfId="4" applyNumberFormat="1" applyFont="1" applyFill="1" applyBorder="1" applyAlignment="1" applyProtection="1">
      <alignment vertical="center"/>
    </xf>
    <xf numFmtId="0" fontId="64" fillId="20" borderId="197" xfId="0" applyFont="1" applyFill="1" applyBorder="1" applyAlignment="1">
      <alignment horizontal="left" vertical="center" wrapText="1"/>
    </xf>
    <xf numFmtId="0" fontId="79" fillId="20" borderId="197" xfId="0" applyFont="1" applyFill="1" applyBorder="1" applyAlignment="1">
      <alignment horizontal="left" vertical="center" wrapText="1"/>
    </xf>
    <xf numFmtId="165" fontId="79" fillId="20" borderId="197" xfId="4" applyNumberFormat="1" applyFont="1" applyFill="1" applyBorder="1" applyAlignment="1" applyProtection="1">
      <alignment horizontal="right"/>
    </xf>
    <xf numFmtId="0" fontId="79" fillId="20" borderId="181" xfId="0" applyFont="1" applyFill="1" applyBorder="1" applyAlignment="1">
      <alignment horizontal="center" vertical="center" wrapText="1"/>
    </xf>
    <xf numFmtId="0" fontId="79" fillId="20" borderId="182" xfId="0" applyFont="1" applyFill="1" applyBorder="1" applyAlignment="1">
      <alignment horizontal="left" vertical="center" wrapText="1"/>
    </xf>
    <xf numFmtId="0" fontId="79" fillId="20" borderId="182" xfId="0" applyFont="1" applyFill="1" applyBorder="1" applyAlignment="1">
      <alignment horizontal="center" vertical="center"/>
    </xf>
    <xf numFmtId="0" fontId="79" fillId="20" borderId="182" xfId="0" applyFont="1" applyFill="1" applyBorder="1" applyAlignment="1">
      <alignment horizontal="center" vertical="center" wrapText="1"/>
    </xf>
    <xf numFmtId="165" fontId="79" fillId="20" borderId="182" xfId="4" applyNumberFormat="1" applyFont="1" applyFill="1" applyBorder="1" applyAlignment="1" applyProtection="1">
      <alignment horizontal="right"/>
    </xf>
    <xf numFmtId="10" fontId="79" fillId="14" borderId="182" xfId="4" applyNumberFormat="1" applyFont="1" applyFill="1" applyBorder="1" applyAlignment="1" applyProtection="1">
      <alignment vertical="center"/>
    </xf>
    <xf numFmtId="0" fontId="79" fillId="14" borderId="197" xfId="0" applyFont="1" applyFill="1" applyBorder="1" applyAlignment="1">
      <alignment vertical="center" wrapText="1"/>
    </xf>
    <xf numFmtId="0" fontId="79" fillId="14" borderId="197" xfId="0" applyFont="1" applyFill="1" applyBorder="1" applyAlignment="1">
      <alignment horizontal="center" vertical="center" wrapText="1"/>
    </xf>
    <xf numFmtId="165" fontId="79" fillId="28" borderId="197" xfId="4" applyNumberFormat="1" applyFont="1" applyFill="1" applyBorder="1" applyAlignment="1" applyProtection="1">
      <alignment vertical="center"/>
    </xf>
    <xf numFmtId="165" fontId="79" fillId="14" borderId="197" xfId="4" applyNumberFormat="1" applyFont="1" applyFill="1" applyBorder="1" applyAlignment="1" applyProtection="1">
      <alignment vertical="center"/>
    </xf>
    <xf numFmtId="165" fontId="79" fillId="19" borderId="197" xfId="4" applyNumberFormat="1" applyFont="1" applyFill="1" applyBorder="1" applyAlignment="1" applyProtection="1">
      <alignment vertical="center"/>
    </xf>
    <xf numFmtId="0" fontId="79" fillId="14" borderId="48" xfId="0" applyFont="1" applyFill="1" applyBorder="1" applyAlignment="1">
      <alignment horizontal="center" vertical="center" wrapText="1"/>
    </xf>
    <xf numFmtId="0" fontId="79" fillId="14" borderId="99" xfId="0" applyFont="1" applyFill="1" applyBorder="1" applyAlignment="1">
      <alignment horizontal="left" vertical="center" wrapText="1"/>
    </xf>
    <xf numFmtId="0" fontId="79" fillId="14" borderId="99" xfId="0" applyFont="1" applyFill="1" applyBorder="1" applyAlignment="1">
      <alignment horizontal="center" vertical="center" wrapText="1"/>
    </xf>
    <xf numFmtId="2" fontId="79" fillId="14" borderId="99" xfId="4" applyNumberFormat="1" applyFont="1" applyFill="1" applyBorder="1" applyAlignment="1" applyProtection="1">
      <alignment horizontal="right"/>
    </xf>
    <xf numFmtId="165" fontId="79" fillId="17" borderId="99" xfId="4" applyNumberFormat="1" applyFont="1" applyFill="1" applyBorder="1" applyAlignment="1" applyProtection="1">
      <alignment horizontal="right"/>
    </xf>
    <xf numFmtId="164" fontId="79" fillId="20" borderId="121" xfId="0" applyNumberFormat="1" applyFont="1" applyFill="1" applyBorder="1" applyAlignment="1" applyProtection="1">
      <alignment horizontal="center" vertical="center" wrapText="1"/>
    </xf>
    <xf numFmtId="164" fontId="79" fillId="20" borderId="121" xfId="0" applyNumberFormat="1" applyFont="1" applyFill="1" applyBorder="1" applyAlignment="1" applyProtection="1">
      <alignment vertical="center" wrapText="1"/>
    </xf>
    <xf numFmtId="165" fontId="79" fillId="20" borderId="121" xfId="4" applyNumberFormat="1" applyFont="1" applyFill="1" applyBorder="1" applyAlignment="1" applyProtection="1">
      <alignment vertical="center" wrapText="1"/>
    </xf>
    <xf numFmtId="165" fontId="79" fillId="28" borderId="121" xfId="4" applyNumberFormat="1" applyFont="1" applyFill="1" applyBorder="1" applyAlignment="1" applyProtection="1">
      <alignment vertical="center" wrapText="1"/>
    </xf>
    <xf numFmtId="165" fontId="79" fillId="20" borderId="121" xfId="4" applyNumberFormat="1" applyFont="1" applyFill="1" applyBorder="1" applyAlignment="1" applyProtection="1">
      <alignment horizontal="center"/>
    </xf>
    <xf numFmtId="165" fontId="79" fillId="20" borderId="122" xfId="4" applyNumberFormat="1" applyFont="1" applyFill="1" applyBorder="1" applyAlignment="1" applyProtection="1">
      <alignment horizontal="center"/>
    </xf>
    <xf numFmtId="164" fontId="52" fillId="26" borderId="37" xfId="4" applyNumberFormat="1" applyFont="1" applyFill="1" applyBorder="1" applyAlignment="1" applyProtection="1">
      <alignment horizontal="center" vertical="center" wrapText="1"/>
    </xf>
    <xf numFmtId="164" fontId="52" fillId="26" borderId="38" xfId="4" applyNumberFormat="1" applyFont="1" applyFill="1" applyBorder="1" applyAlignment="1" applyProtection="1">
      <alignment horizontal="right"/>
    </xf>
    <xf numFmtId="164" fontId="52" fillId="29" borderId="38" xfId="4" applyNumberFormat="1" applyFont="1" applyFill="1" applyBorder="1" applyAlignment="1" applyProtection="1">
      <alignment horizontal="right"/>
    </xf>
    <xf numFmtId="164" fontId="52" fillId="27" borderId="38" xfId="4" applyNumberFormat="1" applyFont="1" applyFill="1" applyBorder="1" applyAlignment="1" applyProtection="1">
      <alignment horizontal="right"/>
    </xf>
    <xf numFmtId="167" fontId="52" fillId="27" borderId="38" xfId="4" applyNumberFormat="1" applyFont="1" applyFill="1" applyBorder="1" applyAlignment="1" applyProtection="1">
      <alignment horizontal="right"/>
    </xf>
    <xf numFmtId="167" fontId="52" fillId="26" borderId="38" xfId="4" applyNumberFormat="1" applyFont="1" applyFill="1" applyBorder="1" applyAlignment="1" applyProtection="1">
      <alignment horizontal="right"/>
    </xf>
    <xf numFmtId="164" fontId="41" fillId="26" borderId="30" xfId="4" applyNumberFormat="1" applyFont="1" applyFill="1" applyBorder="1" applyAlignment="1" applyProtection="1"/>
    <xf numFmtId="165" fontId="108" fillId="4" borderId="0" xfId="4" applyNumberFormat="1" applyFont="1" applyFill="1" applyBorder="1" applyAlignment="1" applyProtection="1">
      <alignment horizontal="center"/>
    </xf>
    <xf numFmtId="167" fontId="52" fillId="35" borderId="146" xfId="4" applyNumberFormat="1" applyFont="1" applyFill="1" applyBorder="1" applyAlignment="1" applyProtection="1">
      <alignment horizontal="center"/>
    </xf>
    <xf numFmtId="167" fontId="52" fillId="26" borderId="146" xfId="4" applyNumberFormat="1" applyFont="1" applyFill="1" applyBorder="1" applyAlignment="1" applyProtection="1">
      <alignment horizontal="center"/>
    </xf>
    <xf numFmtId="164" fontId="79" fillId="22" borderId="123" xfId="4" applyNumberFormat="1" applyFont="1" applyFill="1" applyBorder="1" applyAlignment="1" applyProtection="1">
      <alignment horizontal="center"/>
    </xf>
    <xf numFmtId="164" fontId="79" fillId="22" borderId="166" xfId="4" applyNumberFormat="1" applyFont="1" applyFill="1" applyBorder="1" applyAlignment="1" applyProtection="1">
      <alignment horizontal="center" vertical="center" wrapText="1"/>
    </xf>
    <xf numFmtId="167" fontId="52" fillId="26" borderId="134" xfId="4" applyNumberFormat="1" applyFont="1" applyFill="1" applyBorder="1" applyAlignment="1" applyProtection="1">
      <alignment horizontal="center"/>
    </xf>
    <xf numFmtId="165" fontId="79" fillId="22" borderId="166" xfId="4" applyNumberFormat="1" applyFont="1" applyFill="1" applyBorder="1" applyAlignment="1" applyProtection="1">
      <alignment horizontal="center" vertical="center" wrapText="1"/>
    </xf>
    <xf numFmtId="165" fontId="71" fillId="14" borderId="0" xfId="4" applyNumberFormat="1" applyFont="1" applyFill="1" applyBorder="1" applyAlignment="1" applyProtection="1">
      <alignment horizontal="center"/>
    </xf>
    <xf numFmtId="165" fontId="79" fillId="14" borderId="123" xfId="4" applyNumberFormat="1" applyFont="1" applyFill="1" applyBorder="1" applyAlignment="1" applyProtection="1"/>
    <xf numFmtId="167" fontId="52" fillId="35" borderId="146" xfId="4" applyNumberFormat="1" applyFont="1" applyFill="1" applyBorder="1" applyAlignment="1" applyProtection="1"/>
    <xf numFmtId="43" fontId="71" fillId="0" borderId="0" xfId="0" applyNumberFormat="1" applyFont="1" applyAlignment="1">
      <alignment horizontal="center" vertical="center"/>
    </xf>
    <xf numFmtId="0" fontId="27" fillId="14" borderId="110" xfId="0" applyFont="1" applyFill="1" applyBorder="1" applyAlignment="1">
      <alignment horizontal="center" vertical="center" wrapText="1"/>
    </xf>
    <xf numFmtId="0" fontId="27" fillId="14" borderId="197" xfId="0" applyFont="1" applyFill="1" applyBorder="1" applyAlignment="1">
      <alignment horizontal="center" vertical="center" wrapText="1"/>
    </xf>
    <xf numFmtId="165" fontId="57" fillId="20" borderId="97" xfId="4" applyNumberFormat="1" applyFont="1" applyFill="1" applyBorder="1" applyAlignment="1" applyProtection="1">
      <alignment horizontal="center" vertical="center" wrapText="1"/>
    </xf>
    <xf numFmtId="165" fontId="79" fillId="20" borderId="123" xfId="4" applyNumberFormat="1" applyFont="1" applyFill="1" applyBorder="1" applyAlignment="1" applyProtection="1">
      <alignment horizontal="center" vertical="center" wrapText="1"/>
    </xf>
    <xf numFmtId="165" fontId="79" fillId="14" borderId="99" xfId="4" applyNumberFormat="1" applyFont="1" applyFill="1" applyBorder="1" applyAlignment="1" applyProtection="1">
      <alignment horizontal="center" vertical="center" wrapText="1"/>
    </xf>
    <xf numFmtId="0" fontId="79" fillId="14" borderId="110" xfId="0" applyFont="1" applyFill="1" applyBorder="1" applyAlignment="1">
      <alignment horizontal="left" vertical="center" wrapText="1"/>
    </xf>
    <xf numFmtId="165" fontId="79" fillId="14" borderId="110" xfId="4" applyNumberFormat="1" applyFont="1" applyFill="1" applyBorder="1" applyAlignment="1" applyProtection="1">
      <alignment horizontal="center" vertical="center" wrapText="1"/>
    </xf>
    <xf numFmtId="164" fontId="52" fillId="35" borderId="57" xfId="4" applyNumberFormat="1" applyFont="1" applyFill="1" applyBorder="1" applyAlignment="1" applyProtection="1">
      <alignment horizontal="center" vertical="center" wrapText="1"/>
    </xf>
    <xf numFmtId="0" fontId="79" fillId="20" borderId="110" xfId="0" applyFont="1" applyFill="1" applyBorder="1" applyAlignment="1">
      <alignment horizontal="center" vertical="center" wrapText="1"/>
    </xf>
    <xf numFmtId="164" fontId="52" fillId="26" borderId="57" xfId="4" applyNumberFormat="1" applyFont="1" applyFill="1" applyBorder="1" applyAlignment="1" applyProtection="1">
      <alignment horizontal="center" vertical="center" wrapText="1"/>
    </xf>
    <xf numFmtId="0" fontId="79" fillId="20" borderId="110" xfId="0" applyFont="1" applyFill="1" applyBorder="1" applyAlignment="1">
      <alignment horizontal="left" vertical="center" wrapText="1"/>
    </xf>
    <xf numFmtId="0" fontId="53" fillId="0" borderId="123" xfId="0" applyFont="1" applyBorder="1" applyAlignment="1">
      <alignment horizontal="center" wrapText="1"/>
    </xf>
    <xf numFmtId="165" fontId="79" fillId="14" borderId="197" xfId="4" applyNumberFormat="1" applyFont="1" applyFill="1" applyBorder="1" applyAlignment="1" applyProtection="1">
      <alignment wrapText="1"/>
    </xf>
    <xf numFmtId="167" fontId="52" fillId="35" borderId="212" xfId="4" applyNumberFormat="1" applyFont="1" applyFill="1" applyBorder="1" applyAlignment="1" applyProtection="1">
      <alignment horizontal="right"/>
    </xf>
    <xf numFmtId="167" fontId="52" fillId="26" borderId="212" xfId="4" applyNumberFormat="1" applyFont="1" applyFill="1" applyBorder="1" applyAlignment="1" applyProtection="1">
      <alignment horizontal="right"/>
    </xf>
    <xf numFmtId="164" fontId="54" fillId="38" borderId="212" xfId="4" applyNumberFormat="1" applyFont="1" applyFill="1" applyBorder="1" applyAlignment="1" applyProtection="1">
      <alignment horizontal="right"/>
    </xf>
    <xf numFmtId="167" fontId="52" fillId="26" borderId="204" xfId="4" applyNumberFormat="1" applyFont="1" applyFill="1" applyBorder="1" applyAlignment="1" applyProtection="1">
      <alignment horizontal="right"/>
    </xf>
    <xf numFmtId="43" fontId="103" fillId="36" borderId="213" xfId="1" applyFont="1" applyFill="1" applyBorder="1" applyAlignment="1" applyProtection="1">
      <alignment horizontal="right"/>
    </xf>
    <xf numFmtId="167" fontId="52" fillId="35" borderId="214" xfId="4" applyNumberFormat="1" applyFont="1" applyFill="1" applyBorder="1" applyAlignment="1" applyProtection="1">
      <alignment horizontal="right"/>
    </xf>
    <xf numFmtId="0" fontId="79" fillId="14" borderId="110" xfId="0" applyFont="1" applyFill="1" applyBorder="1" applyAlignment="1">
      <alignment horizontal="left" vertical="center" wrapText="1"/>
    </xf>
    <xf numFmtId="0" fontId="79" fillId="20" borderId="110" xfId="0" applyFont="1" applyFill="1" applyBorder="1" applyAlignment="1">
      <alignment horizontal="center" vertical="center" wrapText="1"/>
    </xf>
    <xf numFmtId="49" fontId="79" fillId="14" borderId="110" xfId="0" applyNumberFormat="1" applyFont="1" applyFill="1" applyBorder="1" applyAlignment="1">
      <alignment horizontal="center" vertical="center" wrapText="1"/>
    </xf>
    <xf numFmtId="0" fontId="71" fillId="36" borderId="0" xfId="0" applyFont="1" applyFill="1"/>
    <xf numFmtId="0" fontId="39" fillId="36" borderId="0" xfId="0" applyFont="1" applyFill="1"/>
    <xf numFmtId="0" fontId="43" fillId="36" borderId="0" xfId="0" applyFont="1" applyFill="1"/>
    <xf numFmtId="164" fontId="79" fillId="24" borderId="48" xfId="0" applyNumberFormat="1" applyFont="1" applyFill="1" applyBorder="1" applyAlignment="1">
      <alignment horizontal="center" vertical="center" wrapText="1"/>
    </xf>
    <xf numFmtId="164" fontId="79" fillId="24" borderId="166" xfId="4" applyNumberFormat="1" applyFont="1" applyFill="1" applyBorder="1" applyAlignment="1" applyProtection="1">
      <alignment horizontal="center"/>
    </xf>
    <xf numFmtId="0" fontId="55" fillId="20" borderId="121" xfId="0" applyFont="1" applyFill="1" applyBorder="1" applyAlignment="1">
      <alignment horizontal="left" vertical="center" wrapText="1"/>
    </xf>
    <xf numFmtId="164" fontId="79" fillId="35" borderId="157" xfId="0" applyNumberFormat="1" applyFont="1" applyFill="1" applyBorder="1" applyAlignment="1">
      <alignment horizontal="center" vertical="center" wrapText="1"/>
    </xf>
    <xf numFmtId="164" fontId="79" fillId="35" borderId="123" xfId="4" applyNumberFormat="1" applyFont="1" applyFill="1" applyBorder="1" applyAlignment="1" applyProtection="1">
      <alignment horizontal="center"/>
    </xf>
    <xf numFmtId="165" fontId="79" fillId="40" borderId="38" xfId="4" applyNumberFormat="1" applyFont="1" applyFill="1" applyBorder="1" applyAlignment="1" applyProtection="1">
      <alignment horizontal="center"/>
    </xf>
    <xf numFmtId="165" fontId="79" fillId="41" borderId="38" xfId="4" applyNumberFormat="1" applyFont="1" applyFill="1" applyBorder="1" applyAlignment="1" applyProtection="1">
      <alignment horizontal="center"/>
    </xf>
    <xf numFmtId="10" fontId="79" fillId="39" borderId="38" xfId="4" applyNumberFormat="1" applyFont="1" applyFill="1" applyBorder="1" applyAlignment="1" applyProtection="1">
      <alignment horizontal="center"/>
    </xf>
    <xf numFmtId="10" fontId="79" fillId="39" borderId="38" xfId="4" applyNumberFormat="1" applyFont="1" applyFill="1" applyBorder="1" applyAlignment="1" applyProtection="1">
      <alignment horizontal="center" vertical="center"/>
    </xf>
    <xf numFmtId="165" fontId="79" fillId="28" borderId="121" xfId="4" applyNumberFormat="1" applyFont="1" applyFill="1" applyBorder="1" applyAlignment="1" applyProtection="1">
      <alignment horizontal="center"/>
    </xf>
    <xf numFmtId="165" fontId="79" fillId="19" borderId="121" xfId="4" applyNumberFormat="1" applyFont="1" applyFill="1" applyBorder="1" applyAlignment="1" applyProtection="1">
      <alignment horizontal="center"/>
    </xf>
    <xf numFmtId="10" fontId="79" fillId="14" borderId="121" xfId="4" applyNumberFormat="1" applyFont="1" applyFill="1" applyBorder="1" applyAlignment="1" applyProtection="1">
      <alignment horizontal="center"/>
    </xf>
    <xf numFmtId="165" fontId="79" fillId="19" borderId="110" xfId="4" applyNumberFormat="1" applyFont="1" applyFill="1" applyBorder="1" applyAlignment="1" applyProtection="1">
      <alignment horizontal="center"/>
    </xf>
    <xf numFmtId="10" fontId="79" fillId="14" borderId="110" xfId="4" applyNumberFormat="1" applyFont="1" applyFill="1" applyBorder="1" applyAlignment="1" applyProtection="1">
      <alignment horizontal="center"/>
    </xf>
    <xf numFmtId="43" fontId="103" fillId="36" borderId="57" xfId="1" applyFont="1" applyFill="1" applyBorder="1" applyAlignment="1" applyProtection="1">
      <alignment horizontal="center"/>
    </xf>
    <xf numFmtId="167" fontId="52" fillId="37" borderId="57" xfId="4" applyNumberFormat="1" applyFont="1" applyFill="1" applyBorder="1" applyAlignment="1" applyProtection="1">
      <alignment horizontal="center"/>
    </xf>
    <xf numFmtId="167" fontId="52" fillId="35" borderId="57" xfId="4" applyNumberFormat="1" applyFont="1" applyFill="1" applyBorder="1" applyAlignment="1" applyProtection="1">
      <alignment horizontal="center"/>
    </xf>
    <xf numFmtId="165" fontId="79" fillId="14" borderId="110" xfId="4" applyNumberFormat="1" applyFont="1" applyFill="1" applyBorder="1" applyAlignment="1" applyProtection="1">
      <alignment horizontal="center" vertical="center"/>
    </xf>
    <xf numFmtId="165" fontId="79" fillId="28" borderId="110" xfId="4" applyNumberFormat="1" applyFont="1" applyFill="1" applyBorder="1" applyAlignment="1" applyProtection="1">
      <alignment horizontal="center" vertical="center"/>
    </xf>
    <xf numFmtId="164" fontId="79" fillId="22" borderId="110" xfId="4" applyNumberFormat="1" applyFont="1" applyFill="1" applyBorder="1" applyAlignment="1" applyProtection="1">
      <alignment horizontal="center"/>
    </xf>
    <xf numFmtId="164" fontId="79" fillId="29" borderId="110" xfId="4" applyNumberFormat="1" applyFont="1" applyFill="1" applyBorder="1" applyAlignment="1" applyProtection="1">
      <alignment horizontal="center"/>
    </xf>
    <xf numFmtId="164" fontId="79" fillId="17" borderId="110" xfId="4" applyNumberFormat="1" applyFont="1" applyFill="1" applyBorder="1" applyAlignment="1" applyProtection="1">
      <alignment horizontal="center"/>
    </xf>
    <xf numFmtId="164" fontId="79" fillId="24" borderId="99" xfId="4" applyNumberFormat="1" applyFont="1" applyFill="1" applyBorder="1" applyAlignment="1" applyProtection="1">
      <alignment horizontal="center"/>
    </xf>
    <xf numFmtId="164" fontId="79" fillId="30" borderId="99" xfId="4" applyNumberFormat="1" applyFont="1" applyFill="1" applyBorder="1" applyAlignment="1" applyProtection="1">
      <alignment horizontal="center"/>
    </xf>
    <xf numFmtId="164" fontId="79" fillId="35" borderId="110" xfId="4" applyNumberFormat="1" applyFont="1" applyFill="1" applyBorder="1" applyAlignment="1" applyProtection="1">
      <alignment horizontal="center"/>
    </xf>
    <xf numFmtId="164" fontId="79" fillId="37" borderId="110" xfId="4" applyNumberFormat="1" applyFont="1" applyFill="1" applyBorder="1" applyAlignment="1" applyProtection="1">
      <alignment horizontal="center"/>
    </xf>
    <xf numFmtId="165" fontId="79" fillId="20" borderId="99" xfId="4" applyNumberFormat="1" applyFont="1" applyFill="1" applyBorder="1" applyAlignment="1" applyProtection="1">
      <alignment horizontal="center"/>
    </xf>
    <xf numFmtId="165" fontId="79" fillId="28" borderId="99" xfId="4" applyNumberFormat="1" applyFont="1" applyFill="1" applyBorder="1" applyAlignment="1" applyProtection="1">
      <alignment horizontal="center"/>
    </xf>
    <xf numFmtId="165" fontId="79" fillId="19" borderId="99" xfId="4" applyNumberFormat="1" applyFont="1" applyFill="1" applyBorder="1" applyAlignment="1" applyProtection="1">
      <alignment horizontal="center"/>
    </xf>
    <xf numFmtId="10" fontId="79" fillId="14" borderId="99" xfId="4" applyNumberFormat="1" applyFont="1" applyFill="1" applyBorder="1" applyAlignment="1" applyProtection="1">
      <alignment horizontal="center"/>
    </xf>
    <xf numFmtId="164" fontId="79" fillId="21" borderId="120" xfId="0" applyNumberFormat="1" applyFont="1" applyFill="1" applyBorder="1" applyAlignment="1">
      <alignment horizontal="center" vertical="center" wrapText="1"/>
    </xf>
    <xf numFmtId="164" fontId="79" fillId="21" borderId="121" xfId="0" applyNumberFormat="1" applyFont="1" applyFill="1" applyBorder="1" applyAlignment="1" applyProtection="1">
      <alignment horizontal="center" vertical="center" wrapText="1"/>
    </xf>
    <xf numFmtId="164" fontId="79" fillId="21" borderId="121" xfId="4" applyNumberFormat="1" applyFont="1" applyFill="1" applyBorder="1" applyAlignment="1" applyProtection="1">
      <alignment horizontal="center"/>
    </xf>
    <xf numFmtId="164" fontId="79" fillId="28" borderId="121" xfId="4" applyNumberFormat="1" applyFont="1" applyFill="1" applyBorder="1" applyAlignment="1" applyProtection="1">
      <alignment horizontal="center"/>
    </xf>
    <xf numFmtId="164" fontId="79" fillId="19" borderId="121" xfId="4" applyNumberFormat="1" applyFont="1" applyFill="1" applyBorder="1" applyAlignment="1" applyProtection="1">
      <alignment horizontal="center"/>
    </xf>
    <xf numFmtId="164" fontId="79" fillId="21" borderId="122" xfId="4" applyNumberFormat="1" applyFont="1" applyFill="1" applyBorder="1" applyAlignment="1" applyProtection="1">
      <alignment horizontal="center"/>
    </xf>
    <xf numFmtId="164" fontId="79" fillId="35" borderId="37" xfId="0" applyNumberFormat="1" applyFont="1" applyFill="1" applyBorder="1" applyAlignment="1">
      <alignment horizontal="center" vertical="center" wrapText="1"/>
    </xf>
    <xf numFmtId="164" fontId="79" fillId="35" borderId="38" xfId="0" applyNumberFormat="1" applyFont="1" applyFill="1" applyBorder="1" applyAlignment="1">
      <alignment horizontal="center" vertical="center" wrapText="1"/>
    </xf>
    <xf numFmtId="164" fontId="79" fillId="35" borderId="38" xfId="4" applyNumberFormat="1" applyFont="1" applyFill="1" applyBorder="1" applyAlignment="1" applyProtection="1">
      <alignment horizontal="center"/>
    </xf>
    <xf numFmtId="164" fontId="79" fillId="37" borderId="38" xfId="4" applyNumberFormat="1" applyFont="1" applyFill="1" applyBorder="1" applyAlignment="1" applyProtection="1">
      <alignment horizontal="center"/>
    </xf>
    <xf numFmtId="10" fontId="79" fillId="35" borderId="38" xfId="4" applyNumberFormat="1" applyFont="1" applyFill="1" applyBorder="1" applyAlignment="1" applyProtection="1">
      <alignment horizontal="center"/>
    </xf>
    <xf numFmtId="164" fontId="79" fillId="35" borderId="134" xfId="4" applyNumberFormat="1" applyFont="1" applyFill="1" applyBorder="1" applyAlignment="1" applyProtection="1">
      <alignment horizontal="center"/>
    </xf>
    <xf numFmtId="165" fontId="79" fillId="14" borderId="110" xfId="4" applyNumberFormat="1" applyFont="1" applyFill="1" applyBorder="1" applyAlignment="1" applyProtection="1">
      <alignment horizontal="center" wrapText="1"/>
    </xf>
    <xf numFmtId="165" fontId="75" fillId="14" borderId="104" xfId="4" applyNumberFormat="1" applyFont="1" applyFill="1" applyBorder="1" applyAlignment="1" applyProtection="1"/>
    <xf numFmtId="165" fontId="76" fillId="14" borderId="104" xfId="4" applyNumberFormat="1" applyFont="1" applyFill="1" applyBorder="1" applyAlignment="1" applyProtection="1"/>
    <xf numFmtId="0" fontId="74" fillId="4" borderId="38" xfId="0" applyFont="1" applyFill="1" applyBorder="1" applyAlignment="1">
      <alignment horizontal="left" wrapText="1" shrinkToFit="1"/>
    </xf>
    <xf numFmtId="0" fontId="58" fillId="4" borderId="38" xfId="0" applyFont="1" applyFill="1" applyBorder="1" applyAlignment="1">
      <alignment horizontal="center" vertical="center"/>
    </xf>
    <xf numFmtId="165" fontId="79" fillId="20" borderId="110" xfId="4" applyNumberFormat="1" applyFont="1" applyFill="1" applyBorder="1" applyAlignment="1" applyProtection="1">
      <alignment horizontal="center" vertical="center" wrapText="1"/>
    </xf>
    <xf numFmtId="0" fontId="79" fillId="20" borderId="110" xfId="0" applyFont="1" applyFill="1" applyBorder="1" applyAlignment="1">
      <alignment horizontal="center" vertical="center" wrapText="1"/>
    </xf>
    <xf numFmtId="0" fontId="58" fillId="15" borderId="38" xfId="0" applyFont="1" applyFill="1" applyBorder="1" applyAlignment="1">
      <alignment horizontal="center" vertical="center"/>
    </xf>
    <xf numFmtId="43" fontId="97" fillId="16" borderId="38" xfId="1" applyFont="1" applyFill="1" applyBorder="1" applyAlignment="1">
      <alignment horizontal="center"/>
    </xf>
    <xf numFmtId="165" fontId="146" fillId="16" borderId="38" xfId="4" applyNumberFormat="1" applyFont="1" applyFill="1" applyBorder="1" applyAlignment="1" applyProtection="1"/>
    <xf numFmtId="165" fontId="146" fillId="15" borderId="38" xfId="0" applyNumberFormat="1" applyFont="1" applyFill="1" applyBorder="1" applyAlignment="1">
      <alignment horizontal="center"/>
    </xf>
    <xf numFmtId="0" fontId="36" fillId="15" borderId="0" xfId="0" applyFont="1" applyFill="1" applyBorder="1"/>
    <xf numFmtId="165" fontId="36" fillId="15" borderId="0" xfId="0" applyNumberFormat="1" applyFont="1" applyFill="1" applyBorder="1"/>
    <xf numFmtId="0" fontId="97" fillId="15" borderId="0" xfId="0" applyFont="1" applyFill="1" applyBorder="1"/>
    <xf numFmtId="165" fontId="79" fillId="28" borderId="97" xfId="4" applyNumberFormat="1" applyFont="1" applyFill="1" applyBorder="1" applyAlignment="1" applyProtection="1">
      <alignment horizontal="center" vertical="center" wrapText="1"/>
    </xf>
    <xf numFmtId="0" fontId="53" fillId="18" borderId="121" xfId="0" applyFont="1" applyFill="1" applyBorder="1" applyAlignment="1">
      <alignment vertical="center" wrapText="1"/>
    </xf>
    <xf numFmtId="165" fontId="79" fillId="20" borderId="110" xfId="4" applyNumberFormat="1" applyFont="1" applyFill="1" applyBorder="1" applyAlignment="1" applyProtection="1">
      <alignment horizontal="center" vertical="center" wrapText="1"/>
    </xf>
    <xf numFmtId="43" fontId="157" fillId="36" borderId="146" xfId="1" applyFont="1" applyFill="1" applyBorder="1" applyAlignment="1" applyProtection="1">
      <alignment horizontal="center"/>
    </xf>
    <xf numFmtId="167" fontId="57" fillId="35" borderId="191" xfId="4" applyNumberFormat="1" applyFont="1" applyFill="1" applyBorder="1" applyAlignment="1" applyProtection="1">
      <alignment horizontal="center"/>
    </xf>
    <xf numFmtId="43" fontId="33" fillId="36" borderId="57" xfId="1" applyFont="1" applyFill="1" applyBorder="1" applyAlignment="1" applyProtection="1">
      <alignment horizontal="right"/>
    </xf>
    <xf numFmtId="0" fontId="158" fillId="0" borderId="110" xfId="0" applyFont="1" applyBorder="1" applyAlignment="1">
      <alignment horizontal="center"/>
    </xf>
    <xf numFmtId="43" fontId="53" fillId="0" borderId="38" xfId="1" applyFont="1" applyBorder="1" applyAlignment="1">
      <alignment horizontal="center"/>
    </xf>
    <xf numFmtId="165" fontId="76" fillId="14" borderId="38" xfId="4" applyNumberFormat="1" applyFont="1" applyFill="1" applyBorder="1" applyAlignment="1" applyProtection="1"/>
    <xf numFmtId="165" fontId="121" fillId="4" borderId="0" xfId="0" applyNumberFormat="1" applyFont="1" applyFill="1" applyBorder="1"/>
    <xf numFmtId="0" fontId="159" fillId="0" borderId="0" xfId="0" applyFont="1"/>
    <xf numFmtId="0" fontId="159" fillId="0" borderId="0" xfId="0" applyFont="1" applyAlignment="1">
      <alignment horizontal="center"/>
    </xf>
    <xf numFmtId="0" fontId="79" fillId="14" borderId="110" xfId="0" applyFont="1" applyFill="1" applyBorder="1" applyAlignment="1">
      <alignment horizontal="left" vertical="center" wrapText="1"/>
    </xf>
    <xf numFmtId="0" fontId="79" fillId="14" borderId="110" xfId="0" applyFont="1" applyFill="1" applyBorder="1" applyAlignment="1">
      <alignment horizontal="left" vertical="center"/>
    </xf>
    <xf numFmtId="0" fontId="76" fillId="14" borderId="110" xfId="0" applyFont="1" applyFill="1" applyBorder="1" applyAlignment="1">
      <alignment horizontal="left" vertical="center" wrapText="1"/>
    </xf>
    <xf numFmtId="0" fontId="79" fillId="17" borderId="110" xfId="0" applyFont="1" applyFill="1" applyBorder="1" applyAlignment="1">
      <alignment horizontal="left" vertical="center" wrapText="1"/>
    </xf>
    <xf numFmtId="165" fontId="79" fillId="17" borderId="110" xfId="4" applyNumberFormat="1" applyFont="1" applyFill="1" applyBorder="1" applyAlignment="1" applyProtection="1">
      <alignment horizontal="center"/>
    </xf>
    <xf numFmtId="165" fontId="79" fillId="14" borderId="97" xfId="4" applyNumberFormat="1" applyFont="1" applyFill="1" applyBorder="1" applyAlignment="1" applyProtection="1">
      <alignment vertical="center" wrapText="1"/>
    </xf>
    <xf numFmtId="165" fontId="79" fillId="17" borderId="97" xfId="4" applyNumberFormat="1" applyFont="1" applyFill="1" applyBorder="1" applyAlignment="1" applyProtection="1">
      <alignment horizontal="center"/>
    </xf>
    <xf numFmtId="0" fontId="58" fillId="4" borderId="38" xfId="0" applyFont="1" applyFill="1" applyBorder="1" applyAlignment="1">
      <alignment horizontal="center" vertical="center"/>
    </xf>
    <xf numFmtId="0" fontId="79" fillId="20" borderId="110" xfId="0" applyFont="1" applyFill="1" applyBorder="1" applyAlignment="1">
      <alignment horizontal="center" vertical="center" wrapText="1"/>
    </xf>
    <xf numFmtId="165" fontId="79" fillId="14" borderId="38" xfId="4" applyNumberFormat="1" applyFont="1" applyFill="1" applyBorder="1" applyAlignment="1" applyProtection="1">
      <alignment horizontal="right"/>
    </xf>
    <xf numFmtId="10" fontId="79" fillId="20" borderId="38" xfId="4" applyNumberFormat="1" applyFont="1" applyFill="1" applyBorder="1" applyAlignment="1" applyProtection="1">
      <alignment horizontal="right"/>
    </xf>
    <xf numFmtId="165" fontId="79" fillId="14" borderId="38" xfId="4" applyNumberFormat="1" applyFont="1" applyFill="1" applyBorder="1" applyAlignment="1" applyProtection="1">
      <alignment horizontal="center"/>
    </xf>
    <xf numFmtId="0" fontId="52" fillId="26" borderId="37" xfId="0" applyFont="1" applyFill="1" applyBorder="1" applyAlignment="1">
      <alignment horizontal="center" vertical="center" wrapText="1"/>
    </xf>
    <xf numFmtId="165" fontId="52" fillId="26" borderId="38" xfId="4" applyNumberFormat="1" applyFont="1" applyFill="1" applyBorder="1" applyAlignment="1" applyProtection="1">
      <alignment horizontal="right"/>
    </xf>
    <xf numFmtId="165" fontId="52" fillId="29" borderId="38" xfId="4" applyNumberFormat="1" applyFont="1" applyFill="1" applyBorder="1" applyAlignment="1" applyProtection="1">
      <alignment horizontal="right"/>
    </xf>
    <xf numFmtId="165" fontId="52" fillId="27" borderId="38" xfId="4" applyNumberFormat="1" applyFont="1" applyFill="1" applyBorder="1" applyAlignment="1" applyProtection="1">
      <alignment horizontal="right"/>
    </xf>
    <xf numFmtId="165" fontId="52" fillId="26" borderId="134" xfId="4" applyNumberFormat="1" applyFont="1" applyFill="1" applyBorder="1" applyAlignment="1" applyProtection="1">
      <alignment horizontal="center"/>
    </xf>
    <xf numFmtId="0" fontId="79" fillId="14" borderId="110" xfId="0" applyFont="1" applyFill="1" applyBorder="1" applyAlignment="1">
      <alignment horizontal="left" vertical="center" wrapText="1"/>
    </xf>
    <xf numFmtId="165" fontId="79" fillId="14" borderId="110" xfId="4" applyNumberFormat="1" applyFont="1" applyFill="1" applyBorder="1" applyAlignment="1" applyProtection="1">
      <alignment horizontal="center" vertical="center" wrapText="1"/>
    </xf>
    <xf numFmtId="0" fontId="41" fillId="4" borderId="38" xfId="0" applyFont="1" applyFill="1" applyBorder="1" applyAlignment="1">
      <alignment horizontal="center" vertical="center"/>
    </xf>
    <xf numFmtId="0" fontId="99" fillId="0" borderId="0" xfId="0" applyFont="1" applyBorder="1" applyAlignment="1"/>
    <xf numFmtId="165" fontId="64" fillId="0" borderId="59" xfId="0" applyNumberFormat="1" applyFont="1" applyBorder="1" applyAlignment="1"/>
    <xf numFmtId="0" fontId="64" fillId="0" borderId="202" xfId="0" applyFont="1" applyBorder="1" applyAlignment="1">
      <alignment horizontal="center"/>
    </xf>
    <xf numFmtId="0" fontId="64" fillId="0" borderId="26" xfId="0" applyFont="1" applyBorder="1" applyAlignment="1">
      <alignment horizontal="center"/>
    </xf>
    <xf numFmtId="0" fontId="64" fillId="0" borderId="26" xfId="0" applyFont="1" applyBorder="1" applyAlignment="1"/>
    <xf numFmtId="0" fontId="64" fillId="0" borderId="26" xfId="0" applyFont="1" applyBorder="1"/>
    <xf numFmtId="165" fontId="64" fillId="0" borderId="26" xfId="0" applyNumberFormat="1" applyFont="1" applyBorder="1"/>
    <xf numFmtId="0" fontId="64" fillId="0" borderId="203" xfId="0" applyFont="1" applyBorder="1"/>
    <xf numFmtId="165" fontId="38" fillId="0" borderId="38" xfId="4" applyNumberFormat="1" applyFont="1" applyFill="1" applyBorder="1" applyAlignment="1" applyProtection="1">
      <alignment horizontal="center" vertical="center"/>
    </xf>
    <xf numFmtId="165" fontId="41" fillId="0" borderId="38" xfId="4" applyNumberFormat="1" applyFont="1" applyFill="1" applyBorder="1" applyAlignment="1" applyProtection="1">
      <alignment horizontal="center" vertical="center"/>
    </xf>
    <xf numFmtId="43" fontId="36" fillId="0" borderId="38" xfId="1" applyFont="1" applyBorder="1" applyAlignment="1">
      <alignment horizontal="center" vertical="center"/>
    </xf>
    <xf numFmtId="178" fontId="36" fillId="0" borderId="38" xfId="1" applyNumberFormat="1" applyFont="1" applyBorder="1" applyAlignment="1" applyProtection="1">
      <alignment horizontal="center" vertical="center"/>
    </xf>
    <xf numFmtId="0" fontId="69" fillId="4" borderId="0" xfId="0" applyFont="1" applyFill="1" applyBorder="1"/>
    <xf numFmtId="165" fontId="69" fillId="4" borderId="38" xfId="4" applyNumberFormat="1" applyFont="1" applyFill="1" applyBorder="1" applyAlignment="1" applyProtection="1">
      <alignment horizontal="center" vertical="center"/>
    </xf>
    <xf numFmtId="43" fontId="32" fillId="0" borderId="38" xfId="1" applyFont="1" applyBorder="1" applyAlignment="1" applyProtection="1">
      <alignment horizontal="center" vertical="center"/>
    </xf>
    <xf numFmtId="165" fontId="57" fillId="0" borderId="119" xfId="4" applyNumberFormat="1" applyFont="1" applyFill="1" applyBorder="1" applyAlignment="1" applyProtection="1">
      <alignment horizontal="center"/>
    </xf>
    <xf numFmtId="165" fontId="38" fillId="0" borderId="141" xfId="4" applyNumberFormat="1" applyFont="1" applyFill="1" applyBorder="1" applyAlignment="1" applyProtection="1">
      <alignment horizontal="center" vertical="center"/>
    </xf>
    <xf numFmtId="0" fontId="65" fillId="4" borderId="119" xfId="0" applyFont="1" applyFill="1" applyBorder="1"/>
    <xf numFmtId="170" fontId="69" fillId="4" borderId="141" xfId="0" applyNumberFormat="1" applyFont="1" applyFill="1" applyBorder="1" applyAlignment="1">
      <alignment horizontal="center" vertical="center"/>
    </xf>
    <xf numFmtId="0" fontId="41" fillId="4" borderId="104" xfId="0" applyFont="1" applyFill="1" applyBorder="1" applyAlignment="1">
      <alignment horizontal="center" vertical="center"/>
    </xf>
    <xf numFmtId="170" fontId="69" fillId="4" borderId="104" xfId="0" applyNumberFormat="1" applyFont="1" applyFill="1" applyBorder="1" applyAlignment="1">
      <alignment horizontal="center" vertical="center"/>
    </xf>
    <xf numFmtId="0" fontId="73" fillId="4" borderId="102" xfId="0" applyFont="1" applyFill="1" applyBorder="1" applyAlignment="1">
      <alignment horizontal="center" wrapText="1"/>
    </xf>
    <xf numFmtId="165" fontId="38" fillId="4" borderId="104" xfId="4" applyNumberFormat="1" applyFont="1" applyFill="1" applyBorder="1" applyAlignment="1" applyProtection="1">
      <alignment horizontal="center" vertical="center"/>
    </xf>
    <xf numFmtId="0" fontId="75" fillId="4" borderId="102" xfId="0" applyFont="1" applyFill="1" applyBorder="1" applyAlignment="1">
      <alignment horizontal="center" wrapText="1"/>
    </xf>
    <xf numFmtId="0" fontId="73" fillId="14" borderId="102" xfId="0" applyFont="1" applyFill="1" applyBorder="1" applyAlignment="1">
      <alignment horizontal="center" wrapText="1"/>
    </xf>
    <xf numFmtId="167" fontId="38" fillId="14" borderId="104" xfId="4" applyNumberFormat="1" applyFont="1" applyFill="1" applyBorder="1" applyAlignment="1" applyProtection="1">
      <alignment horizontal="center" vertical="center"/>
    </xf>
    <xf numFmtId="0" fontId="73" fillId="4" borderId="195" xfId="0" applyFont="1" applyFill="1" applyBorder="1" applyAlignment="1">
      <alignment horizontal="center" wrapText="1"/>
    </xf>
    <xf numFmtId="165" fontId="38" fillId="4" borderId="143" xfId="4" applyNumberFormat="1" applyFont="1" applyFill="1" applyBorder="1" applyAlignment="1" applyProtection="1">
      <alignment horizontal="center" vertical="center"/>
    </xf>
    <xf numFmtId="165" fontId="38" fillId="0" borderId="104" xfId="4" applyNumberFormat="1" applyFont="1" applyFill="1" applyBorder="1" applyAlignment="1" applyProtection="1">
      <alignment horizontal="center" vertical="center"/>
    </xf>
    <xf numFmtId="165" fontId="71" fillId="0" borderId="113" xfId="4" applyNumberFormat="1" applyFont="1" applyFill="1" applyBorder="1" applyAlignment="1" applyProtection="1">
      <alignment horizontal="center" vertical="center"/>
    </xf>
    <xf numFmtId="165" fontId="71" fillId="4" borderId="104" xfId="4" applyNumberFormat="1" applyFont="1" applyFill="1" applyBorder="1" applyAlignment="1" applyProtection="1">
      <alignment horizontal="center" vertical="center"/>
    </xf>
    <xf numFmtId="165" fontId="71" fillId="4" borderId="143" xfId="4" applyNumberFormat="1" applyFont="1" applyFill="1" applyBorder="1" applyAlignment="1" applyProtection="1">
      <alignment horizontal="center" vertical="center"/>
    </xf>
    <xf numFmtId="165" fontId="71" fillId="0" borderId="104" xfId="4" applyNumberFormat="1" applyFont="1" applyFill="1" applyBorder="1" applyAlignment="1" applyProtection="1">
      <alignment horizontal="center" vertical="center"/>
    </xf>
    <xf numFmtId="2" fontId="38" fillId="4" borderId="113" xfId="4" applyNumberFormat="1" applyFont="1" applyFill="1" applyBorder="1" applyAlignment="1" applyProtection="1">
      <alignment horizontal="center" vertical="center"/>
    </xf>
    <xf numFmtId="0" fontId="73" fillId="4" borderId="102" xfId="4" applyNumberFormat="1" applyFont="1" applyFill="1" applyBorder="1" applyAlignment="1" applyProtection="1">
      <alignment horizontal="center" wrapText="1"/>
    </xf>
    <xf numFmtId="43" fontId="32" fillId="0" borderId="104" xfId="1" applyFont="1" applyBorder="1" applyAlignment="1" applyProtection="1">
      <alignment horizontal="center" vertical="center"/>
    </xf>
    <xf numFmtId="178" fontId="32" fillId="0" borderId="104" xfId="1" applyNumberFormat="1" applyFont="1" applyBorder="1" applyAlignment="1" applyProtection="1">
      <alignment horizontal="center" vertical="center"/>
    </xf>
    <xf numFmtId="0" fontId="73" fillId="4" borderId="195" xfId="4" applyNumberFormat="1" applyFont="1" applyFill="1" applyBorder="1" applyAlignment="1" applyProtection="1">
      <alignment horizontal="center" wrapText="1"/>
    </xf>
    <xf numFmtId="43" fontId="32" fillId="0" borderId="143" xfId="1" applyFont="1" applyBorder="1" applyAlignment="1" applyProtection="1">
      <alignment horizontal="center" vertical="center"/>
    </xf>
    <xf numFmtId="178" fontId="36" fillId="0" borderId="104" xfId="1" applyNumberFormat="1" applyFont="1" applyBorder="1" applyAlignment="1" applyProtection="1">
      <alignment horizontal="center" vertical="center"/>
    </xf>
    <xf numFmtId="43" fontId="32" fillId="0" borderId="113" xfId="1" applyFont="1" applyBorder="1" applyAlignment="1" applyProtection="1">
      <alignment horizontal="center" vertical="center"/>
    </xf>
    <xf numFmtId="43" fontId="36" fillId="0" borderId="104" xfId="1" applyFont="1" applyBorder="1" applyAlignment="1" applyProtection="1">
      <alignment horizontal="center" vertical="center"/>
    </xf>
    <xf numFmtId="165" fontId="38" fillId="4" borderId="113" xfId="4" applyNumberFormat="1" applyFont="1" applyFill="1" applyBorder="1" applyAlignment="1" applyProtection="1">
      <alignment horizontal="center" vertical="center"/>
    </xf>
    <xf numFmtId="0" fontId="53" fillId="0" borderId="102" xfId="0" applyFont="1" applyBorder="1"/>
    <xf numFmtId="0" fontId="27" fillId="4" borderId="102" xfId="0" applyFont="1" applyFill="1" applyBorder="1" applyAlignment="1">
      <alignment horizontal="center" wrapText="1"/>
    </xf>
    <xf numFmtId="0" fontId="27" fillId="4" borderId="195" xfId="0" applyFont="1" applyFill="1" applyBorder="1" applyAlignment="1">
      <alignment horizontal="center" wrapText="1"/>
    </xf>
    <xf numFmtId="0" fontId="39" fillId="4" borderId="113" xfId="0" applyFont="1" applyFill="1" applyBorder="1" applyAlignment="1">
      <alignment horizontal="center" vertical="center"/>
    </xf>
    <xf numFmtId="0" fontId="27" fillId="4" borderId="102" xfId="0" applyFont="1" applyFill="1" applyBorder="1" applyAlignment="1">
      <alignment wrapText="1"/>
    </xf>
    <xf numFmtId="167" fontId="38" fillId="0" borderId="104" xfId="4" applyNumberFormat="1" applyFont="1" applyFill="1" applyBorder="1" applyAlignment="1" applyProtection="1">
      <alignment horizontal="center" vertical="center"/>
    </xf>
    <xf numFmtId="0" fontId="27" fillId="4" borderId="195" xfId="0" applyFont="1" applyFill="1" applyBorder="1" applyAlignment="1">
      <alignment wrapText="1"/>
    </xf>
    <xf numFmtId="165" fontId="38" fillId="0" borderId="143" xfId="4" applyNumberFormat="1" applyFont="1" applyFill="1" applyBorder="1" applyAlignment="1" applyProtection="1">
      <alignment horizontal="center" vertical="center"/>
    </xf>
    <xf numFmtId="0" fontId="94" fillId="4" borderId="112" xfId="0" applyFont="1" applyFill="1" applyBorder="1" applyAlignment="1">
      <alignment wrapText="1"/>
    </xf>
    <xf numFmtId="165" fontId="94" fillId="4" borderId="102" xfId="0" applyNumberFormat="1" applyFont="1" applyFill="1" applyBorder="1" applyAlignment="1">
      <alignment wrapText="1"/>
    </xf>
    <xf numFmtId="0" fontId="69" fillId="4" borderId="106" xfId="0" applyFont="1" applyFill="1" applyBorder="1" applyAlignment="1">
      <alignment horizontal="center" vertical="center"/>
    </xf>
    <xf numFmtId="165" fontId="69" fillId="0" borderId="106" xfId="4" applyNumberFormat="1" applyFont="1" applyFill="1" applyBorder="1" applyAlignment="1" applyProtection="1">
      <alignment horizontal="center" vertical="center"/>
    </xf>
    <xf numFmtId="43" fontId="32" fillId="0" borderId="106" xfId="1" applyFont="1" applyBorder="1" applyAlignment="1">
      <alignment horizontal="center" vertical="center"/>
    </xf>
    <xf numFmtId="43" fontId="32" fillId="0" borderId="106" xfId="1" applyFont="1" applyBorder="1" applyAlignment="1" applyProtection="1">
      <alignment horizontal="center" vertical="center"/>
    </xf>
    <xf numFmtId="165" fontId="38" fillId="0" borderId="106" xfId="4" applyNumberFormat="1" applyFont="1" applyFill="1" applyBorder="1" applyAlignment="1" applyProtection="1">
      <alignment horizontal="center" vertical="center"/>
    </xf>
    <xf numFmtId="165" fontId="38" fillId="0" borderId="107" xfId="4" applyNumberFormat="1" applyFont="1" applyFill="1" applyBorder="1" applyAlignment="1" applyProtection="1">
      <alignment horizontal="center" vertical="center"/>
    </xf>
    <xf numFmtId="0" fontId="96" fillId="4" borderId="0" xfId="0" applyFont="1" applyFill="1" applyBorder="1" applyAlignment="1">
      <alignment horizontal="center"/>
    </xf>
    <xf numFmtId="4" fontId="96" fillId="4" borderId="0" xfId="0" applyNumberFormat="1" applyFont="1" applyFill="1" applyBorder="1" applyAlignment="1">
      <alignment horizontal="center"/>
    </xf>
    <xf numFmtId="0" fontId="74" fillId="4" borderId="0" xfId="0" applyFont="1" applyFill="1" applyBorder="1" applyAlignment="1">
      <alignment horizontal="right"/>
    </xf>
    <xf numFmtId="0" fontId="74" fillId="4" borderId="0" xfId="0" applyFont="1" applyFill="1" applyBorder="1" applyAlignment="1">
      <alignment horizontal="center"/>
    </xf>
    <xf numFmtId="165" fontId="74" fillId="0" borderId="0" xfId="4" applyNumberFormat="1" applyFont="1" applyFill="1" applyBorder="1" applyAlignment="1" applyProtection="1">
      <alignment horizontal="center"/>
    </xf>
    <xf numFmtId="165" fontId="93" fillId="4" borderId="0" xfId="0" applyNumberFormat="1" applyFont="1" applyFill="1" applyBorder="1" applyAlignment="1"/>
    <xf numFmtId="0" fontId="35" fillId="4" borderId="0" xfId="0" applyFont="1" applyFill="1" applyBorder="1" applyAlignment="1">
      <alignment horizontal="right"/>
    </xf>
    <xf numFmtId="0" fontId="35" fillId="4" borderId="0" xfId="0" applyFont="1" applyFill="1" applyBorder="1" applyAlignment="1">
      <alignment horizontal="left"/>
    </xf>
    <xf numFmtId="0" fontId="53" fillId="4" borderId="0" xfId="0" applyFont="1" applyFill="1" applyBorder="1" applyAlignment="1">
      <alignment horizontal="center"/>
    </xf>
    <xf numFmtId="0" fontId="79" fillId="4" borderId="0" xfId="0" applyFont="1" applyFill="1" applyBorder="1" applyAlignment="1">
      <alignment horizontal="center" shrinkToFit="1"/>
    </xf>
    <xf numFmtId="0" fontId="83" fillId="4" borderId="0" xfId="0" applyFont="1" applyFill="1" applyBorder="1" applyAlignment="1">
      <alignment horizontal="center" shrinkToFit="1"/>
    </xf>
    <xf numFmtId="165" fontId="79" fillId="4" borderId="0" xfId="0" applyNumberFormat="1" applyFont="1" applyFill="1" applyBorder="1" applyAlignment="1">
      <alignment horizontal="center" shrinkToFit="1"/>
    </xf>
    <xf numFmtId="165" fontId="73" fillId="0" borderId="0" xfId="4" applyNumberFormat="1" applyFont="1" applyFill="1" applyBorder="1" applyAlignment="1" applyProtection="1">
      <alignment horizontal="right"/>
    </xf>
    <xf numFmtId="0" fontId="76" fillId="4" borderId="105" xfId="0" applyFont="1" applyFill="1" applyBorder="1" applyAlignment="1">
      <alignment horizontal="center"/>
    </xf>
    <xf numFmtId="0" fontId="76" fillId="4" borderId="43" xfId="0" applyFont="1" applyFill="1" applyBorder="1" applyAlignment="1">
      <alignment horizontal="left"/>
    </xf>
    <xf numFmtId="0" fontId="76" fillId="4" borderId="43" xfId="0" applyFont="1" applyFill="1" applyBorder="1" applyAlignment="1">
      <alignment horizontal="center"/>
    </xf>
    <xf numFmtId="165" fontId="62" fillId="4" borderId="0" xfId="4" applyNumberFormat="1" applyFont="1" applyFill="1" applyBorder="1" applyAlignment="1" applyProtection="1">
      <alignment vertical="center" wrapText="1"/>
    </xf>
    <xf numFmtId="165" fontId="51" fillId="4" borderId="0" xfId="4" applyNumberFormat="1" applyFont="1" applyFill="1" applyBorder="1" applyAlignment="1" applyProtection="1"/>
    <xf numFmtId="165" fontId="62" fillId="0" borderId="0" xfId="4" applyNumberFormat="1" applyFont="1" applyFill="1" applyBorder="1" applyAlignment="1" applyProtection="1">
      <alignment vertical="center" wrapText="1"/>
    </xf>
    <xf numFmtId="165" fontId="72" fillId="0" borderId="0" xfId="4" applyNumberFormat="1" applyFont="1" applyFill="1" applyBorder="1" applyAlignment="1" applyProtection="1">
      <alignment horizontal="center"/>
    </xf>
    <xf numFmtId="165" fontId="51" fillId="0" borderId="0" xfId="4" applyNumberFormat="1" applyFont="1" applyFill="1" applyBorder="1" applyAlignment="1" applyProtection="1"/>
    <xf numFmtId="165" fontId="72" fillId="0" borderId="0" xfId="4" applyNumberFormat="1" applyFont="1" applyFill="1" applyBorder="1" applyAlignment="1" applyProtection="1"/>
    <xf numFmtId="165" fontId="72" fillId="0" borderId="0" xfId="4" applyNumberFormat="1" applyFont="1" applyFill="1" applyBorder="1" applyAlignment="1" applyProtection="1">
      <alignment horizontal="right" indent="2"/>
    </xf>
    <xf numFmtId="165" fontId="51" fillId="0" borderId="0" xfId="4" applyNumberFormat="1" applyFont="1" applyFill="1" applyBorder="1" applyAlignment="1" applyProtection="1">
      <alignment horizontal="left"/>
    </xf>
    <xf numFmtId="165" fontId="46" fillId="0" borderId="0" xfId="4" applyNumberFormat="1" applyFont="1" applyFill="1" applyBorder="1" applyAlignment="1" applyProtection="1">
      <alignment horizontal="center" vertical="center"/>
    </xf>
    <xf numFmtId="165" fontId="79" fillId="9" borderId="0" xfId="4" applyNumberFormat="1" applyFont="1" applyFill="1" applyBorder="1" applyAlignment="1" applyProtection="1">
      <alignment horizontal="right"/>
    </xf>
    <xf numFmtId="165" fontId="79" fillId="0" borderId="0" xfId="4" applyNumberFormat="1" applyFont="1" applyFill="1" applyBorder="1" applyAlignment="1" applyProtection="1">
      <alignment horizontal="center" vertical="center" wrapText="1"/>
    </xf>
    <xf numFmtId="165" fontId="33" fillId="0" borderId="0" xfId="4" applyNumberFormat="1" applyFont="1" applyFill="1" applyBorder="1" applyAlignment="1" applyProtection="1">
      <alignment horizontal="right"/>
    </xf>
    <xf numFmtId="165" fontId="73" fillId="12" borderId="32" xfId="4" applyNumberFormat="1" applyFont="1" applyFill="1" applyBorder="1" applyAlignment="1" applyProtection="1">
      <alignment vertical="center" wrapText="1"/>
    </xf>
    <xf numFmtId="165" fontId="73" fillId="12" borderId="31" xfId="4" applyNumberFormat="1" applyFont="1" applyFill="1" applyBorder="1" applyAlignment="1" applyProtection="1">
      <alignment vertical="center" wrapText="1"/>
    </xf>
    <xf numFmtId="165" fontId="62" fillId="0" borderId="0" xfId="4" applyNumberFormat="1" applyFont="1" applyFill="1" applyBorder="1" applyAlignment="1" applyProtection="1"/>
    <xf numFmtId="165" fontId="80" fillId="5" borderId="0" xfId="4" applyNumberFormat="1" applyFont="1" applyFill="1" applyBorder="1" applyAlignment="1" applyProtection="1">
      <alignment horizontal="right"/>
    </xf>
    <xf numFmtId="165" fontId="73" fillId="12" borderId="33" xfId="4" applyNumberFormat="1" applyFont="1" applyFill="1" applyBorder="1" applyAlignment="1" applyProtection="1">
      <alignment vertical="center" wrapText="1"/>
    </xf>
    <xf numFmtId="165" fontId="73" fillId="12" borderId="153" xfId="4" applyNumberFormat="1" applyFont="1" applyFill="1" applyBorder="1" applyAlignment="1" applyProtection="1">
      <alignment vertical="center" wrapText="1"/>
    </xf>
    <xf numFmtId="165" fontId="73" fillId="4" borderId="0" xfId="4" applyNumberFormat="1" applyFont="1" applyFill="1" applyBorder="1" applyAlignment="1" applyProtection="1">
      <alignment wrapText="1"/>
    </xf>
    <xf numFmtId="165" fontId="62" fillId="4" borderId="0" xfId="4" applyNumberFormat="1" applyFont="1" applyFill="1" applyBorder="1" applyAlignment="1" applyProtection="1"/>
    <xf numFmtId="165" fontId="92" fillId="12" borderId="105" xfId="4" applyNumberFormat="1" applyFont="1" applyFill="1" applyBorder="1" applyAlignment="1" applyProtection="1">
      <alignment vertical="center" wrapText="1"/>
    </xf>
    <xf numFmtId="165" fontId="92" fillId="12" borderId="102" xfId="4" applyNumberFormat="1" applyFont="1" applyFill="1" applyBorder="1" applyAlignment="1" applyProtection="1">
      <alignment vertical="center" wrapText="1"/>
    </xf>
    <xf numFmtId="165" fontId="73" fillId="4" borderId="105" xfId="4" applyNumberFormat="1" applyFont="1" applyFill="1" applyBorder="1" applyAlignment="1" applyProtection="1">
      <alignment vertical="center" wrapText="1"/>
    </xf>
    <xf numFmtId="165" fontId="92" fillId="12" borderId="38" xfId="4" applyNumberFormat="1" applyFont="1" applyFill="1" applyBorder="1" applyAlignment="1" applyProtection="1">
      <alignment vertical="center" wrapText="1"/>
    </xf>
    <xf numFmtId="165" fontId="92" fillId="4" borderId="0" xfId="4" applyNumberFormat="1" applyFont="1" applyFill="1" applyBorder="1" applyAlignment="1" applyProtection="1">
      <alignment wrapText="1"/>
    </xf>
    <xf numFmtId="165" fontId="92" fillId="4" borderId="0" xfId="4" applyNumberFormat="1" applyFont="1" applyFill="1" applyBorder="1" applyAlignment="1" applyProtection="1">
      <alignment vertical="center" wrapText="1"/>
    </xf>
    <xf numFmtId="165" fontId="92" fillId="4" borderId="0" xfId="4" applyNumberFormat="1" applyFont="1" applyFill="1" applyBorder="1" applyAlignment="1" applyProtection="1"/>
    <xf numFmtId="165" fontId="73" fillId="12" borderId="105" xfId="4" applyNumberFormat="1" applyFont="1" applyFill="1" applyBorder="1" applyAlignment="1" applyProtection="1">
      <alignment vertical="center" wrapText="1"/>
    </xf>
    <xf numFmtId="165" fontId="73" fillId="12" borderId="102" xfId="4" applyNumberFormat="1" applyFont="1" applyFill="1" applyBorder="1" applyAlignment="1" applyProtection="1">
      <alignment vertical="center" wrapText="1"/>
    </xf>
    <xf numFmtId="165" fontId="73" fillId="12" borderId="38" xfId="4" applyNumberFormat="1" applyFont="1" applyFill="1" applyBorder="1" applyAlignment="1" applyProtection="1">
      <alignment vertical="center" wrapText="1"/>
    </xf>
    <xf numFmtId="165" fontId="73" fillId="0" borderId="105" xfId="4" applyNumberFormat="1" applyFont="1" applyFill="1" applyBorder="1" applyAlignment="1" applyProtection="1">
      <alignment vertical="center" wrapText="1"/>
    </xf>
    <xf numFmtId="165" fontId="73" fillId="0" borderId="102" xfId="4" applyNumberFormat="1" applyFont="1" applyFill="1" applyBorder="1" applyAlignment="1" applyProtection="1">
      <alignment vertical="center" wrapText="1"/>
    </xf>
    <xf numFmtId="165" fontId="73" fillId="0" borderId="38" xfId="4" applyNumberFormat="1" applyFont="1" applyFill="1" applyBorder="1" applyAlignment="1" applyProtection="1">
      <alignment vertical="center" wrapText="1"/>
    </xf>
    <xf numFmtId="165" fontId="73" fillId="0" borderId="0" xfId="4" applyNumberFormat="1" applyFont="1" applyFill="1" applyBorder="1" applyAlignment="1" applyProtection="1">
      <alignment wrapText="1"/>
    </xf>
    <xf numFmtId="165" fontId="91" fillId="0" borderId="0" xfId="4" applyNumberFormat="1" applyFont="1" applyFill="1" applyBorder="1" applyAlignment="1" applyProtection="1">
      <alignment horizontal="center" vertical="center"/>
    </xf>
    <xf numFmtId="165" fontId="74" fillId="0" borderId="152" xfId="4" applyNumberFormat="1" applyFont="1" applyFill="1" applyBorder="1" applyAlignment="1" applyProtection="1"/>
    <xf numFmtId="165" fontId="43" fillId="0" borderId="102" xfId="4" applyNumberFormat="1" applyFont="1" applyFill="1" applyBorder="1" applyAlignment="1" applyProtection="1">
      <alignment horizontal="left" vertical="center" wrapText="1"/>
    </xf>
    <xf numFmtId="165" fontId="89" fillId="0" borderId="0" xfId="4" applyNumberFormat="1" applyFont="1" applyFill="1" applyBorder="1" applyAlignment="1" applyProtection="1">
      <alignment horizontal="center"/>
    </xf>
    <xf numFmtId="165" fontId="89" fillId="0" borderId="57" xfId="4" applyNumberFormat="1" applyFont="1" applyFill="1" applyBorder="1" applyAlignment="1" applyProtection="1">
      <alignment horizontal="right"/>
    </xf>
    <xf numFmtId="165" fontId="89" fillId="0" borderId="57" xfId="4" applyNumberFormat="1" applyFont="1" applyFill="1" applyBorder="1" applyAlignment="1" applyProtection="1">
      <alignment horizontal="right" indent="2"/>
    </xf>
    <xf numFmtId="165" fontId="73" fillId="4" borderId="102" xfId="4" applyNumberFormat="1" applyFont="1" applyFill="1" applyBorder="1" applyAlignment="1" applyProtection="1">
      <alignment vertical="center" wrapText="1"/>
    </xf>
    <xf numFmtId="165" fontId="73" fillId="4" borderId="38" xfId="4" applyNumberFormat="1" applyFont="1" applyFill="1" applyBorder="1" applyAlignment="1" applyProtection="1">
      <alignment vertical="center" wrapText="1"/>
    </xf>
    <xf numFmtId="165" fontId="73" fillId="4" borderId="0" xfId="4" applyNumberFormat="1" applyFont="1" applyFill="1" applyBorder="1" applyAlignment="1" applyProtection="1"/>
    <xf numFmtId="165" fontId="62" fillId="4" borderId="0" xfId="4" applyNumberFormat="1" applyFont="1" applyFill="1" applyBorder="1" applyAlignment="1" applyProtection="1">
      <alignment wrapText="1"/>
    </xf>
    <xf numFmtId="165" fontId="62" fillId="4" borderId="0" xfId="4" applyNumberFormat="1" applyFont="1" applyFill="1" applyBorder="1" applyAlignment="1" applyProtection="1">
      <alignment horizontal="left" wrapText="1"/>
    </xf>
    <xf numFmtId="165" fontId="73" fillId="4" borderId="0" xfId="4" applyNumberFormat="1" applyFont="1" applyFill="1" applyBorder="1" applyAlignment="1" applyProtection="1">
      <alignment horizontal="center"/>
    </xf>
    <xf numFmtId="165" fontId="73" fillId="4" borderId="32" xfId="4" applyNumberFormat="1" applyFont="1" applyFill="1" applyBorder="1" applyAlignment="1" applyProtection="1"/>
    <xf numFmtId="165" fontId="43" fillId="0" borderId="102" xfId="4" applyNumberFormat="1" applyFont="1" applyFill="1" applyBorder="1" applyAlignment="1" applyProtection="1">
      <alignment vertical="center" wrapText="1"/>
    </xf>
    <xf numFmtId="165" fontId="75" fillId="4" borderId="98" xfId="4" applyNumberFormat="1" applyFont="1" applyFill="1" applyBorder="1" applyAlignment="1" applyProtection="1"/>
    <xf numFmtId="165" fontId="43" fillId="4" borderId="102" xfId="4" applyNumberFormat="1" applyFont="1" applyFill="1" applyBorder="1" applyAlignment="1" applyProtection="1">
      <alignment vertical="center" wrapText="1"/>
    </xf>
    <xf numFmtId="165" fontId="73" fillId="4" borderId="141" xfId="4" applyNumberFormat="1" applyFont="1" applyFill="1" applyBorder="1" applyAlignment="1" applyProtection="1"/>
    <xf numFmtId="165" fontId="73" fillId="4" borderId="114" xfId="4" applyNumberFormat="1" applyFont="1" applyFill="1" applyBorder="1" applyAlignment="1" applyProtection="1">
      <alignment vertical="center" wrapText="1"/>
    </xf>
    <xf numFmtId="165" fontId="73" fillId="4" borderId="113" xfId="4" applyNumberFormat="1" applyFont="1" applyFill="1" applyBorder="1" applyAlignment="1" applyProtection="1">
      <alignment vertical="center" wrapText="1"/>
    </xf>
    <xf numFmtId="165" fontId="73" fillId="4" borderId="45" xfId="4" applyNumberFormat="1" applyFont="1" applyFill="1" applyBorder="1" applyAlignment="1" applyProtection="1">
      <alignment vertical="center" wrapText="1"/>
    </xf>
    <xf numFmtId="165" fontId="73" fillId="4" borderId="101" xfId="4" applyNumberFormat="1" applyFont="1" applyFill="1" applyBorder="1" applyAlignment="1" applyProtection="1">
      <alignment vertical="center" wrapText="1"/>
    </xf>
    <xf numFmtId="165" fontId="73" fillId="4" borderId="60" xfId="4" applyNumberFormat="1" applyFont="1" applyFill="1" applyBorder="1" applyAlignment="1" applyProtection="1">
      <alignment vertical="center"/>
    </xf>
    <xf numFmtId="165" fontId="73" fillId="4" borderId="100" xfId="4" applyNumberFormat="1" applyFont="1" applyFill="1" applyBorder="1" applyAlignment="1" applyProtection="1">
      <alignment vertical="center" wrapText="1"/>
    </xf>
    <xf numFmtId="165" fontId="73" fillId="4" borderId="60" xfId="4" applyNumberFormat="1" applyFont="1" applyFill="1" applyBorder="1" applyAlignment="1" applyProtection="1">
      <alignment vertical="center" wrapText="1"/>
    </xf>
    <xf numFmtId="165" fontId="73" fillId="4" borderId="0" xfId="4" applyNumberFormat="1" applyFont="1" applyFill="1" applyBorder="1" applyAlignment="1" applyProtection="1">
      <alignment vertical="center" wrapText="1"/>
    </xf>
    <xf numFmtId="165" fontId="63" fillId="5" borderId="28" xfId="4" applyNumberFormat="1" applyFont="1" applyFill="1" applyBorder="1" applyAlignment="1" applyProtection="1"/>
    <xf numFmtId="165" fontId="73" fillId="4" borderId="108" xfId="4" applyNumberFormat="1" applyFont="1" applyFill="1" applyBorder="1" applyAlignment="1" applyProtection="1">
      <alignment vertical="center" wrapText="1"/>
    </xf>
    <xf numFmtId="165" fontId="73" fillId="4" borderId="138" xfId="4" applyNumberFormat="1" applyFont="1" applyFill="1" applyBorder="1" applyAlignment="1" applyProtection="1">
      <alignment vertical="center" wrapText="1"/>
    </xf>
    <xf numFmtId="165" fontId="73" fillId="4" borderId="107" xfId="4" applyNumberFormat="1" applyFont="1" applyFill="1" applyBorder="1" applyAlignment="1" applyProtection="1">
      <alignment vertical="center" wrapText="1"/>
    </xf>
    <xf numFmtId="165" fontId="74" fillId="4" borderId="0" xfId="4" applyNumberFormat="1" applyFont="1" applyFill="1" applyBorder="1" applyAlignment="1" applyProtection="1">
      <alignment horizontal="center" wrapText="1"/>
    </xf>
    <xf numFmtId="165" fontId="73" fillId="4" borderId="98" xfId="4" applyNumberFormat="1" applyFont="1" applyFill="1" applyBorder="1" applyAlignment="1" applyProtection="1"/>
    <xf numFmtId="165" fontId="73" fillId="4" borderId="104" xfId="4" applyNumberFormat="1" applyFont="1" applyFill="1" applyBorder="1" applyAlignment="1" applyProtection="1">
      <alignment wrapText="1"/>
    </xf>
    <xf numFmtId="165" fontId="73" fillId="4" borderId="0" xfId="4" applyNumberFormat="1" applyFont="1" applyFill="1" applyBorder="1" applyAlignment="1" applyProtection="1">
      <alignment shrinkToFit="1"/>
    </xf>
    <xf numFmtId="165" fontId="73" fillId="0" borderId="104" xfId="4" applyNumberFormat="1" applyFont="1" applyFill="1" applyBorder="1" applyAlignment="1" applyProtection="1">
      <alignment wrapText="1"/>
    </xf>
    <xf numFmtId="165" fontId="74" fillId="0" borderId="0" xfId="4" applyNumberFormat="1" applyFont="1" applyFill="1" applyBorder="1" applyAlignment="1" applyProtection="1">
      <alignment horizontal="center" wrapText="1"/>
    </xf>
    <xf numFmtId="165" fontId="82" fillId="4" borderId="32" xfId="4" applyNumberFormat="1" applyFont="1" applyFill="1" applyBorder="1" applyAlignment="1" applyProtection="1">
      <alignment shrinkToFit="1"/>
    </xf>
    <xf numFmtId="165" fontId="82" fillId="0" borderId="0" xfId="4" applyNumberFormat="1" applyFont="1" applyFill="1" applyBorder="1" applyAlignment="1" applyProtection="1">
      <alignment horizontal="center" vertical="center"/>
    </xf>
    <xf numFmtId="165" fontId="82" fillId="4" borderId="0" xfId="4" applyNumberFormat="1" applyFont="1" applyFill="1" applyBorder="1" applyAlignment="1" applyProtection="1">
      <alignment horizontal="center"/>
    </xf>
    <xf numFmtId="165" fontId="122" fillId="4" borderId="105" xfId="4" applyNumberFormat="1" applyFont="1" applyFill="1" applyBorder="1" applyAlignment="1" applyProtection="1">
      <alignment vertical="center" wrapText="1"/>
    </xf>
    <xf numFmtId="165" fontId="122" fillId="4" borderId="102" xfId="4" applyNumberFormat="1" applyFont="1" applyFill="1" applyBorder="1" applyAlignment="1" applyProtection="1">
      <alignment vertical="center" wrapText="1"/>
    </xf>
    <xf numFmtId="165" fontId="122" fillId="4" borderId="38" xfId="4" applyNumberFormat="1" applyFont="1" applyFill="1" applyBorder="1" applyAlignment="1" applyProtection="1">
      <alignment vertical="center" wrapText="1"/>
    </xf>
    <xf numFmtId="165" fontId="122" fillId="4" borderId="104" xfId="4" applyNumberFormat="1" applyFont="1" applyFill="1" applyBorder="1" applyAlignment="1" applyProtection="1">
      <alignment wrapText="1"/>
    </xf>
    <xf numFmtId="165" fontId="129" fillId="4" borderId="0" xfId="4" applyNumberFormat="1" applyFont="1" applyFill="1" applyBorder="1" applyAlignment="1" applyProtection="1"/>
    <xf numFmtId="165" fontId="50" fillId="4" borderId="105" xfId="4" applyNumberFormat="1" applyFont="1" applyFill="1" applyBorder="1" applyAlignment="1" applyProtection="1">
      <alignment vertical="center" wrapText="1"/>
    </xf>
    <xf numFmtId="165" fontId="50" fillId="4" borderId="102" xfId="4" applyNumberFormat="1" applyFont="1" applyFill="1" applyBorder="1" applyAlignment="1" applyProtection="1">
      <alignment vertical="center" wrapText="1"/>
    </xf>
    <xf numFmtId="165" fontId="50" fillId="4" borderId="38" xfId="4" applyNumberFormat="1" applyFont="1" applyFill="1" applyBorder="1" applyAlignment="1" applyProtection="1">
      <alignment vertical="center" wrapText="1"/>
    </xf>
    <xf numFmtId="165" fontId="50" fillId="4" borderId="204" xfId="4" applyNumberFormat="1" applyFont="1" applyFill="1" applyBorder="1" applyAlignment="1" applyProtection="1">
      <alignment wrapText="1"/>
    </xf>
    <xf numFmtId="165" fontId="52" fillId="4" borderId="175" xfId="4" applyNumberFormat="1" applyFont="1" applyFill="1" applyBorder="1" applyAlignment="1" applyProtection="1"/>
    <xf numFmtId="165" fontId="52" fillId="4" borderId="49" xfId="4" applyNumberFormat="1" applyFont="1" applyFill="1" applyBorder="1" applyAlignment="1" applyProtection="1"/>
    <xf numFmtId="165" fontId="52" fillId="4" borderId="126" xfId="4" applyNumberFormat="1" applyFont="1" applyFill="1" applyBorder="1" applyAlignment="1" applyProtection="1"/>
    <xf numFmtId="165" fontId="73" fillId="4" borderId="144" xfId="4" applyNumberFormat="1" applyFont="1" applyFill="1" applyBorder="1" applyAlignment="1" applyProtection="1">
      <alignment vertical="center" wrapText="1"/>
    </xf>
    <xf numFmtId="165" fontId="73" fillId="4" borderId="201" xfId="4" applyNumberFormat="1" applyFont="1" applyFill="1" applyBorder="1" applyAlignment="1" applyProtection="1">
      <alignment vertical="center" wrapText="1"/>
    </xf>
    <xf numFmtId="165" fontId="73" fillId="4" borderId="39" xfId="4" applyNumberFormat="1" applyFont="1" applyFill="1" applyBorder="1" applyAlignment="1" applyProtection="1">
      <alignment vertical="center" wrapText="1"/>
    </xf>
    <xf numFmtId="165" fontId="73" fillId="4" borderId="192" xfId="4" applyNumberFormat="1" applyFont="1" applyFill="1" applyBorder="1" applyAlignment="1" applyProtection="1">
      <alignment wrapText="1"/>
    </xf>
    <xf numFmtId="165" fontId="76" fillId="4" borderId="0" xfId="4" applyNumberFormat="1" applyFont="1" applyFill="1" applyBorder="1" applyAlignment="1" applyProtection="1">
      <alignment horizontal="center" vertical="center"/>
    </xf>
    <xf numFmtId="165" fontId="74" fillId="4" borderId="169" xfId="4" applyNumberFormat="1" applyFont="1" applyFill="1" applyBorder="1" applyAlignment="1" applyProtection="1"/>
    <xf numFmtId="165" fontId="74" fillId="4" borderId="99" xfId="4" applyNumberFormat="1" applyFont="1" applyFill="1" applyBorder="1" applyAlignment="1" applyProtection="1"/>
    <xf numFmtId="165" fontId="74" fillId="4" borderId="190" xfId="4" applyNumberFormat="1" applyFont="1" applyFill="1" applyBorder="1" applyAlignment="1" applyProtection="1"/>
    <xf numFmtId="165" fontId="74" fillId="4" borderId="124" xfId="4" applyNumberFormat="1" applyFont="1" applyFill="1" applyBorder="1" applyAlignment="1" applyProtection="1"/>
    <xf numFmtId="165" fontId="74" fillId="4" borderId="111" xfId="4" applyNumberFormat="1" applyFont="1" applyFill="1" applyBorder="1" applyAlignment="1" applyProtection="1"/>
    <xf numFmtId="165" fontId="74" fillId="4" borderId="84" xfId="4" applyNumberFormat="1" applyFont="1" applyFill="1" applyBorder="1" applyAlignment="1" applyProtection="1"/>
    <xf numFmtId="165" fontId="73" fillId="4" borderId="109" xfId="4" applyNumberFormat="1" applyFont="1" applyFill="1" applyBorder="1" applyAlignment="1" applyProtection="1">
      <alignment wrapText="1"/>
    </xf>
    <xf numFmtId="165" fontId="74" fillId="4" borderId="122" xfId="4" applyNumberFormat="1" applyFont="1" applyFill="1" applyBorder="1" applyAlignment="1" applyProtection="1"/>
    <xf numFmtId="165" fontId="74" fillId="4" borderId="123" xfId="4" applyNumberFormat="1" applyFont="1" applyFill="1" applyBorder="1" applyAlignment="1" applyProtection="1"/>
    <xf numFmtId="165" fontId="76" fillId="4" borderId="0" xfId="4" applyNumberFormat="1" applyFont="1" applyFill="1" applyBorder="1" applyAlignment="1" applyProtection="1">
      <alignment horizontal="center" shrinkToFit="1"/>
    </xf>
    <xf numFmtId="165" fontId="73" fillId="4" borderId="111" xfId="4" applyNumberFormat="1" applyFont="1" applyFill="1" applyBorder="1" applyAlignment="1" applyProtection="1">
      <alignment wrapText="1"/>
    </xf>
    <xf numFmtId="165" fontId="44" fillId="0" borderId="95" xfId="4" applyNumberFormat="1" applyFont="1" applyFill="1" applyBorder="1" applyAlignment="1" applyProtection="1">
      <alignment horizontal="center"/>
    </xf>
    <xf numFmtId="0" fontId="76" fillId="4" borderId="30" xfId="0" applyFont="1" applyFill="1" applyBorder="1" applyAlignment="1">
      <alignment horizontal="center"/>
    </xf>
    <xf numFmtId="0" fontId="62" fillId="4" borderId="35" xfId="0" applyFont="1" applyFill="1" applyBorder="1" applyAlignment="1">
      <alignment horizontal="center" vertical="center" wrapText="1"/>
    </xf>
    <xf numFmtId="165" fontId="74" fillId="4" borderId="217" xfId="4" applyNumberFormat="1" applyFont="1" applyFill="1" applyBorder="1" applyAlignment="1" applyProtection="1"/>
    <xf numFmtId="165" fontId="74" fillId="4" borderId="218" xfId="4" applyNumberFormat="1" applyFont="1" applyFill="1" applyBorder="1" applyAlignment="1" applyProtection="1"/>
    <xf numFmtId="165" fontId="52" fillId="4" borderId="219" xfId="4" applyNumberFormat="1" applyFont="1" applyFill="1" applyBorder="1" applyAlignment="1" applyProtection="1"/>
    <xf numFmtId="0" fontId="62" fillId="4" borderId="39" xfId="0" applyFont="1" applyFill="1" applyBorder="1" applyAlignment="1">
      <alignment horizontal="center" vertical="center" wrapText="1"/>
    </xf>
    <xf numFmtId="0" fontId="56" fillId="4" borderId="220" xfId="0" applyFont="1" applyFill="1" applyBorder="1" applyAlignment="1">
      <alignment horizontal="center" vertical="center" wrapText="1"/>
    </xf>
    <xf numFmtId="0" fontId="27" fillId="4" borderId="209" xfId="0" applyFont="1" applyFill="1" applyBorder="1"/>
    <xf numFmtId="165" fontId="80" fillId="0" borderId="197" xfId="2" applyNumberFormat="1" applyFont="1" applyBorder="1" applyAlignment="1" applyProtection="1">
      <alignment horizontal="right"/>
    </xf>
    <xf numFmtId="165" fontId="80" fillId="4" borderId="197" xfId="2" applyNumberFormat="1" applyFont="1" applyFill="1" applyBorder="1" applyAlignment="1" applyProtection="1">
      <alignment horizontal="right"/>
    </xf>
    <xf numFmtId="165" fontId="74" fillId="4" borderId="210" xfId="4" applyNumberFormat="1" applyFont="1" applyFill="1" applyBorder="1" applyAlignment="1" applyProtection="1"/>
    <xf numFmtId="165" fontId="74" fillId="4" borderId="123" xfId="4" applyNumberFormat="1" applyFont="1" applyFill="1" applyBorder="1" applyAlignment="1" applyProtection="1">
      <alignment vertical="center"/>
    </xf>
    <xf numFmtId="165" fontId="81" fillId="4" borderId="110" xfId="4" applyNumberFormat="1" applyFont="1" applyFill="1" applyBorder="1" applyAlignment="1" applyProtection="1">
      <alignment horizontal="right"/>
    </xf>
    <xf numFmtId="165" fontId="81" fillId="4" borderId="110" xfId="4" applyNumberFormat="1" applyFont="1" applyFill="1" applyBorder="1" applyAlignment="1" applyProtection="1">
      <alignment horizontal="right" vertical="center"/>
    </xf>
    <xf numFmtId="165" fontId="65" fillId="4" borderId="125" xfId="4" applyNumberFormat="1" applyFont="1" applyFill="1" applyBorder="1" applyAlignment="1" applyProtection="1">
      <alignment horizontal="right" vertical="center" wrapText="1"/>
    </xf>
    <xf numFmtId="165" fontId="52" fillId="4" borderId="125" xfId="4" applyNumberFormat="1" applyFont="1" applyFill="1" applyBorder="1" applyAlignment="1" applyProtection="1"/>
    <xf numFmtId="165" fontId="90" fillId="0" borderId="221" xfId="4" applyNumberFormat="1" applyFont="1" applyFill="1" applyBorder="1" applyAlignment="1" applyProtection="1">
      <alignment horizontal="center"/>
    </xf>
    <xf numFmtId="43" fontId="39" fillId="4" borderId="0" xfId="0" applyNumberFormat="1" applyFont="1" applyFill="1" applyAlignment="1">
      <alignment horizontal="center"/>
    </xf>
    <xf numFmtId="0" fontId="79" fillId="14" borderId="110" xfId="0" applyFont="1" applyFill="1" applyBorder="1" applyAlignment="1">
      <alignment horizontal="left" vertical="center" wrapText="1"/>
    </xf>
    <xf numFmtId="0" fontId="79" fillId="20" borderId="110" xfId="0" applyFont="1" applyFill="1" applyBorder="1" applyAlignment="1">
      <alignment horizontal="center" vertical="center" wrapText="1"/>
    </xf>
    <xf numFmtId="0" fontId="79" fillId="4" borderId="0" xfId="0" applyFont="1" applyFill="1" applyBorder="1" applyAlignment="1">
      <alignment horizontal="center" shrinkToFit="1"/>
    </xf>
    <xf numFmtId="0" fontId="53" fillId="33" borderId="123" xfId="0" applyFont="1" applyFill="1" applyBorder="1" applyAlignment="1">
      <alignment horizontal="center"/>
    </xf>
    <xf numFmtId="165" fontId="77" fillId="0" borderId="110" xfId="2" applyNumberFormat="1" applyFont="1" applyBorder="1" applyAlignment="1" applyProtection="1">
      <alignment horizontal="right"/>
    </xf>
    <xf numFmtId="0" fontId="27" fillId="4" borderId="48" xfId="0" applyFont="1" applyFill="1" applyBorder="1"/>
    <xf numFmtId="165" fontId="80" fillId="0" borderId="99" xfId="2" applyNumberFormat="1" applyFont="1" applyBorder="1" applyAlignment="1" applyProtection="1">
      <alignment horizontal="right"/>
    </xf>
    <xf numFmtId="165" fontId="81" fillId="4" borderId="99" xfId="4" applyNumberFormat="1" applyFont="1" applyFill="1" applyBorder="1" applyAlignment="1" applyProtection="1">
      <alignment horizontal="right"/>
    </xf>
    <xf numFmtId="165" fontId="81" fillId="4" borderId="99" xfId="4" applyNumberFormat="1" applyFont="1" applyFill="1" applyBorder="1" applyAlignment="1" applyProtection="1">
      <alignment horizontal="right" vertical="center"/>
    </xf>
    <xf numFmtId="165" fontId="74" fillId="4" borderId="166" xfId="4" applyNumberFormat="1" applyFont="1" applyFill="1" applyBorder="1" applyAlignment="1" applyProtection="1"/>
    <xf numFmtId="165" fontId="74" fillId="4" borderId="168" xfId="4" applyNumberFormat="1" applyFont="1" applyFill="1" applyBorder="1" applyAlignment="1" applyProtection="1"/>
    <xf numFmtId="165" fontId="74" fillId="4" borderId="44" xfId="4" applyNumberFormat="1" applyFont="1" applyFill="1" applyBorder="1" applyAlignment="1" applyProtection="1"/>
    <xf numFmtId="0" fontId="74" fillId="4" borderId="222" xfId="0" applyFont="1" applyFill="1" applyBorder="1" applyAlignment="1">
      <alignment wrapText="1"/>
    </xf>
    <xf numFmtId="0" fontId="74" fillId="4" borderId="44" xfId="0" applyFont="1" applyFill="1" applyBorder="1" applyAlignment="1">
      <alignment wrapText="1"/>
    </xf>
    <xf numFmtId="165" fontId="73" fillId="4" borderId="140" xfId="4" applyNumberFormat="1" applyFont="1" applyFill="1" applyBorder="1" applyAlignment="1" applyProtection="1">
      <alignment wrapText="1"/>
    </xf>
    <xf numFmtId="0" fontId="74" fillId="4" borderId="222" xfId="0" applyFont="1" applyFill="1" applyBorder="1" applyAlignment="1">
      <alignment horizontal="right" wrapText="1"/>
    </xf>
    <xf numFmtId="0" fontId="74" fillId="4" borderId="44" xfId="0" applyFont="1" applyFill="1" applyBorder="1" applyAlignment="1">
      <alignment horizontal="right" wrapText="1"/>
    </xf>
    <xf numFmtId="0" fontId="74" fillId="4" borderId="223" xfId="0" applyFont="1" applyFill="1" applyBorder="1"/>
    <xf numFmtId="165" fontId="73" fillId="4" borderId="33" xfId="4" applyNumberFormat="1" applyFont="1" applyFill="1" applyBorder="1" applyAlignment="1" applyProtection="1">
      <alignment vertical="center" wrapText="1"/>
    </xf>
    <xf numFmtId="0" fontId="136" fillId="6" borderId="0" xfId="0" applyFont="1" applyFill="1"/>
    <xf numFmtId="165" fontId="79" fillId="14" borderId="210" xfId="4" applyNumberFormat="1" applyFont="1" applyFill="1" applyBorder="1" applyAlignment="1" applyProtection="1">
      <alignment horizontal="center"/>
    </xf>
    <xf numFmtId="165" fontId="79" fillId="14" borderId="185" xfId="4" applyNumberFormat="1" applyFont="1" applyFill="1" applyBorder="1" applyAlignment="1" applyProtection="1">
      <alignment horizontal="center"/>
    </xf>
    <xf numFmtId="0" fontId="79" fillId="20" borderId="110" xfId="0" applyFont="1" applyFill="1" applyBorder="1" applyAlignment="1">
      <alignment horizontal="center" vertical="center" wrapText="1"/>
    </xf>
    <xf numFmtId="0" fontId="162" fillId="4" borderId="0" xfId="0" applyFont="1" applyFill="1" applyAlignment="1">
      <alignment vertical="center"/>
    </xf>
    <xf numFmtId="43" fontId="10" fillId="0" borderId="0" xfId="1" applyAlignment="1">
      <alignment horizontal="center"/>
    </xf>
    <xf numFmtId="3" fontId="113" fillId="0" borderId="0" xfId="0" applyNumberFormat="1" applyFont="1"/>
    <xf numFmtId="0" fontId="119" fillId="0" borderId="0" xfId="0" applyFont="1" applyAlignment="1">
      <alignment horizontal="right"/>
    </xf>
    <xf numFmtId="0" fontId="119" fillId="0" borderId="0" xfId="0" applyFont="1"/>
    <xf numFmtId="0" fontId="64" fillId="0" borderId="229" xfId="0" applyFont="1" applyBorder="1" applyAlignment="1">
      <alignment horizontal="center" vertical="center"/>
    </xf>
    <xf numFmtId="0" fontId="64" fillId="0" borderId="238" xfId="0" applyFont="1" applyBorder="1" applyAlignment="1">
      <alignment horizontal="center" vertical="center"/>
    </xf>
    <xf numFmtId="0" fontId="64" fillId="0" borderId="239" xfId="0" applyFont="1" applyBorder="1" applyAlignment="1">
      <alignment horizontal="center" vertical="center"/>
    </xf>
    <xf numFmtId="0" fontId="10" fillId="0" borderId="0" xfId="0" applyFont="1" applyAlignment="1"/>
    <xf numFmtId="0" fontId="52" fillId="0" borderId="34" xfId="0" applyFont="1" applyBorder="1"/>
    <xf numFmtId="0" fontId="10" fillId="0" borderId="0" xfId="0" applyFont="1" applyBorder="1"/>
    <xf numFmtId="0" fontId="2" fillId="0" borderId="0" xfId="20"/>
    <xf numFmtId="0" fontId="163" fillId="0" borderId="0" xfId="20" applyFont="1"/>
    <xf numFmtId="0" fontId="2" fillId="0" borderId="38" xfId="20" applyBorder="1"/>
    <xf numFmtId="0" fontId="119" fillId="0" borderId="0" xfId="20" applyFont="1"/>
    <xf numFmtId="43" fontId="2" fillId="0" borderId="0" xfId="20" applyNumberFormat="1"/>
    <xf numFmtId="0" fontId="167" fillId="0" borderId="0" xfId="20" applyFont="1" applyBorder="1" applyAlignment="1"/>
    <xf numFmtId="0" fontId="166" fillId="0" borderId="0" xfId="20" applyFont="1" applyBorder="1" applyAlignment="1"/>
    <xf numFmtId="0" fontId="168" fillId="0" borderId="0" xfId="20" applyFont="1"/>
    <xf numFmtId="43" fontId="169" fillId="0" borderId="240" xfId="20" applyNumberFormat="1" applyFont="1" applyBorder="1"/>
    <xf numFmtId="0" fontId="168" fillId="0" borderId="241" xfId="20" applyFont="1" applyBorder="1"/>
    <xf numFmtId="0" fontId="168" fillId="0" borderId="242" xfId="20" applyFont="1" applyBorder="1"/>
    <xf numFmtId="0" fontId="168" fillId="0" borderId="243" xfId="20" applyFont="1" applyBorder="1"/>
    <xf numFmtId="0" fontId="168" fillId="0" borderId="240" xfId="20" applyFont="1" applyBorder="1"/>
    <xf numFmtId="43" fontId="168" fillId="0" borderId="241" xfId="21" applyFont="1" applyBorder="1"/>
    <xf numFmtId="0" fontId="170" fillId="0" borderId="241" xfId="20" applyFont="1" applyBorder="1"/>
    <xf numFmtId="0" fontId="168" fillId="0" borderId="245" xfId="20" applyFont="1" applyBorder="1"/>
    <xf numFmtId="43" fontId="2" fillId="0" borderId="38" xfId="20" applyNumberFormat="1" applyFont="1" applyBorder="1" applyAlignment="1"/>
    <xf numFmtId="43" fontId="169" fillId="0" borderId="246" xfId="20" applyNumberFormat="1" applyFont="1" applyBorder="1"/>
    <xf numFmtId="43" fontId="10" fillId="0" borderId="38" xfId="1" applyBorder="1"/>
    <xf numFmtId="0" fontId="168" fillId="0" borderId="247" xfId="20" applyFont="1" applyBorder="1"/>
    <xf numFmtId="43" fontId="168" fillId="0" borderId="248" xfId="21" applyFont="1" applyBorder="1"/>
    <xf numFmtId="0" fontId="170" fillId="0" borderId="249" xfId="20" applyFont="1" applyBorder="1"/>
    <xf numFmtId="0" fontId="168" fillId="0" borderId="251" xfId="20" applyFont="1" applyBorder="1"/>
    <xf numFmtId="43" fontId="169" fillId="0" borderId="38" xfId="20" applyNumberFormat="1" applyFont="1" applyBorder="1"/>
    <xf numFmtId="0" fontId="168" fillId="0" borderId="246" xfId="20" applyFont="1" applyBorder="1"/>
    <xf numFmtId="0" fontId="168" fillId="0" borderId="249" xfId="20" applyFont="1" applyBorder="1"/>
    <xf numFmtId="0" fontId="168" fillId="0" borderId="252" xfId="20" applyFont="1" applyBorder="1"/>
    <xf numFmtId="0" fontId="168" fillId="0" borderId="253" xfId="20" applyFont="1" applyBorder="1"/>
    <xf numFmtId="0" fontId="168" fillId="0" borderId="254" xfId="20" applyFont="1" applyBorder="1"/>
    <xf numFmtId="43" fontId="168" fillId="0" borderId="255" xfId="21" applyFont="1" applyBorder="1"/>
    <xf numFmtId="0" fontId="172" fillId="0" borderId="38" xfId="20" applyFont="1" applyBorder="1" applyAlignment="1">
      <alignment vertical="top"/>
    </xf>
    <xf numFmtId="0" fontId="172" fillId="0" borderId="256" xfId="20" applyFont="1" applyBorder="1" applyAlignment="1">
      <alignment vertical="top"/>
    </xf>
    <xf numFmtId="0" fontId="169" fillId="0" borderId="254" xfId="20" applyFont="1" applyBorder="1" applyAlignment="1">
      <alignment vertical="top"/>
    </xf>
    <xf numFmtId="0" fontId="169" fillId="0" borderId="257" xfId="20" applyFont="1" applyBorder="1"/>
    <xf numFmtId="0" fontId="2" fillId="0" borderId="38" xfId="20" applyFont="1" applyBorder="1"/>
    <xf numFmtId="43" fontId="168" fillId="0" borderId="38" xfId="21" applyFont="1" applyBorder="1"/>
    <xf numFmtId="0" fontId="168" fillId="0" borderId="258" xfId="20" applyFont="1" applyBorder="1"/>
    <xf numFmtId="0" fontId="168" fillId="0" borderId="259" xfId="20" applyFont="1" applyBorder="1"/>
    <xf numFmtId="0" fontId="168" fillId="0" borderId="260" xfId="20" applyFont="1" applyBorder="1"/>
    <xf numFmtId="0" fontId="168" fillId="0" borderId="261" xfId="20" applyFont="1" applyBorder="1"/>
    <xf numFmtId="0" fontId="168" fillId="0" borderId="262" xfId="20" applyFont="1" applyBorder="1"/>
    <xf numFmtId="43" fontId="168" fillId="0" borderId="263" xfId="21" applyFont="1" applyBorder="1"/>
    <xf numFmtId="0" fontId="170" fillId="0" borderId="263" xfId="20" applyFont="1" applyBorder="1"/>
    <xf numFmtId="0" fontId="170" fillId="0" borderId="264" xfId="20" applyFont="1" applyBorder="1" applyAlignment="1">
      <alignment horizontal="center"/>
    </xf>
    <xf numFmtId="0" fontId="170" fillId="0" borderId="264" xfId="20" applyFont="1" applyBorder="1" applyAlignment="1">
      <alignment horizontal="center" vertical="center"/>
    </xf>
    <xf numFmtId="0" fontId="168" fillId="0" borderId="265" xfId="20" applyFont="1" applyBorder="1" applyAlignment="1"/>
    <xf numFmtId="43" fontId="169" fillId="0" borderId="266" xfId="20" applyNumberFormat="1" applyFont="1" applyBorder="1"/>
    <xf numFmtId="0" fontId="168" fillId="0" borderId="0" xfId="20" applyFont="1" applyBorder="1"/>
    <xf numFmtId="16" fontId="170" fillId="0" borderId="38" xfId="20" applyNumberFormat="1" applyFont="1" applyBorder="1" applyAlignment="1">
      <alignment horizontal="center"/>
    </xf>
    <xf numFmtId="0" fontId="168" fillId="0" borderId="267" xfId="20" applyFont="1" applyBorder="1" applyAlignment="1"/>
    <xf numFmtId="0" fontId="170" fillId="0" borderId="267" xfId="20" applyFont="1" applyBorder="1" applyAlignment="1"/>
    <xf numFmtId="0" fontId="168" fillId="0" borderId="268" xfId="20" applyFont="1" applyBorder="1"/>
    <xf numFmtId="0" fontId="168" fillId="0" borderId="269" xfId="20" applyFont="1" applyBorder="1"/>
    <xf numFmtId="0" fontId="168" fillId="0" borderId="270" xfId="20" applyFont="1" applyBorder="1"/>
    <xf numFmtId="0" fontId="168" fillId="0" borderId="271" xfId="20" applyFont="1" applyBorder="1"/>
    <xf numFmtId="0" fontId="170" fillId="0" borderId="38" xfId="20" applyFont="1" applyBorder="1" applyAlignment="1">
      <alignment horizontal="center"/>
    </xf>
    <xf numFmtId="0" fontId="170" fillId="0" borderId="272" xfId="20" applyFont="1" applyBorder="1" applyAlignment="1"/>
    <xf numFmtId="0" fontId="168" fillId="0" borderId="263" xfId="20" applyFont="1" applyBorder="1"/>
    <xf numFmtId="0" fontId="168" fillId="0" borderId="273" xfId="20" applyFont="1" applyBorder="1"/>
    <xf numFmtId="0" fontId="168" fillId="0" borderId="274" xfId="20" applyFont="1" applyBorder="1"/>
    <xf numFmtId="0" fontId="168" fillId="0" borderId="275" xfId="20" applyFont="1" applyBorder="1"/>
    <xf numFmtId="0" fontId="168" fillId="0" borderId="266" xfId="20" applyFont="1" applyBorder="1"/>
    <xf numFmtId="0" fontId="168" fillId="0" borderId="38" xfId="20" applyFont="1" applyBorder="1"/>
    <xf numFmtId="43" fontId="168" fillId="0" borderId="249" xfId="21" applyFont="1" applyBorder="1"/>
    <xf numFmtId="0" fontId="171" fillId="0" borderId="241" xfId="20" applyFont="1" applyBorder="1" applyAlignment="1">
      <alignment horizontal="center"/>
    </xf>
    <xf numFmtId="0" fontId="171" fillId="0" borderId="263" xfId="20" applyFont="1" applyBorder="1" applyAlignment="1">
      <alignment horizontal="center"/>
    </xf>
    <xf numFmtId="0" fontId="171" fillId="0" borderId="243" xfId="20" applyFont="1" applyBorder="1" applyAlignment="1">
      <alignment horizontal="center"/>
    </xf>
    <xf numFmtId="0" fontId="171" fillId="0" borderId="0" xfId="20" applyFont="1" applyBorder="1" applyAlignment="1">
      <alignment horizontal="center"/>
    </xf>
    <xf numFmtId="43" fontId="168" fillId="0" borderId="276" xfId="21" applyFont="1" applyBorder="1"/>
    <xf numFmtId="0" fontId="170" fillId="0" borderId="276" xfId="20" applyFont="1" applyBorder="1" applyAlignment="1"/>
    <xf numFmtId="43" fontId="169" fillId="0" borderId="279" xfId="20" applyNumberFormat="1" applyFont="1" applyBorder="1"/>
    <xf numFmtId="43" fontId="10" fillId="0" borderId="268" xfId="1" applyBorder="1"/>
    <xf numFmtId="43" fontId="168" fillId="0" borderId="280" xfId="21" applyFont="1" applyBorder="1"/>
    <xf numFmtId="0" fontId="168" fillId="0" borderId="280" xfId="20" applyFont="1" applyBorder="1"/>
    <xf numFmtId="0" fontId="169" fillId="0" borderId="281" xfId="20" applyFont="1" applyBorder="1"/>
    <xf numFmtId="0" fontId="169" fillId="0" borderId="280" xfId="20" applyFont="1" applyBorder="1"/>
    <xf numFmtId="0" fontId="169" fillId="0" borderId="282" xfId="20" applyFont="1" applyBorder="1"/>
    <xf numFmtId="43" fontId="10" fillId="0" borderId="263" xfId="1" applyBorder="1"/>
    <xf numFmtId="0" fontId="168" fillId="0" borderId="283" xfId="20" applyFont="1" applyBorder="1"/>
    <xf numFmtId="0" fontId="169" fillId="0" borderId="245" xfId="20" applyFont="1" applyBorder="1"/>
    <xf numFmtId="0" fontId="168" fillId="0" borderId="244" xfId="20" applyFont="1" applyBorder="1"/>
    <xf numFmtId="0" fontId="168" fillId="0" borderId="286" xfId="20" applyFont="1" applyBorder="1"/>
    <xf numFmtId="0" fontId="168" fillId="0" borderId="287" xfId="20" applyFont="1" applyBorder="1"/>
    <xf numFmtId="43" fontId="168" fillId="0" borderId="273" xfId="21" applyFont="1" applyBorder="1"/>
    <xf numFmtId="43" fontId="168" fillId="0" borderId="288" xfId="21" applyFont="1" applyBorder="1"/>
    <xf numFmtId="0" fontId="168" fillId="0" borderId="288" xfId="20" applyFont="1" applyBorder="1"/>
    <xf numFmtId="0" fontId="64" fillId="0" borderId="249" xfId="20" applyFont="1" applyBorder="1"/>
    <xf numFmtId="0" fontId="168" fillId="0" borderId="281" xfId="20" applyFont="1" applyBorder="1"/>
    <xf numFmtId="0" fontId="170" fillId="0" borderId="263" xfId="20" applyFont="1" applyBorder="1" applyAlignment="1"/>
    <xf numFmtId="0" fontId="170" fillId="0" borderId="273" xfId="20" applyFont="1" applyBorder="1"/>
    <xf numFmtId="0" fontId="170" fillId="0" borderId="263" xfId="20" applyFont="1" applyBorder="1" applyAlignment="1">
      <alignment horizontal="right"/>
    </xf>
    <xf numFmtId="0" fontId="170" fillId="0" borderId="248" xfId="20" applyFont="1" applyBorder="1"/>
    <xf numFmtId="43" fontId="28" fillId="0" borderId="240" xfId="1" applyFont="1" applyBorder="1"/>
    <xf numFmtId="0" fontId="171" fillId="0" borderId="0" xfId="20" applyFont="1" applyAlignment="1">
      <alignment horizontal="center"/>
    </xf>
    <xf numFmtId="0" fontId="170" fillId="0" borderId="276" xfId="20" applyFont="1" applyBorder="1"/>
    <xf numFmtId="0" fontId="168" fillId="0" borderId="248" xfId="20" applyFont="1" applyBorder="1"/>
    <xf numFmtId="0" fontId="170" fillId="0" borderId="288" xfId="20" applyFont="1" applyBorder="1"/>
    <xf numFmtId="0" fontId="175" fillId="0" borderId="241" xfId="20" applyFont="1" applyBorder="1"/>
    <xf numFmtId="43" fontId="168" fillId="0" borderId="242" xfId="21" applyFont="1" applyBorder="1"/>
    <xf numFmtId="0" fontId="169" fillId="0" borderId="246" xfId="20" applyFont="1" applyBorder="1"/>
    <xf numFmtId="0" fontId="168" fillId="0" borderId="288" xfId="20" applyFont="1" applyBorder="1" applyAlignment="1">
      <alignment wrapText="1"/>
    </xf>
    <xf numFmtId="0" fontId="2" fillId="0" borderId="38" xfId="20" applyFont="1" applyBorder="1" applyAlignment="1">
      <alignment horizontal="center" vertical="center"/>
    </xf>
    <xf numFmtId="0" fontId="169" fillId="0" borderId="291" xfId="20" applyFont="1" applyBorder="1" applyAlignment="1">
      <alignment horizontal="center" vertical="center" wrapText="1"/>
    </xf>
    <xf numFmtId="0" fontId="169" fillId="0" borderId="292" xfId="20" applyFont="1" applyBorder="1" applyAlignment="1">
      <alignment horizontal="center" vertical="center" wrapText="1"/>
    </xf>
    <xf numFmtId="0" fontId="169" fillId="0" borderId="293" xfId="20" applyFont="1" applyBorder="1" applyAlignment="1">
      <alignment horizontal="center" vertical="center" wrapText="1"/>
    </xf>
    <xf numFmtId="0" fontId="169" fillId="0" borderId="294" xfId="20" applyFont="1" applyBorder="1" applyAlignment="1">
      <alignment horizontal="center" vertical="center" wrapText="1"/>
    </xf>
    <xf numFmtId="0" fontId="169" fillId="0" borderId="292" xfId="20" applyFont="1" applyBorder="1" applyAlignment="1">
      <alignment horizontal="center" vertical="center"/>
    </xf>
    <xf numFmtId="0" fontId="169" fillId="0" borderId="295" xfId="20" applyFont="1" applyBorder="1" applyAlignment="1">
      <alignment horizontal="center" vertical="center"/>
    </xf>
    <xf numFmtId="0" fontId="176" fillId="0" borderId="0" xfId="20" applyFont="1"/>
    <xf numFmtId="0" fontId="58" fillId="4" borderId="38" xfId="0" applyFont="1" applyFill="1" applyBorder="1" applyAlignment="1">
      <alignment horizontal="center" vertical="center"/>
    </xf>
    <xf numFmtId="0" fontId="0" fillId="0" borderId="0" xfId="0"/>
    <xf numFmtId="0" fontId="53" fillId="0" borderId="37" xfId="0" applyFont="1" applyBorder="1" applyAlignment="1">
      <alignment horizontal="center" vertical="center"/>
    </xf>
    <xf numFmtId="0" fontId="0" fillId="0" borderId="0" xfId="0" applyAlignment="1"/>
    <xf numFmtId="0" fontId="53" fillId="0" borderId="37" xfId="0" applyFont="1" applyBorder="1" applyAlignment="1">
      <alignment horizontal="center"/>
    </xf>
    <xf numFmtId="0" fontId="53" fillId="0" borderId="4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30" xfId="0" applyBorder="1"/>
    <xf numFmtId="0" fontId="0" fillId="0" borderId="29" xfId="0" applyBorder="1"/>
    <xf numFmtId="0" fontId="61" fillId="0" borderId="46" xfId="0" applyFont="1" applyBorder="1" applyAlignment="1">
      <alignment horizontal="center" vertical="center"/>
    </xf>
    <xf numFmtId="165" fontId="146" fillId="3" borderId="45" xfId="4" applyNumberFormat="1" applyFont="1" applyFill="1" applyBorder="1" applyAlignment="1" applyProtection="1">
      <alignment horizontal="center"/>
    </xf>
    <xf numFmtId="43" fontId="97" fillId="0" borderId="45" xfId="1" applyFont="1" applyBorder="1" applyAlignment="1">
      <alignment horizontal="center"/>
    </xf>
    <xf numFmtId="165" fontId="146" fillId="0" borderId="45" xfId="4" applyNumberFormat="1" applyFont="1" applyFill="1" applyBorder="1" applyAlignment="1" applyProtection="1"/>
    <xf numFmtId="165" fontId="146" fillId="4" borderId="45" xfId="0" applyNumberFormat="1" applyFont="1" applyFill="1" applyBorder="1" applyAlignment="1">
      <alignment horizontal="center"/>
    </xf>
    <xf numFmtId="0" fontId="153" fillId="4" borderId="47" xfId="0" applyFont="1" applyFill="1" applyBorder="1" applyAlignment="1">
      <alignment horizontal="center" vertical="center"/>
    </xf>
    <xf numFmtId="0" fontId="153" fillId="4" borderId="50" xfId="0" applyFont="1" applyFill="1" applyBorder="1" applyAlignment="1">
      <alignment horizontal="center" vertical="center"/>
    </xf>
    <xf numFmtId="0" fontId="116" fillId="4" borderId="39" xfId="0" applyFont="1" applyFill="1" applyBorder="1" applyAlignment="1">
      <alignment horizontal="center" vertical="center" wrapText="1"/>
    </xf>
    <xf numFmtId="0" fontId="116" fillId="4" borderId="44" xfId="0" applyFont="1" applyFill="1" applyBorder="1" applyAlignment="1">
      <alignment horizontal="center" vertical="center" wrapText="1"/>
    </xf>
    <xf numFmtId="0" fontId="116" fillId="4" borderId="45" xfId="0" applyFont="1" applyFill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8" fillId="0" borderId="44" xfId="0" applyFont="1" applyBorder="1" applyAlignment="1">
      <alignment horizontal="center" vertical="center" wrapText="1"/>
    </xf>
    <xf numFmtId="0" fontId="58" fillId="0" borderId="45" xfId="0" applyFont="1" applyBorder="1" applyAlignment="1">
      <alignment horizontal="center" vertical="center" wrapText="1"/>
    </xf>
    <xf numFmtId="0" fontId="146" fillId="14" borderId="39" xfId="0" applyFont="1" applyFill="1" applyBorder="1" applyAlignment="1">
      <alignment horizontal="center" vertical="center"/>
    </xf>
    <xf numFmtId="0" fontId="146" fillId="14" borderId="44" xfId="0" applyFont="1" applyFill="1" applyBorder="1" applyAlignment="1">
      <alignment horizontal="center" vertical="center"/>
    </xf>
    <xf numFmtId="0" fontId="146" fillId="14" borderId="45" xfId="0" applyFont="1" applyFill="1" applyBorder="1" applyAlignment="1">
      <alignment horizontal="center" vertical="center"/>
    </xf>
    <xf numFmtId="164" fontId="13" fillId="0" borderId="38" xfId="0" applyNumberFormat="1" applyFont="1" applyBorder="1" applyAlignment="1">
      <alignment vertical="center"/>
    </xf>
    <xf numFmtId="0" fontId="58" fillId="4" borderId="38" xfId="0" applyFont="1" applyFill="1" applyBorder="1" applyAlignment="1">
      <alignment horizontal="left" vertical="center"/>
    </xf>
    <xf numFmtId="0" fontId="58" fillId="4" borderId="38" xfId="0" applyFont="1" applyFill="1" applyBorder="1" applyAlignment="1">
      <alignment horizontal="center" vertical="center" wrapText="1"/>
    </xf>
    <xf numFmtId="0" fontId="31" fillId="4" borderId="38" xfId="0" applyFont="1" applyFill="1" applyBorder="1" applyAlignment="1">
      <alignment horizontal="center" vertical="center" wrapText="1"/>
    </xf>
    <xf numFmtId="0" fontId="58" fillId="4" borderId="39" xfId="0" applyFont="1" applyFill="1" applyBorder="1" applyAlignment="1">
      <alignment horizontal="center" vertical="center"/>
    </xf>
    <xf numFmtId="0" fontId="58" fillId="4" borderId="44" xfId="0" applyFont="1" applyFill="1" applyBorder="1" applyAlignment="1">
      <alignment horizontal="center" vertical="center"/>
    </xf>
    <xf numFmtId="0" fontId="58" fillId="4" borderId="45" xfId="0" applyFont="1" applyFill="1" applyBorder="1" applyAlignment="1">
      <alignment horizontal="center" vertical="center"/>
    </xf>
    <xf numFmtId="0" fontId="146" fillId="6" borderId="42" xfId="0" applyFont="1" applyFill="1" applyBorder="1" applyAlignment="1">
      <alignment horizontal="center" vertical="center"/>
    </xf>
    <xf numFmtId="0" fontId="146" fillId="4" borderId="37" xfId="0" applyFont="1" applyFill="1" applyBorder="1" applyAlignment="1">
      <alignment horizontal="center" vertical="center"/>
    </xf>
    <xf numFmtId="49" fontId="58" fillId="4" borderId="38" xfId="0" applyNumberFormat="1" applyFont="1" applyFill="1" applyBorder="1" applyAlignment="1">
      <alignment horizontal="center" vertical="center" wrapText="1"/>
    </xf>
    <xf numFmtId="49" fontId="58" fillId="4" borderId="39" xfId="0" applyNumberFormat="1" applyFont="1" applyFill="1" applyBorder="1" applyAlignment="1">
      <alignment horizontal="center" vertical="center" wrapText="1"/>
    </xf>
    <xf numFmtId="49" fontId="58" fillId="4" borderId="44" xfId="0" applyNumberFormat="1" applyFont="1" applyFill="1" applyBorder="1" applyAlignment="1">
      <alignment horizontal="center" vertical="center" wrapText="1"/>
    </xf>
    <xf numFmtId="49" fontId="58" fillId="4" borderId="45" xfId="0" applyNumberFormat="1" applyFont="1" applyFill="1" applyBorder="1" applyAlignment="1">
      <alignment horizontal="center" vertical="center" wrapText="1"/>
    </xf>
    <xf numFmtId="0" fontId="147" fillId="4" borderId="46" xfId="0" applyFont="1" applyFill="1" applyBorder="1" applyAlignment="1">
      <alignment horizontal="center" vertical="center"/>
    </xf>
    <xf numFmtId="0" fontId="147" fillId="4" borderId="47" xfId="0" applyFont="1" applyFill="1" applyBorder="1" applyAlignment="1">
      <alignment horizontal="center" vertical="center"/>
    </xf>
    <xf numFmtId="0" fontId="147" fillId="4" borderId="50" xfId="0" applyFont="1" applyFill="1" applyBorder="1" applyAlignment="1">
      <alignment horizontal="center" vertical="center"/>
    </xf>
    <xf numFmtId="0" fontId="116" fillId="4" borderId="36" xfId="0" applyFont="1" applyFill="1" applyBorder="1" applyAlignment="1">
      <alignment horizontal="center" vertical="center" wrapText="1"/>
    </xf>
    <xf numFmtId="0" fontId="58" fillId="0" borderId="36" xfId="0" applyFont="1" applyBorder="1" applyAlignment="1">
      <alignment horizontal="center" vertical="center" wrapText="1"/>
    </xf>
    <xf numFmtId="0" fontId="58" fillId="4" borderId="36" xfId="0" applyFont="1" applyFill="1" applyBorder="1" applyAlignment="1">
      <alignment horizontal="center" vertical="center" wrapText="1"/>
    </xf>
    <xf numFmtId="0" fontId="58" fillId="4" borderId="44" xfId="0" applyFont="1" applyFill="1" applyBorder="1" applyAlignment="1">
      <alignment horizontal="center" vertical="center" wrapText="1"/>
    </xf>
    <xf numFmtId="0" fontId="58" fillId="4" borderId="45" xfId="0" applyFont="1" applyFill="1" applyBorder="1" applyAlignment="1">
      <alignment horizontal="center" vertical="center" wrapText="1"/>
    </xf>
    <xf numFmtId="49" fontId="17" fillId="0" borderId="0" xfId="0" applyNumberFormat="1" applyFont="1" applyAlignment="1">
      <alignment vertical="center"/>
    </xf>
    <xf numFmtId="0" fontId="58" fillId="9" borderId="38" xfId="0" applyFont="1" applyFill="1" applyBorder="1" applyAlignment="1">
      <alignment horizontal="center" vertical="center" wrapText="1"/>
    </xf>
    <xf numFmtId="0" fontId="58" fillId="4" borderId="38" xfId="0" applyFont="1" applyFill="1" applyBorder="1" applyAlignment="1">
      <alignment vertical="center"/>
    </xf>
    <xf numFmtId="0" fontId="58" fillId="4" borderId="38" xfId="0" applyFont="1" applyFill="1" applyBorder="1" applyAlignment="1">
      <alignment horizontal="left" vertical="center" wrapText="1"/>
    </xf>
    <xf numFmtId="0" fontId="58" fillId="4" borderId="39" xfId="0" applyFont="1" applyFill="1" applyBorder="1" applyAlignment="1">
      <alignment horizontal="left" vertical="center" wrapText="1"/>
    </xf>
    <xf numFmtId="0" fontId="58" fillId="4" borderId="44" xfId="0" applyFont="1" applyFill="1" applyBorder="1" applyAlignment="1">
      <alignment horizontal="left" vertical="center" wrapText="1"/>
    </xf>
    <xf numFmtId="0" fontId="58" fillId="4" borderId="45" xfId="0" applyFont="1" applyFill="1" applyBorder="1" applyAlignment="1">
      <alignment horizontal="left" vertical="center" wrapText="1"/>
    </xf>
    <xf numFmtId="0" fontId="58" fillId="4" borderId="39" xfId="0" applyFont="1" applyFill="1" applyBorder="1" applyAlignment="1">
      <alignment horizontal="center" vertical="center" wrapText="1"/>
    </xf>
    <xf numFmtId="164" fontId="112" fillId="0" borderId="163" xfId="0" applyNumberFormat="1" applyFont="1" applyBorder="1" applyAlignment="1">
      <alignment horizontal="center" vertical="center"/>
    </xf>
    <xf numFmtId="0" fontId="144" fillId="4" borderId="51" xfId="0" applyFont="1" applyFill="1" applyBorder="1" applyAlignment="1">
      <alignment horizontal="center" vertical="center"/>
    </xf>
    <xf numFmtId="0" fontId="144" fillId="4" borderId="0" xfId="0" applyFont="1" applyFill="1" applyBorder="1" applyAlignment="1">
      <alignment horizontal="center" vertical="center"/>
    </xf>
    <xf numFmtId="0" fontId="144" fillId="4" borderId="163" xfId="0" applyFont="1" applyFill="1" applyBorder="1" applyAlignment="1">
      <alignment horizontal="center" vertical="center"/>
    </xf>
    <xf numFmtId="0" fontId="144" fillId="4" borderId="160" xfId="0" applyFont="1" applyFill="1" applyBorder="1" applyAlignment="1">
      <alignment horizontal="center" vertical="center"/>
    </xf>
    <xf numFmtId="0" fontId="144" fillId="4" borderId="167" xfId="0" applyFont="1" applyFill="1" applyBorder="1" applyAlignment="1">
      <alignment horizontal="center" vertical="center"/>
    </xf>
    <xf numFmtId="0" fontId="144" fillId="4" borderId="133" xfId="0" applyFont="1" applyFill="1" applyBorder="1" applyAlignment="1">
      <alignment horizontal="center" vertical="center"/>
    </xf>
    <xf numFmtId="0" fontId="58" fillId="0" borderId="38" xfId="0" applyFont="1" applyBorder="1" applyAlignment="1">
      <alignment horizontal="center" vertical="center" wrapText="1"/>
    </xf>
    <xf numFmtId="0" fontId="146" fillId="6" borderId="37" xfId="0" applyFont="1" applyFill="1" applyBorder="1" applyAlignment="1">
      <alignment horizontal="center"/>
    </xf>
    <xf numFmtId="164" fontId="17" fillId="0" borderId="154" xfId="0" applyNumberFormat="1" applyFont="1" applyBorder="1" applyAlignment="1">
      <alignment vertical="center"/>
    </xf>
    <xf numFmtId="164" fontId="17" fillId="0" borderId="51" xfId="0" applyNumberFormat="1" applyFont="1" applyBorder="1" applyAlignment="1">
      <alignment vertical="center"/>
    </xf>
    <xf numFmtId="164" fontId="17" fillId="0" borderId="160" xfId="0" applyNumberFormat="1" applyFont="1" applyBorder="1" applyAlignment="1">
      <alignment vertical="center"/>
    </xf>
    <xf numFmtId="0" fontId="31" fillId="4" borderId="39" xfId="0" applyFont="1" applyFill="1" applyBorder="1" applyAlignment="1">
      <alignment horizontal="center" vertical="center" wrapText="1"/>
    </xf>
    <xf numFmtId="0" fontId="58" fillId="4" borderId="39" xfId="0" applyFont="1" applyFill="1" applyBorder="1" applyAlignment="1">
      <alignment horizontal="left" vertical="center"/>
    </xf>
    <xf numFmtId="0" fontId="146" fillId="15" borderId="37" xfId="0" applyFont="1" applyFill="1" applyBorder="1" applyAlignment="1">
      <alignment horizontal="center" vertical="center"/>
    </xf>
    <xf numFmtId="0" fontId="58" fillId="15" borderId="39" xfId="0" applyFont="1" applyFill="1" applyBorder="1" applyAlignment="1">
      <alignment horizontal="left" vertical="center"/>
    </xf>
    <xf numFmtId="0" fontId="58" fillId="15" borderId="44" xfId="0" applyFont="1" applyFill="1" applyBorder="1" applyAlignment="1">
      <alignment horizontal="left" vertical="center"/>
    </xf>
    <xf numFmtId="0" fontId="58" fillId="15" borderId="45" xfId="0" applyFont="1" applyFill="1" applyBorder="1" applyAlignment="1">
      <alignment horizontal="left" vertical="center"/>
    </xf>
    <xf numFmtId="49" fontId="58" fillId="15" borderId="38" xfId="0" applyNumberFormat="1" applyFont="1" applyFill="1" applyBorder="1" applyAlignment="1">
      <alignment horizontal="center" vertical="center" wrapText="1"/>
    </xf>
    <xf numFmtId="0" fontId="58" fillId="15" borderId="38" xfId="0" applyFont="1" applyFill="1" applyBorder="1" applyAlignment="1">
      <alignment horizontal="center" vertical="center" wrapText="1"/>
    </xf>
    <xf numFmtId="0" fontId="146" fillId="6" borderId="37" xfId="0" applyFont="1" applyFill="1" applyBorder="1" applyAlignment="1">
      <alignment horizontal="center" vertical="center"/>
    </xf>
    <xf numFmtId="164" fontId="17" fillId="0" borderId="39" xfId="0" applyNumberFormat="1" applyFont="1" applyBorder="1" applyAlignment="1">
      <alignment vertical="center"/>
    </xf>
    <xf numFmtId="164" fontId="17" fillId="0" borderId="44" xfId="0" applyNumberFormat="1" applyFont="1" applyBorder="1" applyAlignment="1">
      <alignment vertical="center"/>
    </xf>
    <xf numFmtId="164" fontId="17" fillId="0" borderId="45" xfId="0" applyNumberFormat="1" applyFont="1" applyBorder="1" applyAlignment="1">
      <alignment vertical="center"/>
    </xf>
    <xf numFmtId="164" fontId="17" fillId="0" borderId="39" xfId="0" applyNumberFormat="1" applyFont="1" applyBorder="1" applyAlignment="1">
      <alignment vertical="center" wrapText="1"/>
    </xf>
    <xf numFmtId="164" fontId="17" fillId="0" borderId="44" xfId="0" applyNumberFormat="1" applyFont="1" applyBorder="1" applyAlignment="1">
      <alignment vertical="center" wrapText="1"/>
    </xf>
    <xf numFmtId="164" fontId="17" fillId="0" borderId="45" xfId="0" applyNumberFormat="1" applyFont="1" applyBorder="1" applyAlignment="1">
      <alignment vertical="center" wrapText="1"/>
    </xf>
    <xf numFmtId="0" fontId="146" fillId="4" borderId="38" xfId="0" applyFont="1" applyFill="1" applyBorder="1" applyAlignment="1">
      <alignment horizontal="center" vertical="center" wrapText="1"/>
    </xf>
    <xf numFmtId="164" fontId="17" fillId="16" borderId="39" xfId="0" applyNumberFormat="1" applyFont="1" applyFill="1" applyBorder="1" applyAlignment="1">
      <alignment vertical="center"/>
    </xf>
    <xf numFmtId="164" fontId="17" fillId="16" borderId="44" xfId="0" applyNumberFormat="1" applyFont="1" applyFill="1" applyBorder="1" applyAlignment="1">
      <alignment vertical="center"/>
    </xf>
    <xf numFmtId="164" fontId="17" fillId="16" borderId="45" xfId="0" applyNumberFormat="1" applyFont="1" applyFill="1" applyBorder="1" applyAlignment="1">
      <alignment vertical="center"/>
    </xf>
    <xf numFmtId="0" fontId="146" fillId="15" borderId="38" xfId="0" applyFont="1" applyFill="1" applyBorder="1" applyAlignment="1">
      <alignment horizontal="center" vertical="center" wrapText="1"/>
    </xf>
    <xf numFmtId="49" fontId="58" fillId="0" borderId="38" xfId="0" applyNumberFormat="1" applyFont="1" applyBorder="1" applyAlignment="1">
      <alignment horizontal="center" vertical="center" wrapText="1"/>
    </xf>
    <xf numFmtId="0" fontId="146" fillId="0" borderId="38" xfId="0" applyFont="1" applyBorder="1" applyAlignment="1">
      <alignment horizontal="center" vertical="center" wrapText="1"/>
    </xf>
    <xf numFmtId="0" fontId="151" fillId="4" borderId="38" xfId="0" applyFont="1" applyFill="1" applyBorder="1" applyAlignment="1">
      <alignment horizontal="center" vertical="center" wrapText="1"/>
    </xf>
    <xf numFmtId="0" fontId="153" fillId="4" borderId="37" xfId="0" applyFont="1" applyFill="1" applyBorder="1" applyAlignment="1">
      <alignment horizontal="center" vertical="center"/>
    </xf>
    <xf numFmtId="0" fontId="146" fillId="4" borderId="39" xfId="0" applyFont="1" applyFill="1" applyBorder="1" applyAlignment="1">
      <alignment horizontal="center" vertical="center"/>
    </xf>
    <xf numFmtId="0" fontId="116" fillId="14" borderId="38" xfId="0" applyFont="1" applyFill="1" applyBorder="1" applyAlignment="1">
      <alignment horizontal="center" vertical="center" wrapText="1"/>
    </xf>
    <xf numFmtId="0" fontId="58" fillId="20" borderId="38" xfId="0" applyFont="1" applyFill="1" applyBorder="1" applyAlignment="1">
      <alignment horizontal="center" vertical="center" wrapText="1"/>
    </xf>
    <xf numFmtId="0" fontId="146" fillId="14" borderId="38" xfId="0" applyFont="1" applyFill="1" applyBorder="1" applyAlignment="1">
      <alignment horizontal="center" vertical="center"/>
    </xf>
    <xf numFmtId="0" fontId="116" fillId="4" borderId="39" xfId="0" applyFont="1" applyFill="1" applyBorder="1" applyAlignment="1">
      <alignment horizontal="center" vertical="center"/>
    </xf>
    <xf numFmtId="164" fontId="140" fillId="0" borderId="0" xfId="0" applyNumberFormat="1" applyFont="1" applyAlignment="1">
      <alignment horizontal="center" vertical="center"/>
    </xf>
    <xf numFmtId="49" fontId="116" fillId="4" borderId="38" xfId="0" applyNumberFormat="1" applyFont="1" applyFill="1" applyBorder="1" applyAlignment="1">
      <alignment horizontal="center" vertical="center" wrapText="1"/>
    </xf>
    <xf numFmtId="0" fontId="116" fillId="4" borderId="38" xfId="0" applyFont="1" applyFill="1" applyBorder="1" applyAlignment="1">
      <alignment horizontal="center" vertical="center" wrapText="1"/>
    </xf>
    <xf numFmtId="0" fontId="146" fillId="4" borderId="40" xfId="0" applyFont="1" applyFill="1" applyBorder="1" applyAlignment="1">
      <alignment horizontal="center" vertical="center"/>
    </xf>
    <xf numFmtId="0" fontId="146" fillId="4" borderId="47" xfId="0" applyFont="1" applyFill="1" applyBorder="1" applyAlignment="1">
      <alignment horizontal="center" vertical="center"/>
    </xf>
    <xf numFmtId="0" fontId="146" fillId="4" borderId="50" xfId="0" applyFont="1" applyFill="1" applyBorder="1" applyAlignment="1">
      <alignment horizontal="center" vertical="center"/>
    </xf>
    <xf numFmtId="0" fontId="55" fillId="14" borderId="99" xfId="0" applyFont="1" applyFill="1" applyBorder="1" applyAlignment="1">
      <alignment horizontal="center" vertical="center" wrapText="1"/>
    </xf>
    <xf numFmtId="0" fontId="55" fillId="14" borderId="44" xfId="0" applyFont="1" applyFill="1" applyBorder="1" applyAlignment="1">
      <alignment horizontal="center" vertical="center" wrapText="1"/>
    </xf>
    <xf numFmtId="0" fontId="55" fillId="14" borderId="121" xfId="0" applyFont="1" applyFill="1" applyBorder="1" applyAlignment="1">
      <alignment horizontal="center" vertical="center" wrapText="1"/>
    </xf>
    <xf numFmtId="0" fontId="116" fillId="4" borderId="39" xfId="0" applyFont="1" applyFill="1" applyBorder="1" applyAlignment="1">
      <alignment vertical="center" wrapText="1"/>
    </xf>
    <xf numFmtId="0" fontId="146" fillId="4" borderId="48" xfId="0" applyFont="1" applyFill="1" applyBorder="1" applyAlignment="1">
      <alignment horizontal="center" vertical="center"/>
    </xf>
    <xf numFmtId="49" fontId="58" fillId="0" borderId="39" xfId="0" applyNumberFormat="1" applyFont="1" applyBorder="1" applyAlignment="1">
      <alignment horizontal="center" vertical="center" wrapText="1"/>
    </xf>
    <xf numFmtId="0" fontId="58" fillId="5" borderId="39" xfId="0" applyFont="1" applyFill="1" applyBorder="1" applyAlignment="1">
      <alignment horizontal="center" vertical="center" wrapText="1"/>
    </xf>
    <xf numFmtId="0" fontId="58" fillId="4" borderId="39" xfId="0" applyFont="1" applyFill="1" applyBorder="1" applyAlignment="1">
      <alignment vertical="center" wrapText="1"/>
    </xf>
    <xf numFmtId="0" fontId="146" fillId="4" borderId="38" xfId="0" applyFont="1" applyFill="1" applyBorder="1" applyAlignment="1">
      <alignment horizontal="center" vertical="center"/>
    </xf>
    <xf numFmtId="49" fontId="154" fillId="4" borderId="38" xfId="0" applyNumberFormat="1" applyFont="1" applyFill="1" applyBorder="1" applyAlignment="1">
      <alignment vertical="center"/>
    </xf>
    <xf numFmtId="0" fontId="154" fillId="4" borderId="38" xfId="0" applyFont="1" applyFill="1" applyBorder="1" applyAlignment="1">
      <alignment vertical="center"/>
    </xf>
    <xf numFmtId="0" fontId="116" fillId="4" borderId="45" xfId="0" applyFont="1" applyFill="1" applyBorder="1" applyAlignment="1">
      <alignment vertical="center"/>
    </xf>
    <xf numFmtId="0" fontId="116" fillId="4" borderId="38" xfId="0" applyFont="1" applyFill="1" applyBorder="1" applyAlignment="1">
      <alignment vertical="center"/>
    </xf>
    <xf numFmtId="49" fontId="155" fillId="4" borderId="39" xfId="0" applyNumberFormat="1" applyFont="1" applyFill="1" applyBorder="1" applyAlignment="1">
      <alignment horizontal="center" vertical="center" wrapText="1"/>
    </xf>
    <xf numFmtId="49" fontId="155" fillId="0" borderId="39" xfId="0" applyNumberFormat="1" applyFont="1" applyBorder="1" applyAlignment="1">
      <alignment horizontal="center" vertical="center" wrapText="1"/>
    </xf>
    <xf numFmtId="49" fontId="116" fillId="4" borderId="39" xfId="0" applyNumberFormat="1" applyFont="1" applyFill="1" applyBorder="1" applyAlignment="1">
      <alignment horizontal="center" vertical="center" wrapText="1"/>
    </xf>
    <xf numFmtId="49" fontId="58" fillId="42" borderId="39" xfId="0" applyNumberFormat="1" applyFont="1" applyFill="1" applyBorder="1" applyAlignment="1">
      <alignment horizontal="center" vertical="center" wrapText="1"/>
    </xf>
    <xf numFmtId="0" fontId="156" fillId="0" borderId="39" xfId="0" applyFont="1" applyBorder="1" applyAlignment="1">
      <alignment horizontal="center" vertical="center" wrapText="1"/>
    </xf>
    <xf numFmtId="49" fontId="156" fillId="4" borderId="39" xfId="0" applyNumberFormat="1" applyFont="1" applyFill="1" applyBorder="1" applyAlignment="1">
      <alignment horizontal="center" vertical="center" wrapText="1"/>
    </xf>
    <xf numFmtId="0" fontId="28" fillId="0" borderId="39" xfId="0" applyFont="1" applyBorder="1" applyAlignment="1">
      <alignment horizontal="center" vertical="center"/>
    </xf>
    <xf numFmtId="0" fontId="31" fillId="4" borderId="38" xfId="0" applyFont="1" applyFill="1" applyBorder="1" applyAlignment="1">
      <alignment horizontal="left" vertical="center"/>
    </xf>
    <xf numFmtId="0" fontId="58" fillId="10" borderId="41" xfId="0" applyFont="1" applyFill="1" applyBorder="1" applyAlignment="1">
      <alignment horizontal="center" vertical="center"/>
    </xf>
    <xf numFmtId="0" fontId="58" fillId="10" borderId="41" xfId="0" applyFont="1" applyFill="1" applyBorder="1" applyAlignment="1">
      <alignment horizontal="center" vertical="center" wrapText="1"/>
    </xf>
    <xf numFmtId="165" fontId="146" fillId="10" borderId="51" xfId="4" applyNumberFormat="1" applyFont="1" applyFill="1" applyBorder="1" applyAlignment="1" applyProtection="1">
      <alignment horizontal="center"/>
    </xf>
    <xf numFmtId="0" fontId="58" fillId="4" borderId="38" xfId="0" applyFont="1" applyFill="1" applyBorder="1" applyAlignment="1">
      <alignment horizontal="center" vertical="center"/>
    </xf>
    <xf numFmtId="0" fontId="51" fillId="4" borderId="53" xfId="0" applyFont="1" applyFill="1" applyBorder="1" applyAlignment="1">
      <alignment horizontal="center"/>
    </xf>
    <xf numFmtId="0" fontId="51" fillId="4" borderId="70" xfId="0" applyFont="1" applyFill="1" applyBorder="1" applyAlignment="1">
      <alignment horizontal="center"/>
    </xf>
    <xf numFmtId="2" fontId="33" fillId="4" borderId="38" xfId="0" applyNumberFormat="1" applyFont="1" applyFill="1" applyBorder="1" applyAlignment="1">
      <alignment horizontal="center"/>
    </xf>
    <xf numFmtId="2" fontId="33" fillId="4" borderId="104" xfId="0" applyNumberFormat="1" applyFont="1" applyFill="1" applyBorder="1" applyAlignment="1">
      <alignment horizontal="center"/>
    </xf>
    <xf numFmtId="2" fontId="33" fillId="4" borderId="106" xfId="0" applyNumberFormat="1" applyFont="1" applyFill="1" applyBorder="1" applyAlignment="1">
      <alignment horizontal="center"/>
    </xf>
    <xf numFmtId="2" fontId="33" fillId="4" borderId="107" xfId="0" applyNumberFormat="1" applyFont="1" applyFill="1" applyBorder="1" applyAlignment="1">
      <alignment horizontal="center"/>
    </xf>
    <xf numFmtId="0" fontId="51" fillId="4" borderId="169" xfId="0" applyFont="1" applyFill="1" applyBorder="1" applyAlignment="1">
      <alignment horizontal="center"/>
    </xf>
    <xf numFmtId="0" fontId="51" fillId="4" borderId="61" xfId="0" applyFont="1" applyFill="1" applyBorder="1" applyAlignment="1">
      <alignment horizontal="center"/>
    </xf>
    <xf numFmtId="0" fontId="51" fillId="4" borderId="62" xfId="0" applyFont="1" applyFill="1" applyBorder="1" applyAlignment="1">
      <alignment horizontal="center"/>
    </xf>
    <xf numFmtId="0" fontId="51" fillId="4" borderId="63" xfId="0" applyFont="1" applyFill="1" applyBorder="1" applyAlignment="1">
      <alignment horizontal="center"/>
    </xf>
    <xf numFmtId="0" fontId="51" fillId="4" borderId="52" xfId="0" applyFont="1" applyFill="1" applyBorder="1" applyAlignment="1">
      <alignment horizontal="center"/>
    </xf>
    <xf numFmtId="0" fontId="51" fillId="4" borderId="69" xfId="0" applyFont="1" applyFill="1" applyBorder="1" applyAlignment="1">
      <alignment horizontal="center"/>
    </xf>
    <xf numFmtId="2" fontId="33" fillId="4" borderId="100" xfId="0" applyNumberFormat="1" applyFont="1" applyFill="1" applyBorder="1" applyAlignment="1">
      <alignment horizontal="center"/>
    </xf>
    <xf numFmtId="2" fontId="33" fillId="4" borderId="101" xfId="0" applyNumberFormat="1" applyFont="1" applyFill="1" applyBorder="1" applyAlignment="1">
      <alignment horizontal="center"/>
    </xf>
    <xf numFmtId="0" fontId="52" fillId="4" borderId="102" xfId="0" applyFont="1" applyFill="1" applyBorder="1" applyAlignment="1">
      <alignment horizontal="center"/>
    </xf>
    <xf numFmtId="0" fontId="52" fillId="4" borderId="38" xfId="0" applyFont="1" applyFill="1" applyBorder="1" applyAlignment="1">
      <alignment horizontal="center"/>
    </xf>
    <xf numFmtId="0" fontId="52" fillId="4" borderId="60" xfId="0" applyFont="1" applyFill="1" applyBorder="1" applyAlignment="1">
      <alignment horizontal="center"/>
    </xf>
    <xf numFmtId="0" fontId="52" fillId="4" borderId="100" xfId="0" applyFont="1" applyFill="1" applyBorder="1" applyAlignment="1">
      <alignment horizontal="center"/>
    </xf>
    <xf numFmtId="0" fontId="51" fillId="4" borderId="58" xfId="0" applyFont="1" applyFill="1" applyBorder="1" applyAlignment="1">
      <alignment horizontal="center"/>
    </xf>
    <xf numFmtId="0" fontId="52" fillId="4" borderId="100" xfId="0" applyFont="1" applyFill="1" applyBorder="1" applyAlignment="1">
      <alignment horizontal="center" wrapText="1"/>
    </xf>
    <xf numFmtId="0" fontId="52" fillId="4" borderId="106" xfId="0" applyFont="1" applyFill="1" applyBorder="1" applyAlignment="1">
      <alignment horizontal="center" wrapText="1"/>
    </xf>
    <xf numFmtId="0" fontId="52" fillId="4" borderId="137" xfId="0" applyFont="1" applyFill="1" applyBorder="1" applyAlignment="1">
      <alignment horizontal="center"/>
    </xf>
    <xf numFmtId="0" fontId="52" fillId="4" borderId="106" xfId="0" applyFont="1" applyFill="1" applyBorder="1" applyAlignment="1">
      <alignment horizontal="center"/>
    </xf>
    <xf numFmtId="0" fontId="58" fillId="4" borderId="168" xfId="0" applyFont="1" applyFill="1" applyBorder="1" applyAlignment="1">
      <alignment horizontal="center" vertical="center"/>
    </xf>
    <xf numFmtId="0" fontId="146" fillId="4" borderId="171" xfId="0" applyFont="1" applyFill="1" applyBorder="1" applyAlignment="1">
      <alignment horizontal="center" vertical="center"/>
    </xf>
    <xf numFmtId="0" fontId="58" fillId="4" borderId="168" xfId="0" applyFont="1" applyFill="1" applyBorder="1" applyAlignment="1">
      <alignment horizontal="center" vertical="center" wrapText="1"/>
    </xf>
    <xf numFmtId="165" fontId="50" fillId="4" borderId="0" xfId="4" applyNumberFormat="1" applyFont="1" applyFill="1" applyBorder="1" applyAlignment="1" applyProtection="1">
      <alignment horizontal="center"/>
    </xf>
    <xf numFmtId="165" fontId="106" fillId="4" borderId="0" xfId="4" applyNumberFormat="1" applyFont="1" applyFill="1" applyBorder="1" applyAlignment="1" applyProtection="1">
      <alignment horizontal="center"/>
    </xf>
    <xf numFmtId="0" fontId="58" fillId="4" borderId="75" xfId="0" applyFont="1" applyFill="1" applyBorder="1" applyAlignment="1">
      <alignment horizontal="center" vertical="center"/>
    </xf>
    <xf numFmtId="165" fontId="58" fillId="4" borderId="75" xfId="4" applyNumberFormat="1" applyFont="1" applyFill="1" applyBorder="1" applyAlignment="1" applyProtection="1">
      <alignment horizontal="center" vertical="center"/>
    </xf>
    <xf numFmtId="165" fontId="58" fillId="0" borderId="75" xfId="4" applyNumberFormat="1" applyFont="1" applyFill="1" applyBorder="1" applyAlignment="1" applyProtection="1">
      <alignment horizontal="center" vertical="center"/>
    </xf>
    <xf numFmtId="3" fontId="58" fillId="4" borderId="75" xfId="0" applyNumberFormat="1" applyFont="1" applyFill="1" applyBorder="1" applyAlignment="1">
      <alignment horizontal="center" vertical="center"/>
    </xf>
    <xf numFmtId="165" fontId="35" fillId="4" borderId="0" xfId="4" applyNumberFormat="1" applyFont="1" applyFill="1" applyBorder="1" applyAlignment="1" applyProtection="1">
      <alignment horizontal="center"/>
    </xf>
    <xf numFmtId="0" fontId="62" fillId="4" borderId="77" xfId="0" applyFont="1" applyFill="1" applyBorder="1" applyAlignment="1">
      <alignment horizontal="center"/>
    </xf>
    <xf numFmtId="0" fontId="64" fillId="4" borderId="68" xfId="0" applyFont="1" applyFill="1" applyBorder="1" applyAlignment="1">
      <alignment horizontal="left"/>
    </xf>
    <xf numFmtId="165" fontId="52" fillId="4" borderId="82" xfId="4" applyNumberFormat="1" applyFont="1" applyFill="1" applyBorder="1" applyAlignment="1" applyProtection="1">
      <alignment horizontal="center"/>
    </xf>
    <xf numFmtId="0" fontId="56" fillId="4" borderId="82" xfId="0" applyFont="1" applyFill="1" applyBorder="1" applyAlignment="1">
      <alignment horizontal="center"/>
    </xf>
    <xf numFmtId="0" fontId="67" fillId="4" borderId="82" xfId="0" applyFont="1" applyFill="1" applyBorder="1" applyAlignment="1">
      <alignment horizontal="center"/>
    </xf>
    <xf numFmtId="165" fontId="36" fillId="4" borderId="82" xfId="4" applyNumberFormat="1" applyFont="1" applyFill="1" applyBorder="1" applyAlignment="1" applyProtection="1">
      <alignment horizontal="center"/>
    </xf>
    <xf numFmtId="165" fontId="52" fillId="4" borderId="82" xfId="4" applyNumberFormat="1" applyFont="1" applyFill="1" applyBorder="1" applyAlignment="1" applyProtection="1">
      <alignment horizontal="center" wrapText="1"/>
    </xf>
    <xf numFmtId="0" fontId="58" fillId="4" borderId="68" xfId="0" applyFont="1" applyFill="1" applyBorder="1" applyAlignment="1">
      <alignment horizontal="left"/>
    </xf>
    <xf numFmtId="0" fontId="64" fillId="4" borderId="68" xfId="0" applyFont="1" applyFill="1" applyBorder="1" applyAlignment="1">
      <alignment horizontal="left" wrapText="1"/>
    </xf>
    <xf numFmtId="0" fontId="64" fillId="4" borderId="88" xfId="0" applyFont="1" applyFill="1" applyBorder="1" applyAlignment="1">
      <alignment horizontal="left"/>
    </xf>
    <xf numFmtId="165" fontId="52" fillId="4" borderId="80" xfId="4" applyNumberFormat="1" applyFont="1" applyFill="1" applyBorder="1" applyAlignment="1" applyProtection="1">
      <alignment horizontal="center"/>
    </xf>
    <xf numFmtId="2" fontId="64" fillId="4" borderId="68" xfId="0" applyNumberFormat="1" applyFont="1" applyFill="1" applyBorder="1" applyAlignment="1">
      <alignment horizontal="left"/>
    </xf>
    <xf numFmtId="165" fontId="29" fillId="4" borderId="82" xfId="4" applyNumberFormat="1" applyFont="1" applyFill="1" applyBorder="1" applyAlignment="1" applyProtection="1">
      <alignment horizontal="right"/>
    </xf>
    <xf numFmtId="0" fontId="29" fillId="4" borderId="82" xfId="0" applyFont="1" applyFill="1" applyBorder="1" applyAlignment="1">
      <alignment horizontal="right"/>
    </xf>
    <xf numFmtId="0" fontId="29" fillId="4" borderId="89" xfId="0" applyFont="1" applyFill="1" applyBorder="1" applyAlignment="1">
      <alignment horizontal="right"/>
    </xf>
    <xf numFmtId="0" fontId="56" fillId="4" borderId="68" xfId="0" applyFont="1" applyFill="1" applyBorder="1" applyAlignment="1">
      <alignment horizontal="center"/>
    </xf>
    <xf numFmtId="165" fontId="57" fillId="4" borderId="82" xfId="4" applyNumberFormat="1" applyFont="1" applyFill="1" applyBorder="1" applyAlignment="1" applyProtection="1">
      <alignment horizontal="center"/>
    </xf>
    <xf numFmtId="164" fontId="13" fillId="0" borderId="0" xfId="0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/>
    </xf>
    <xf numFmtId="164" fontId="21" fillId="0" borderId="5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17" fillId="0" borderId="23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18" fillId="0" borderId="0" xfId="0" applyFont="1" applyBorder="1" applyAlignment="1">
      <alignment horizontal="center" wrapText="1"/>
    </xf>
    <xf numFmtId="165" fontId="51" fillId="0" borderId="0" xfId="4" applyNumberFormat="1" applyFont="1" applyFill="1" applyBorder="1" applyAlignment="1" applyProtection="1">
      <alignment horizontal="center" wrapText="1"/>
    </xf>
    <xf numFmtId="165" fontId="38" fillId="20" borderId="0" xfId="4" applyNumberFormat="1" applyFont="1" applyFill="1" applyBorder="1" applyAlignment="1" applyProtection="1">
      <alignment horizontal="center"/>
    </xf>
    <xf numFmtId="0" fontId="57" fillId="20" borderId="114" xfId="0" applyFont="1" applyFill="1" applyBorder="1" applyAlignment="1">
      <alignment horizontal="center" vertical="center" wrapText="1"/>
    </xf>
    <xf numFmtId="0" fontId="57" fillId="20" borderId="184" xfId="0" applyFont="1" applyFill="1" applyBorder="1" applyAlignment="1">
      <alignment horizontal="center" vertical="center" wrapText="1"/>
    </xf>
    <xf numFmtId="0" fontId="57" fillId="20" borderId="116" xfId="0" applyFont="1" applyFill="1" applyBorder="1" applyAlignment="1">
      <alignment horizontal="center" vertical="center" wrapText="1"/>
    </xf>
    <xf numFmtId="0" fontId="57" fillId="20" borderId="97" xfId="0" applyFont="1" applyFill="1" applyBorder="1" applyAlignment="1">
      <alignment horizontal="center" vertical="center" wrapText="1"/>
    </xf>
    <xf numFmtId="165" fontId="57" fillId="20" borderId="116" xfId="4" applyNumberFormat="1" applyFont="1" applyFill="1" applyBorder="1" applyAlignment="1" applyProtection="1">
      <alignment horizontal="center" vertical="center" wrapText="1"/>
    </xf>
    <xf numFmtId="165" fontId="57" fillId="20" borderId="97" xfId="4" applyNumberFormat="1" applyFont="1" applyFill="1" applyBorder="1" applyAlignment="1" applyProtection="1">
      <alignment horizontal="center" vertical="center" wrapText="1"/>
    </xf>
    <xf numFmtId="165" fontId="57" fillId="28" borderId="116" xfId="4" applyNumberFormat="1" applyFont="1" applyFill="1" applyBorder="1" applyAlignment="1" applyProtection="1">
      <alignment horizontal="center" vertical="center" wrapText="1"/>
    </xf>
    <xf numFmtId="165" fontId="57" fillId="28" borderId="97" xfId="4" applyNumberFormat="1" applyFont="1" applyFill="1" applyBorder="1" applyAlignment="1" applyProtection="1">
      <alignment horizontal="center" vertical="center" wrapText="1"/>
    </xf>
    <xf numFmtId="165" fontId="57" fillId="20" borderId="118" xfId="4" applyNumberFormat="1" applyFont="1" applyFill="1" applyBorder="1" applyAlignment="1" applyProtection="1">
      <alignment horizontal="center" vertical="center" wrapText="1"/>
    </xf>
    <xf numFmtId="165" fontId="57" fillId="20" borderId="185" xfId="4" applyNumberFormat="1" applyFont="1" applyFill="1" applyBorder="1" applyAlignment="1" applyProtection="1">
      <alignment horizontal="center" vertical="center" wrapText="1"/>
    </xf>
    <xf numFmtId="0" fontId="41" fillId="20" borderId="48" xfId="0" applyFont="1" applyFill="1" applyBorder="1" applyAlignment="1">
      <alignment horizontal="left" wrapText="1"/>
    </xf>
    <xf numFmtId="0" fontId="41" fillId="20" borderId="99" xfId="0" applyFont="1" applyFill="1" applyBorder="1" applyAlignment="1">
      <alignment horizontal="left" wrapText="1"/>
    </xf>
    <xf numFmtId="165" fontId="79" fillId="20" borderId="99" xfId="4" applyNumberFormat="1" applyFont="1" applyFill="1" applyBorder="1" applyAlignment="1" applyProtection="1">
      <alignment horizontal="center" vertical="center" wrapText="1"/>
    </xf>
    <xf numFmtId="165" fontId="79" fillId="20" borderId="166" xfId="4" applyNumberFormat="1" applyFont="1" applyFill="1" applyBorder="1" applyAlignment="1" applyProtection="1">
      <alignment horizontal="center" vertical="center" wrapText="1"/>
    </xf>
    <xf numFmtId="0" fontId="41" fillId="20" borderId="129" xfId="0" applyFont="1" applyFill="1" applyBorder="1" applyAlignment="1">
      <alignment horizontal="left" wrapText="1"/>
    </xf>
    <xf numFmtId="0" fontId="41" fillId="20" borderId="100" xfId="0" applyFont="1" applyFill="1" applyBorder="1" applyAlignment="1">
      <alignment horizontal="left" wrapText="1"/>
    </xf>
    <xf numFmtId="165" fontId="79" fillId="20" borderId="100" xfId="4" applyNumberFormat="1" applyFont="1" applyFill="1" applyBorder="1" applyAlignment="1" applyProtection="1">
      <alignment horizontal="center" vertical="center" wrapText="1"/>
    </xf>
    <xf numFmtId="165" fontId="79" fillId="20" borderId="132" xfId="4" applyNumberFormat="1" applyFont="1" applyFill="1" applyBorder="1" applyAlignment="1" applyProtection="1">
      <alignment horizontal="center" vertical="center" wrapText="1"/>
    </xf>
    <xf numFmtId="165" fontId="79" fillId="20" borderId="99" xfId="4" applyNumberFormat="1" applyFont="1" applyFill="1" applyBorder="1" applyAlignment="1" applyProtection="1">
      <alignment horizontal="center" vertical="center"/>
    </xf>
    <xf numFmtId="165" fontId="79" fillId="20" borderId="166" xfId="4" applyNumberFormat="1" applyFont="1" applyFill="1" applyBorder="1" applyAlignment="1" applyProtection="1">
      <alignment horizontal="center" vertical="center"/>
    </xf>
    <xf numFmtId="0" fontId="41" fillId="20" borderId="120" xfId="0" applyFont="1" applyFill="1" applyBorder="1" applyAlignment="1">
      <alignment horizontal="left" wrapText="1"/>
    </xf>
    <xf numFmtId="0" fontId="41" fillId="20" borderId="121" xfId="0" applyFont="1" applyFill="1" applyBorder="1" applyAlignment="1">
      <alignment horizontal="left" wrapText="1"/>
    </xf>
    <xf numFmtId="165" fontId="79" fillId="20" borderId="121" xfId="4" applyNumberFormat="1" applyFont="1" applyFill="1" applyBorder="1" applyAlignment="1" applyProtection="1">
      <alignment horizontal="center" wrapText="1"/>
    </xf>
    <xf numFmtId="165" fontId="79" fillId="20" borderId="122" xfId="4" applyNumberFormat="1" applyFont="1" applyFill="1" applyBorder="1" applyAlignment="1" applyProtection="1">
      <alignment horizontal="center" wrapText="1"/>
    </xf>
    <xf numFmtId="0" fontId="41" fillId="20" borderId="47" xfId="0" applyFont="1" applyFill="1" applyBorder="1" applyAlignment="1">
      <alignment horizontal="left" wrapText="1"/>
    </xf>
    <xf numFmtId="0" fontId="41" fillId="20" borderId="44" xfId="0" applyFont="1" applyFill="1" applyBorder="1" applyAlignment="1">
      <alignment horizontal="left" wrapText="1"/>
    </xf>
    <xf numFmtId="165" fontId="79" fillId="20" borderId="44" xfId="4" applyNumberFormat="1" applyFont="1" applyFill="1" applyBorder="1" applyAlignment="1" applyProtection="1">
      <alignment horizontal="center" vertical="center" wrapText="1"/>
    </xf>
    <xf numFmtId="165" fontId="79" fillId="20" borderId="158" xfId="4" applyNumberFormat="1" applyFont="1" applyFill="1" applyBorder="1" applyAlignment="1" applyProtection="1">
      <alignment horizontal="center" vertical="center" wrapText="1"/>
    </xf>
    <xf numFmtId="0" fontId="57" fillId="20" borderId="116" xfId="0" applyFont="1" applyFill="1" applyBorder="1" applyAlignment="1" applyProtection="1">
      <alignment horizontal="center" vertical="center" wrapText="1"/>
    </xf>
    <xf numFmtId="0" fontId="57" fillId="20" borderId="97" xfId="0" applyFont="1" applyFill="1" applyBorder="1" applyAlignment="1" applyProtection="1">
      <alignment horizontal="center" vertical="center" wrapText="1"/>
    </xf>
    <xf numFmtId="165" fontId="79" fillId="14" borderId="99" xfId="4" applyNumberFormat="1" applyFont="1" applyFill="1" applyBorder="1" applyAlignment="1" applyProtection="1">
      <alignment horizontal="center" vertical="center" wrapText="1"/>
    </xf>
    <xf numFmtId="165" fontId="79" fillId="14" borderId="166" xfId="4" applyNumberFormat="1" applyFont="1" applyFill="1" applyBorder="1" applyAlignment="1" applyProtection="1">
      <alignment horizontal="center" vertical="center" wrapText="1"/>
    </xf>
    <xf numFmtId="0" fontId="79" fillId="14" borderId="157" xfId="0" applyFont="1" applyFill="1" applyBorder="1" applyAlignment="1">
      <alignment horizontal="left" vertical="center" wrapText="1"/>
    </xf>
    <xf numFmtId="0" fontId="79" fillId="14" borderId="110" xfId="0" applyFont="1" applyFill="1" applyBorder="1" applyAlignment="1">
      <alignment horizontal="left" vertical="center" wrapText="1"/>
    </xf>
    <xf numFmtId="165" fontId="79" fillId="14" borderId="110" xfId="4" applyNumberFormat="1" applyFont="1" applyFill="1" applyBorder="1" applyAlignment="1" applyProtection="1">
      <alignment horizontal="center" vertical="center" wrapText="1"/>
    </xf>
    <xf numFmtId="165" fontId="79" fillId="14" borderId="123" xfId="4" applyNumberFormat="1" applyFont="1" applyFill="1" applyBorder="1" applyAlignment="1" applyProtection="1">
      <alignment horizontal="center" vertical="center" wrapText="1"/>
    </xf>
    <xf numFmtId="164" fontId="79" fillId="24" borderId="99" xfId="0" applyNumberFormat="1" applyFont="1" applyFill="1" applyBorder="1" applyAlignment="1" applyProtection="1">
      <alignment horizontal="center" vertical="center" wrapText="1"/>
    </xf>
    <xf numFmtId="165" fontId="79" fillId="36" borderId="38" xfId="4" applyNumberFormat="1" applyFont="1" applyFill="1" applyBorder="1" applyAlignment="1" applyProtection="1">
      <alignment horizontal="center" vertical="center" wrapText="1"/>
    </xf>
    <xf numFmtId="165" fontId="79" fillId="36" borderId="134" xfId="4" applyNumberFormat="1" applyFont="1" applyFill="1" applyBorder="1" applyAlignment="1" applyProtection="1">
      <alignment horizontal="center" vertical="center" wrapText="1"/>
    </xf>
    <xf numFmtId="164" fontId="52" fillId="35" borderId="190" xfId="4" applyNumberFormat="1" applyFont="1" applyFill="1" applyBorder="1" applyAlignment="1" applyProtection="1">
      <alignment horizontal="center" vertical="center" wrapText="1"/>
    </xf>
    <xf numFmtId="164" fontId="52" fillId="35" borderId="57" xfId="4" applyNumberFormat="1" applyFont="1" applyFill="1" applyBorder="1" applyAlignment="1" applyProtection="1">
      <alignment horizontal="center" vertical="center" wrapText="1"/>
    </xf>
    <xf numFmtId="0" fontId="79" fillId="20" borderId="110" xfId="0" applyFont="1" applyFill="1" applyBorder="1" applyAlignment="1">
      <alignment horizontal="center" vertical="center" wrapText="1"/>
    </xf>
    <xf numFmtId="164" fontId="79" fillId="22" borderId="99" xfId="0" applyNumberFormat="1" applyFont="1" applyFill="1" applyBorder="1" applyAlignment="1" applyProtection="1">
      <alignment horizontal="center" vertical="center" wrapText="1"/>
    </xf>
    <xf numFmtId="0" fontId="43" fillId="36" borderId="145" xfId="0" applyFont="1" applyFill="1" applyBorder="1" applyAlignment="1">
      <alignment horizontal="left" wrapText="1"/>
    </xf>
    <xf numFmtId="0" fontId="43" fillId="36" borderId="57" xfId="0" applyFont="1" applyFill="1" applyBorder="1" applyAlignment="1">
      <alignment horizontal="left" wrapText="1"/>
    </xf>
    <xf numFmtId="164" fontId="52" fillId="26" borderId="57" xfId="4" applyNumberFormat="1" applyFont="1" applyFill="1" applyBorder="1" applyAlignment="1" applyProtection="1">
      <alignment horizontal="center" vertical="center" wrapText="1"/>
    </xf>
    <xf numFmtId="164" fontId="55" fillId="35" borderId="110" xfId="0" applyNumberFormat="1" applyFont="1" applyFill="1" applyBorder="1" applyAlignment="1" applyProtection="1">
      <alignment horizontal="center" vertical="center" wrapText="1"/>
    </xf>
    <xf numFmtId="0" fontId="79" fillId="36" borderId="37" xfId="0" applyFont="1" applyFill="1" applyBorder="1" applyAlignment="1">
      <alignment horizontal="left" vertical="center" wrapText="1"/>
    </xf>
    <xf numFmtId="0" fontId="79" fillId="36" borderId="38" xfId="0" applyFont="1" applyFill="1" applyBorder="1" applyAlignment="1">
      <alignment horizontal="left" vertical="center" wrapText="1"/>
    </xf>
    <xf numFmtId="164" fontId="52" fillId="26" borderId="38" xfId="4" applyNumberFormat="1" applyFont="1" applyFill="1" applyBorder="1" applyAlignment="1" applyProtection="1">
      <alignment horizontal="center" vertical="center" wrapText="1"/>
    </xf>
    <xf numFmtId="0" fontId="117" fillId="0" borderId="0" xfId="0" applyFont="1" applyBorder="1" applyAlignment="1">
      <alignment horizontal="center" wrapText="1"/>
    </xf>
    <xf numFmtId="165" fontId="134" fillId="4" borderId="0" xfId="4" applyNumberFormat="1" applyFont="1" applyFill="1" applyBorder="1" applyAlignment="1" applyProtection="1">
      <alignment horizontal="center"/>
    </xf>
    <xf numFmtId="0" fontId="43" fillId="20" borderId="47" xfId="0" applyFont="1" applyFill="1" applyBorder="1" applyAlignment="1">
      <alignment horizontal="left" wrapText="1"/>
    </xf>
    <xf numFmtId="0" fontId="43" fillId="20" borderId="44" xfId="0" applyFont="1" applyFill="1" applyBorder="1" applyAlignment="1">
      <alignment horizontal="left" wrapText="1"/>
    </xf>
    <xf numFmtId="165" fontId="75" fillId="20" borderId="44" xfId="4" applyNumberFormat="1" applyFont="1" applyFill="1" applyBorder="1" applyAlignment="1" applyProtection="1">
      <alignment horizontal="center" vertical="center" wrapText="1"/>
    </xf>
    <xf numFmtId="165" fontId="75" fillId="20" borderId="158" xfId="4" applyNumberFormat="1" applyFont="1" applyFill="1" applyBorder="1" applyAlignment="1" applyProtection="1">
      <alignment horizontal="center" vertical="center" wrapText="1"/>
    </xf>
    <xf numFmtId="0" fontId="41" fillId="20" borderId="157" xfId="0" applyFont="1" applyFill="1" applyBorder="1" applyAlignment="1">
      <alignment horizontal="left" wrapText="1"/>
    </xf>
    <xf numFmtId="0" fontId="41" fillId="20" borderId="110" xfId="0" applyFont="1" applyFill="1" applyBorder="1" applyAlignment="1">
      <alignment horizontal="left" wrapText="1"/>
    </xf>
    <xf numFmtId="165" fontId="79" fillId="20" borderId="110" xfId="4" applyNumberFormat="1" applyFont="1" applyFill="1" applyBorder="1" applyAlignment="1" applyProtection="1">
      <alignment horizontal="center" vertical="center" wrapText="1"/>
    </xf>
    <xf numFmtId="165" fontId="79" fillId="20" borderId="123" xfId="4" applyNumberFormat="1" applyFont="1" applyFill="1" applyBorder="1" applyAlignment="1" applyProtection="1">
      <alignment horizontal="center" vertical="center" wrapText="1"/>
    </xf>
    <xf numFmtId="164" fontId="79" fillId="22" borderId="110" xfId="0" applyNumberFormat="1" applyFont="1" applyFill="1" applyBorder="1" applyAlignment="1" applyProtection="1">
      <alignment horizontal="center" vertical="center" wrapText="1"/>
    </xf>
    <xf numFmtId="164" fontId="52" fillId="26" borderId="38" xfId="0" applyNumberFormat="1" applyFont="1" applyFill="1" applyBorder="1" applyAlignment="1" applyProtection="1">
      <alignment horizontal="center" vertical="center" wrapText="1"/>
    </xf>
    <xf numFmtId="0" fontId="76" fillId="4" borderId="38" xfId="0" applyFont="1" applyFill="1" applyBorder="1" applyAlignment="1">
      <alignment horizontal="left" vertical="center" wrapText="1"/>
    </xf>
    <xf numFmtId="165" fontId="132" fillId="0" borderId="102" xfId="4" applyNumberFormat="1" applyFont="1" applyFill="1" applyBorder="1" applyAlignment="1" applyProtection="1">
      <alignment horizontal="center" wrapText="1"/>
    </xf>
    <xf numFmtId="165" fontId="132" fillId="0" borderId="38" xfId="4" applyNumberFormat="1" applyFont="1" applyFill="1" applyBorder="1" applyAlignment="1" applyProtection="1">
      <alignment horizontal="center" wrapText="1"/>
    </xf>
    <xf numFmtId="0" fontId="133" fillId="4" borderId="112" xfId="0" applyFont="1" applyFill="1" applyBorder="1" applyAlignment="1">
      <alignment horizontal="center" wrapText="1"/>
    </xf>
    <xf numFmtId="0" fontId="133" fillId="4" borderId="45" xfId="0" applyFont="1" applyFill="1" applyBorder="1" applyAlignment="1">
      <alignment horizontal="center" wrapText="1"/>
    </xf>
    <xf numFmtId="0" fontId="57" fillId="4" borderId="38" xfId="0" applyFont="1" applyFill="1" applyBorder="1" applyAlignment="1">
      <alignment horizontal="left" vertical="center" wrapText="1"/>
    </xf>
    <xf numFmtId="165" fontId="115" fillId="0" borderId="102" xfId="4" applyNumberFormat="1" applyFont="1" applyFill="1" applyBorder="1" applyAlignment="1" applyProtection="1">
      <alignment horizontal="center" wrapText="1"/>
    </xf>
    <xf numFmtId="165" fontId="115" fillId="0" borderId="38" xfId="4" applyNumberFormat="1" applyFont="1" applyFill="1" applyBorder="1" applyAlignment="1" applyProtection="1">
      <alignment horizontal="center" wrapText="1"/>
    </xf>
    <xf numFmtId="0" fontId="76" fillId="14" borderId="38" xfId="0" applyFont="1" applyFill="1" applyBorder="1" applyAlignment="1">
      <alignment horizontal="left" vertical="center" wrapText="1"/>
    </xf>
    <xf numFmtId="0" fontId="76" fillId="4" borderId="39" xfId="0" applyFont="1" applyFill="1" applyBorder="1" applyAlignment="1">
      <alignment horizontal="left" vertical="center" wrapText="1"/>
    </xf>
    <xf numFmtId="0" fontId="62" fillId="4" borderId="45" xfId="0" applyFont="1" applyFill="1" applyBorder="1" applyAlignment="1">
      <alignment horizontal="left" vertical="center" wrapText="1"/>
    </xf>
    <xf numFmtId="0" fontId="114" fillId="4" borderId="102" xfId="0" applyFont="1" applyFill="1" applyBorder="1" applyAlignment="1">
      <alignment horizontal="center" wrapText="1"/>
    </xf>
    <xf numFmtId="0" fontId="114" fillId="4" borderId="38" xfId="0" applyFont="1" applyFill="1" applyBorder="1" applyAlignment="1">
      <alignment horizontal="center" wrapText="1"/>
    </xf>
    <xf numFmtId="0" fontId="76" fillId="4" borderId="41" xfId="0" applyFont="1" applyFill="1" applyBorder="1" applyAlignment="1">
      <alignment horizontal="left" vertical="center"/>
    </xf>
    <xf numFmtId="0" fontId="76" fillId="4" borderId="43" xfId="0" applyFont="1" applyFill="1" applyBorder="1" applyAlignment="1">
      <alignment horizontal="left" vertical="center"/>
    </xf>
    <xf numFmtId="165" fontId="135" fillId="0" borderId="169" xfId="4" applyNumberFormat="1" applyFont="1" applyFill="1" applyBorder="1" applyAlignment="1" applyProtection="1">
      <alignment horizontal="center"/>
    </xf>
    <xf numFmtId="165" fontId="135" fillId="0" borderId="61" xfId="4" applyNumberFormat="1" applyFont="1" applyFill="1" applyBorder="1" applyAlignment="1" applyProtection="1">
      <alignment horizontal="center"/>
    </xf>
    <xf numFmtId="165" fontId="135" fillId="0" borderId="62" xfId="4" applyNumberFormat="1" applyFont="1" applyFill="1" applyBorder="1" applyAlignment="1" applyProtection="1">
      <alignment horizontal="center"/>
    </xf>
    <xf numFmtId="165" fontId="135" fillId="0" borderId="119" xfId="4" applyNumberFormat="1" applyFont="1" applyFill="1" applyBorder="1" applyAlignment="1" applyProtection="1">
      <alignment horizontal="center"/>
    </xf>
    <xf numFmtId="165" fontId="135" fillId="0" borderId="0" xfId="4" applyNumberFormat="1" applyFont="1" applyFill="1" applyBorder="1" applyAlignment="1" applyProtection="1">
      <alignment horizontal="center"/>
    </xf>
    <xf numFmtId="165" fontId="135" fillId="0" borderId="141" xfId="4" applyNumberFormat="1" applyFont="1" applyFill="1" applyBorder="1" applyAlignment="1" applyProtection="1">
      <alignment horizontal="center"/>
    </xf>
    <xf numFmtId="170" fontId="70" fillId="4" borderId="0" xfId="0" applyNumberFormat="1" applyFont="1" applyFill="1" applyBorder="1" applyAlignment="1">
      <alignment horizontal="center"/>
    </xf>
    <xf numFmtId="0" fontId="57" fillId="4" borderId="35" xfId="0" applyFont="1" applyFill="1" applyBorder="1" applyAlignment="1">
      <alignment horizontal="center" vertical="center"/>
    </xf>
    <xf numFmtId="0" fontId="57" fillId="4" borderId="38" xfId="0" applyFont="1" applyFill="1" applyBorder="1" applyAlignment="1">
      <alignment horizontal="center" vertical="center"/>
    </xf>
    <xf numFmtId="0" fontId="41" fillId="4" borderId="35" xfId="0" applyFont="1" applyFill="1" applyBorder="1" applyAlignment="1">
      <alignment horizontal="center" vertical="center"/>
    </xf>
    <xf numFmtId="0" fontId="41" fillId="4" borderId="38" xfId="0" applyFont="1" applyFill="1" applyBorder="1" applyAlignment="1">
      <alignment horizontal="center" vertical="center"/>
    </xf>
    <xf numFmtId="165" fontId="41" fillId="4" borderId="35" xfId="4" applyNumberFormat="1" applyFont="1" applyFill="1" applyBorder="1" applyAlignment="1" applyProtection="1">
      <alignment horizontal="center" vertical="center"/>
    </xf>
    <xf numFmtId="165" fontId="41" fillId="4" borderId="38" xfId="4" applyNumberFormat="1" applyFont="1" applyFill="1" applyBorder="1" applyAlignment="1" applyProtection="1">
      <alignment horizontal="center" vertical="center"/>
    </xf>
    <xf numFmtId="3" fontId="41" fillId="4" borderId="35" xfId="0" applyNumberFormat="1" applyFont="1" applyFill="1" applyBorder="1" applyAlignment="1">
      <alignment horizontal="center" vertical="center"/>
    </xf>
    <xf numFmtId="3" fontId="41" fillId="4" borderId="216" xfId="0" applyNumberFormat="1" applyFont="1" applyFill="1" applyBorder="1" applyAlignment="1">
      <alignment horizontal="center" vertical="center"/>
    </xf>
    <xf numFmtId="0" fontId="74" fillId="4" borderId="215" xfId="0" applyFont="1" applyFill="1" applyBorder="1" applyAlignment="1">
      <alignment horizontal="center" vertical="center"/>
    </xf>
    <xf numFmtId="0" fontId="74" fillId="4" borderId="102" xfId="0" applyFont="1" applyFill="1" applyBorder="1" applyAlignment="1">
      <alignment horizontal="center" vertical="center"/>
    </xf>
    <xf numFmtId="165" fontId="131" fillId="0" borderId="112" xfId="4" applyNumberFormat="1" applyFont="1" applyFill="1" applyBorder="1" applyAlignment="1" applyProtection="1">
      <alignment horizontal="center" wrapText="1"/>
    </xf>
    <xf numFmtId="165" fontId="131" fillId="0" borderId="45" xfId="4" applyNumberFormat="1" applyFont="1" applyFill="1" applyBorder="1" applyAlignment="1" applyProtection="1">
      <alignment horizontal="center" wrapText="1"/>
    </xf>
    <xf numFmtId="165" fontId="76" fillId="4" borderId="38" xfId="4" applyNumberFormat="1" applyFont="1" applyFill="1" applyBorder="1" applyAlignment="1" applyProtection="1">
      <alignment horizontal="left" vertical="center" wrapText="1"/>
    </xf>
    <xf numFmtId="165" fontId="76" fillId="4" borderId="39" xfId="4" applyNumberFormat="1" applyFont="1" applyFill="1" applyBorder="1" applyAlignment="1" applyProtection="1">
      <alignment horizontal="left" vertical="center" wrapText="1"/>
    </xf>
    <xf numFmtId="165" fontId="115" fillId="4" borderId="112" xfId="4" applyNumberFormat="1" applyFont="1" applyFill="1" applyBorder="1" applyAlignment="1" applyProtection="1">
      <alignment horizontal="center" wrapText="1"/>
    </xf>
    <xf numFmtId="165" fontId="115" fillId="4" borderId="45" xfId="4" applyNumberFormat="1" applyFont="1" applyFill="1" applyBorder="1" applyAlignment="1" applyProtection="1">
      <alignment horizontal="center" wrapText="1"/>
    </xf>
    <xf numFmtId="0" fontId="131" fillId="4" borderId="102" xfId="0" applyFont="1" applyFill="1" applyBorder="1" applyAlignment="1">
      <alignment horizontal="center" wrapText="1"/>
    </xf>
    <xf numFmtId="0" fontId="131" fillId="4" borderId="38" xfId="0" applyFont="1" applyFill="1" applyBorder="1" applyAlignment="1">
      <alignment horizontal="center" wrapText="1"/>
    </xf>
    <xf numFmtId="0" fontId="42" fillId="4" borderId="38" xfId="0" applyFont="1" applyFill="1" applyBorder="1" applyAlignment="1">
      <alignment horizontal="center" wrapText="1"/>
    </xf>
    <xf numFmtId="0" fontId="42" fillId="4" borderId="112" xfId="0" applyFont="1" applyFill="1" applyBorder="1" applyAlignment="1">
      <alignment horizontal="center" wrapText="1"/>
    </xf>
    <xf numFmtId="0" fontId="42" fillId="4" borderId="45" xfId="0" applyFont="1" applyFill="1" applyBorder="1" applyAlignment="1">
      <alignment horizontal="center" wrapText="1"/>
    </xf>
    <xf numFmtId="165" fontId="71" fillId="4" borderId="102" xfId="0" applyNumberFormat="1" applyFont="1" applyFill="1" applyBorder="1" applyAlignment="1">
      <alignment horizontal="center"/>
    </xf>
    <xf numFmtId="165" fontId="57" fillId="4" borderId="38" xfId="4" applyNumberFormat="1" applyFont="1" applyFill="1" applyBorder="1" applyAlignment="1" applyProtection="1">
      <alignment horizontal="center" vertical="center" wrapText="1"/>
    </xf>
    <xf numFmtId="0" fontId="131" fillId="4" borderId="137" xfId="0" applyFont="1" applyFill="1" applyBorder="1" applyAlignment="1">
      <alignment horizontal="right" wrapText="1"/>
    </xf>
    <xf numFmtId="0" fontId="131" fillId="4" borderId="106" xfId="0" applyFont="1" applyFill="1" applyBorder="1" applyAlignment="1">
      <alignment horizontal="right" wrapText="1"/>
    </xf>
    <xf numFmtId="165" fontId="40" fillId="4" borderId="112" xfId="0" applyNumberFormat="1" applyFont="1" applyFill="1" applyBorder="1" applyAlignment="1">
      <alignment horizontal="center"/>
    </xf>
    <xf numFmtId="165" fontId="47" fillId="0" borderId="102" xfId="4" applyNumberFormat="1" applyFont="1" applyFill="1" applyBorder="1" applyAlignment="1" applyProtection="1">
      <alignment horizontal="center" wrapText="1"/>
    </xf>
    <xf numFmtId="165" fontId="47" fillId="0" borderId="38" xfId="4" applyNumberFormat="1" applyFont="1" applyFill="1" applyBorder="1" applyAlignment="1" applyProtection="1">
      <alignment horizontal="center" wrapText="1"/>
    </xf>
    <xf numFmtId="165" fontId="46" fillId="4" borderId="38" xfId="0" applyNumberFormat="1" applyFont="1" applyFill="1" applyBorder="1" applyAlignment="1">
      <alignment horizontal="center" wrapText="1"/>
    </xf>
    <xf numFmtId="165" fontId="76" fillId="4" borderId="38" xfId="0" applyNumberFormat="1" applyFont="1" applyFill="1" applyBorder="1" applyAlignment="1">
      <alignment horizontal="center" vertical="center" wrapText="1"/>
    </xf>
    <xf numFmtId="2" fontId="76" fillId="4" borderId="38" xfId="0" applyNumberFormat="1" applyFont="1" applyFill="1" applyBorder="1" applyAlignment="1">
      <alignment horizontal="left" vertical="center" wrapText="1"/>
    </xf>
    <xf numFmtId="0" fontId="46" fillId="0" borderId="0" xfId="0" applyFont="1" applyAlignment="1">
      <alignment horizontal="center"/>
    </xf>
    <xf numFmtId="165" fontId="43" fillId="0" borderId="102" xfId="4" applyNumberFormat="1" applyFont="1" applyFill="1" applyBorder="1" applyAlignment="1" applyProtection="1">
      <alignment horizontal="center" wrapText="1"/>
    </xf>
    <xf numFmtId="165" fontId="43" fillId="0" borderId="38" xfId="4" applyNumberFormat="1" applyFont="1" applyFill="1" applyBorder="1" applyAlignment="1" applyProtection="1">
      <alignment horizontal="center" wrapText="1"/>
    </xf>
    <xf numFmtId="2" fontId="76" fillId="4" borderId="39" xfId="0" applyNumberFormat="1" applyFont="1" applyFill="1" applyBorder="1" applyAlignment="1">
      <alignment horizontal="left" vertical="center" wrapText="1"/>
    </xf>
    <xf numFmtId="0" fontId="77" fillId="4" borderId="0" xfId="0" applyFont="1" applyFill="1" applyBorder="1" applyAlignment="1">
      <alignment horizontal="center" vertical="center"/>
    </xf>
    <xf numFmtId="0" fontId="74" fillId="4" borderId="0" xfId="0" applyFont="1" applyFill="1" applyBorder="1" applyAlignment="1">
      <alignment horizontal="center"/>
    </xf>
    <xf numFmtId="165" fontId="73" fillId="0" borderId="0" xfId="4" applyNumberFormat="1" applyFont="1" applyFill="1" applyBorder="1" applyAlignment="1" applyProtection="1">
      <alignment horizontal="center"/>
    </xf>
    <xf numFmtId="0" fontId="90" fillId="4" borderId="56" xfId="0" applyFont="1" applyFill="1" applyBorder="1" applyAlignment="1">
      <alignment horizontal="center"/>
    </xf>
    <xf numFmtId="0" fontId="92" fillId="4" borderId="147" xfId="0" applyFont="1" applyFill="1" applyBorder="1" applyAlignment="1">
      <alignment horizontal="center" vertical="center"/>
    </xf>
    <xf numFmtId="165" fontId="74" fillId="0" borderId="149" xfId="4" applyNumberFormat="1" applyFont="1" applyFill="1" applyBorder="1" applyAlignment="1" applyProtection="1">
      <alignment horizontal="center"/>
    </xf>
    <xf numFmtId="0" fontId="75" fillId="4" borderId="148" xfId="0" applyFont="1" applyFill="1" applyBorder="1" applyAlignment="1">
      <alignment horizontal="center"/>
    </xf>
    <xf numFmtId="165" fontId="74" fillId="0" borderId="151" xfId="4" applyNumberFormat="1" applyFont="1" applyFill="1" applyBorder="1" applyAlignment="1" applyProtection="1">
      <alignment horizontal="center"/>
    </xf>
    <xf numFmtId="165" fontId="74" fillId="0" borderId="151" xfId="4" applyNumberFormat="1" applyFont="1" applyFill="1" applyBorder="1" applyAlignment="1" applyProtection="1"/>
    <xf numFmtId="4" fontId="96" fillId="4" borderId="0" xfId="0" applyNumberFormat="1" applyFont="1" applyFill="1" applyBorder="1" applyAlignment="1">
      <alignment horizontal="center"/>
    </xf>
    <xf numFmtId="0" fontId="96" fillId="4" borderId="0" xfId="0" applyFont="1" applyFill="1" applyBorder="1" applyAlignment="1">
      <alignment horizontal="center"/>
    </xf>
    <xf numFmtId="165" fontId="74" fillId="4" borderId="0" xfId="0" applyNumberFormat="1" applyFont="1" applyFill="1" applyBorder="1" applyAlignment="1">
      <alignment horizontal="right"/>
    </xf>
    <xf numFmtId="0" fontId="74" fillId="4" borderId="0" xfId="0" applyFont="1" applyFill="1" applyBorder="1" applyAlignment="1">
      <alignment horizontal="right"/>
    </xf>
    <xf numFmtId="4" fontId="74" fillId="4" borderId="0" xfId="0" applyNumberFormat="1" applyFont="1" applyFill="1" applyBorder="1" applyAlignment="1">
      <alignment horizontal="left"/>
    </xf>
    <xf numFmtId="165" fontId="96" fillId="4" borderId="0" xfId="0" applyNumberFormat="1" applyFont="1" applyFill="1" applyBorder="1" applyAlignment="1">
      <alignment horizontal="center"/>
    </xf>
    <xf numFmtId="165" fontId="74" fillId="4" borderId="39" xfId="0" applyNumberFormat="1" applyFont="1" applyFill="1" applyBorder="1" applyAlignment="1">
      <alignment horizontal="center" vertical="center" wrapText="1"/>
    </xf>
    <xf numFmtId="174" fontId="74" fillId="4" borderId="143" xfId="0" applyNumberFormat="1" applyFont="1" applyFill="1" applyBorder="1" applyAlignment="1">
      <alignment horizontal="center" vertical="center" wrapText="1"/>
    </xf>
    <xf numFmtId="0" fontId="35" fillId="4" borderId="0" xfId="0" applyFont="1" applyFill="1" applyBorder="1" applyAlignment="1">
      <alignment horizontal="right"/>
    </xf>
    <xf numFmtId="165" fontId="35" fillId="4" borderId="0" xfId="0" applyNumberFormat="1" applyFont="1" applyFill="1" applyBorder="1" applyAlignment="1">
      <alignment horizontal="right"/>
    </xf>
    <xf numFmtId="0" fontId="35" fillId="4" borderId="0" xfId="0" applyFont="1" applyFill="1" applyBorder="1" applyAlignment="1">
      <alignment horizontal="left"/>
    </xf>
    <xf numFmtId="0" fontId="76" fillId="4" borderId="105" xfId="0" applyFont="1" applyFill="1" applyBorder="1" applyAlignment="1">
      <alignment horizontal="center"/>
    </xf>
    <xf numFmtId="0" fontId="76" fillId="4" borderId="43" xfId="0" applyFont="1" applyFill="1" applyBorder="1" applyAlignment="1">
      <alignment horizontal="center"/>
    </xf>
    <xf numFmtId="0" fontId="76" fillId="4" borderId="144" xfId="0" applyFont="1" applyFill="1" applyBorder="1" applyAlignment="1">
      <alignment horizontal="center"/>
    </xf>
    <xf numFmtId="165" fontId="93" fillId="4" borderId="0" xfId="0" applyNumberFormat="1" applyFont="1" applyFill="1" applyBorder="1" applyAlignment="1"/>
    <xf numFmtId="0" fontId="93" fillId="4" borderId="0" xfId="0" applyFont="1" applyFill="1" applyBorder="1" applyAlignment="1">
      <alignment horizontal="left"/>
    </xf>
    <xf numFmtId="165" fontId="92" fillId="0" borderId="0" xfId="4" applyNumberFormat="1" applyFont="1" applyFill="1" applyBorder="1" applyAlignment="1" applyProtection="1">
      <alignment horizontal="left"/>
    </xf>
    <xf numFmtId="165" fontId="73" fillId="5" borderId="52" xfId="4" applyNumberFormat="1" applyFont="1" applyFill="1" applyBorder="1" applyAlignment="1" applyProtection="1">
      <alignment horizontal="center" vertical="center" wrapText="1"/>
    </xf>
    <xf numFmtId="165" fontId="73" fillId="4" borderId="52" xfId="4" applyNumberFormat="1" applyFont="1" applyFill="1" applyBorder="1" applyAlignment="1" applyProtection="1">
      <alignment horizontal="center" vertical="center" wrapText="1"/>
    </xf>
    <xf numFmtId="43" fontId="76" fillId="4" borderId="43" xfId="0" applyNumberFormat="1" applyFont="1" applyFill="1" applyBorder="1" applyAlignment="1">
      <alignment horizontal="center"/>
    </xf>
    <xf numFmtId="0" fontId="76" fillId="4" borderId="43" xfId="0" applyFont="1" applyFill="1" applyBorder="1" applyAlignment="1">
      <alignment horizontal="left"/>
    </xf>
    <xf numFmtId="0" fontId="53" fillId="4" borderId="0" xfId="0" applyFont="1" applyFill="1" applyBorder="1" applyAlignment="1">
      <alignment horizontal="center"/>
    </xf>
    <xf numFmtId="10" fontId="76" fillId="4" borderId="0" xfId="0" applyNumberFormat="1" applyFont="1" applyFill="1" applyBorder="1" applyAlignment="1">
      <alignment horizontal="center"/>
    </xf>
    <xf numFmtId="0" fontId="79" fillId="4" borderId="0" xfId="0" applyFont="1" applyFill="1" applyBorder="1" applyAlignment="1">
      <alignment horizontal="center" shrinkToFit="1"/>
    </xf>
    <xf numFmtId="0" fontId="138" fillId="4" borderId="28" xfId="0" applyFont="1" applyFill="1" applyBorder="1" applyAlignment="1">
      <alignment horizontal="center" vertical="center"/>
    </xf>
    <xf numFmtId="0" fontId="138" fillId="4" borderId="115" xfId="0" applyFont="1" applyFill="1" applyBorder="1" applyAlignment="1">
      <alignment horizontal="center" vertical="center"/>
    </xf>
    <xf numFmtId="0" fontId="138" fillId="4" borderId="117" xfId="0" applyFont="1" applyFill="1" applyBorder="1" applyAlignment="1">
      <alignment horizontal="center" vertical="center"/>
    </xf>
    <xf numFmtId="0" fontId="138" fillId="4" borderId="173" xfId="0" applyFont="1" applyFill="1" applyBorder="1" applyAlignment="1">
      <alignment horizontal="center" vertical="center"/>
    </xf>
    <xf numFmtId="0" fontId="76" fillId="4" borderId="130" xfId="0" applyFont="1" applyFill="1" applyBorder="1" applyAlignment="1">
      <alignment horizontal="left"/>
    </xf>
    <xf numFmtId="0" fontId="76" fillId="4" borderId="133" xfId="0" applyFont="1" applyFill="1" applyBorder="1" applyAlignment="1">
      <alignment horizontal="left"/>
    </xf>
    <xf numFmtId="0" fontId="76" fillId="4" borderId="0" xfId="0" applyFont="1" applyFill="1" applyBorder="1" applyAlignment="1">
      <alignment horizontal="center"/>
    </xf>
    <xf numFmtId="165" fontId="72" fillId="0" borderId="0" xfId="4" applyNumberFormat="1" applyFont="1" applyFill="1" applyBorder="1" applyAlignment="1" applyProtection="1">
      <alignment horizontal="right"/>
    </xf>
    <xf numFmtId="0" fontId="160" fillId="4" borderId="0" xfId="0" applyFont="1" applyFill="1" applyAlignment="1">
      <alignment horizontal="center"/>
    </xf>
    <xf numFmtId="0" fontId="81" fillId="4" borderId="117" xfId="0" applyFont="1" applyFill="1" applyBorder="1" applyAlignment="1">
      <alignment horizontal="center" vertical="center" wrapText="1"/>
    </xf>
    <xf numFmtId="0" fontId="77" fillId="4" borderId="118" xfId="0" applyFont="1" applyFill="1" applyBorder="1" applyAlignment="1">
      <alignment horizontal="center" vertical="center" wrapText="1"/>
    </xf>
    <xf numFmtId="0" fontId="77" fillId="4" borderId="29" xfId="0" applyFont="1" applyFill="1" applyBorder="1" applyAlignment="1">
      <alignment horizontal="center" vertical="center" wrapText="1"/>
    </xf>
    <xf numFmtId="0" fontId="74" fillId="4" borderId="53" xfId="0" applyFont="1" applyFill="1" applyBorder="1" applyAlignment="1">
      <alignment horizontal="center"/>
    </xf>
    <xf numFmtId="43" fontId="74" fillId="4" borderId="0" xfId="0" applyNumberFormat="1" applyFont="1" applyFill="1" applyBorder="1" applyAlignment="1">
      <alignment horizontal="center"/>
    </xf>
    <xf numFmtId="165" fontId="79" fillId="4" borderId="0" xfId="0" applyNumberFormat="1" applyFont="1" applyFill="1" applyBorder="1" applyAlignment="1">
      <alignment horizontal="center" shrinkToFit="1"/>
    </xf>
    <xf numFmtId="0" fontId="56" fillId="4" borderId="39" xfId="0" applyFont="1" applyFill="1" applyBorder="1" applyAlignment="1">
      <alignment horizontal="center" vertical="center" wrapText="1"/>
    </xf>
    <xf numFmtId="0" fontId="76" fillId="4" borderId="43" xfId="0" applyFont="1" applyFill="1" applyBorder="1" applyAlignment="1">
      <alignment horizontal="left" wrapText="1"/>
    </xf>
    <xf numFmtId="0" fontId="83" fillId="4" borderId="0" xfId="0" applyFont="1" applyFill="1" applyBorder="1" applyAlignment="1">
      <alignment horizontal="center" shrinkToFit="1"/>
    </xf>
    <xf numFmtId="0" fontId="84" fillId="4" borderId="32" xfId="0" applyFont="1" applyFill="1" applyBorder="1" applyAlignment="1">
      <alignment horizontal="center" shrinkToFit="1"/>
    </xf>
    <xf numFmtId="165" fontId="138" fillId="4" borderId="117" xfId="4" applyNumberFormat="1" applyFont="1" applyFill="1" applyBorder="1" applyAlignment="1" applyProtection="1">
      <alignment horizontal="center" vertical="center"/>
    </xf>
    <xf numFmtId="0" fontId="74" fillId="4" borderId="53" xfId="0" applyFont="1" applyFill="1" applyBorder="1" applyAlignment="1">
      <alignment horizontal="center" wrapText="1"/>
    </xf>
    <xf numFmtId="0" fontId="74" fillId="5" borderId="52" xfId="0" applyFont="1" applyFill="1" applyBorder="1" applyAlignment="1">
      <alignment horizontal="center" vertical="center" wrapText="1"/>
    </xf>
    <xf numFmtId="0" fontId="161" fillId="4" borderId="0" xfId="0" applyFont="1" applyFill="1" applyAlignment="1">
      <alignment horizontal="center" vertical="center"/>
    </xf>
    <xf numFmtId="0" fontId="62" fillId="4" borderId="34" xfId="0" applyFont="1" applyFill="1" applyBorder="1" applyAlignment="1">
      <alignment horizontal="center" vertical="center" wrapText="1"/>
    </xf>
    <xf numFmtId="0" fontId="62" fillId="4" borderId="40" xfId="0" applyFont="1" applyFill="1" applyBorder="1" applyAlignment="1">
      <alignment horizontal="center" vertical="center" wrapText="1"/>
    </xf>
    <xf numFmtId="0" fontId="62" fillId="4" borderId="35" xfId="0" applyFont="1" applyFill="1" applyBorder="1" applyAlignment="1">
      <alignment horizontal="center" vertical="center" wrapText="1"/>
    </xf>
    <xf numFmtId="0" fontId="62" fillId="4" borderId="173" xfId="0" applyFont="1" applyFill="1" applyBorder="1" applyAlignment="1">
      <alignment horizontal="center" vertical="center" wrapText="1"/>
    </xf>
    <xf numFmtId="0" fontId="76" fillId="4" borderId="174" xfId="0" applyFont="1" applyFill="1" applyBorder="1" applyAlignment="1">
      <alignment horizontal="center" vertical="center" wrapText="1"/>
    </xf>
    <xf numFmtId="0" fontId="81" fillId="4" borderId="116" xfId="0" applyFont="1" applyFill="1" applyBorder="1" applyAlignment="1">
      <alignment horizontal="center" vertical="center" wrapText="1"/>
    </xf>
    <xf numFmtId="0" fontId="80" fillId="4" borderId="117" xfId="0" applyFont="1" applyFill="1" applyBorder="1" applyAlignment="1">
      <alignment horizontal="center" vertical="center" wrapText="1"/>
    </xf>
    <xf numFmtId="0" fontId="84" fillId="4" borderId="0" xfId="0" applyFont="1" applyFill="1" applyBorder="1" applyAlignment="1">
      <alignment horizontal="center" shrinkToFit="1"/>
    </xf>
    <xf numFmtId="0" fontId="56" fillId="4" borderId="110" xfId="0" applyFont="1" applyFill="1" applyBorder="1" applyAlignment="1">
      <alignment horizontal="center" vertical="center" wrapText="1"/>
    </xf>
    <xf numFmtId="165" fontId="73" fillId="0" borderId="0" xfId="4" applyNumberFormat="1" applyFont="1" applyFill="1" applyBorder="1" applyAlignment="1" applyProtection="1">
      <alignment horizontal="right"/>
    </xf>
    <xf numFmtId="0" fontId="73" fillId="4" borderId="0" xfId="0" applyFont="1" applyFill="1" applyAlignment="1">
      <alignment horizontal="center"/>
    </xf>
    <xf numFmtId="165" fontId="74" fillId="4" borderId="52" xfId="4" applyNumberFormat="1" applyFont="1" applyFill="1" applyBorder="1" applyAlignment="1" applyProtection="1">
      <alignment horizontal="center" vertical="center" wrapText="1"/>
    </xf>
    <xf numFmtId="0" fontId="73" fillId="4" borderId="0" xfId="0" applyFont="1" applyFill="1" applyAlignment="1">
      <alignment horizontal="center" vertical="center"/>
    </xf>
    <xf numFmtId="0" fontId="62" fillId="4" borderId="114" xfId="0" applyFont="1" applyFill="1" applyBorder="1" applyAlignment="1">
      <alignment horizontal="center" vertical="center" wrapText="1"/>
    </xf>
    <xf numFmtId="0" fontId="62" fillId="4" borderId="157" xfId="0" applyFont="1" applyFill="1" applyBorder="1" applyAlignment="1">
      <alignment horizontal="center" vertical="center" wrapText="1"/>
    </xf>
    <xf numFmtId="0" fontId="62" fillId="4" borderId="116" xfId="0" applyFont="1" applyFill="1" applyBorder="1" applyAlignment="1">
      <alignment horizontal="center" vertical="center" wrapText="1"/>
    </xf>
    <xf numFmtId="165" fontId="62" fillId="4" borderId="116" xfId="4" applyNumberFormat="1" applyFont="1" applyFill="1" applyBorder="1" applyAlignment="1" applyProtection="1">
      <alignment horizontal="center" vertical="center" wrapText="1"/>
    </xf>
    <xf numFmtId="0" fontId="62" fillId="4" borderId="118" xfId="0" applyFont="1" applyFill="1" applyBorder="1" applyAlignment="1">
      <alignment horizontal="center" vertical="center" wrapText="1"/>
    </xf>
    <xf numFmtId="165" fontId="83" fillId="4" borderId="0" xfId="4" applyNumberFormat="1" applyFont="1" applyFill="1" applyBorder="1" applyAlignment="1" applyProtection="1">
      <alignment horizontal="center"/>
    </xf>
    <xf numFmtId="165" fontId="83" fillId="0" borderId="0" xfId="4" applyNumberFormat="1" applyFont="1" applyFill="1" applyBorder="1" applyAlignment="1" applyProtection="1">
      <alignment horizontal="center" vertical="center"/>
    </xf>
    <xf numFmtId="0" fontId="138" fillId="4" borderId="36" xfId="0" applyFont="1" applyFill="1" applyBorder="1" applyAlignment="1">
      <alignment horizontal="center" vertical="center"/>
    </xf>
    <xf numFmtId="165" fontId="74" fillId="5" borderId="52" xfId="4" applyNumberFormat="1" applyFont="1" applyFill="1" applyBorder="1" applyAlignment="1" applyProtection="1">
      <alignment horizontal="center" vertical="center" wrapText="1"/>
    </xf>
    <xf numFmtId="165" fontId="93" fillId="0" borderId="0" xfId="4" applyNumberFormat="1" applyFont="1" applyFill="1" applyBorder="1" applyAlignment="1" applyProtection="1">
      <alignment horizontal="left"/>
    </xf>
    <xf numFmtId="165" fontId="74" fillId="0" borderId="0" xfId="4" applyNumberFormat="1" applyFont="1" applyFill="1" applyBorder="1" applyAlignment="1" applyProtection="1">
      <alignment horizontal="center"/>
    </xf>
    <xf numFmtId="165" fontId="75" fillId="0" borderId="148" xfId="4" applyNumberFormat="1" applyFont="1" applyFill="1" applyBorder="1" applyAlignment="1" applyProtection="1">
      <alignment horizontal="center"/>
    </xf>
    <xf numFmtId="165" fontId="75" fillId="0" borderId="150" xfId="4" applyNumberFormat="1" applyFont="1" applyFill="1" applyBorder="1" applyAlignment="1" applyProtection="1">
      <alignment horizontal="center"/>
    </xf>
    <xf numFmtId="165" fontId="75" fillId="0" borderId="150" xfId="4" applyNumberFormat="1" applyFont="1" applyFill="1" applyBorder="1" applyAlignment="1" applyProtection="1"/>
    <xf numFmtId="0" fontId="97" fillId="0" borderId="0" xfId="0" applyFont="1" applyAlignment="1">
      <alignment horizontal="center"/>
    </xf>
    <xf numFmtId="0" fontId="98" fillId="0" borderId="0" xfId="0" applyFont="1" applyAlignment="1">
      <alignment horizontal="left"/>
    </xf>
    <xf numFmtId="0" fontId="99" fillId="0" borderId="0" xfId="0" applyFont="1" applyAlignment="1">
      <alignment horizontal="center"/>
    </xf>
    <xf numFmtId="0" fontId="99" fillId="0" borderId="0" xfId="0" applyFont="1" applyAlignment="1">
      <alignment horizontal="left"/>
    </xf>
    <xf numFmtId="0" fontId="10" fillId="0" borderId="41" xfId="0" applyFont="1" applyBorder="1" applyAlignment="1">
      <alignment horizontal="center"/>
    </xf>
    <xf numFmtId="0" fontId="11" fillId="0" borderId="43" xfId="0" applyFont="1" applyBorder="1" applyAlignment="1">
      <alignment horizontal="center"/>
    </xf>
    <xf numFmtId="4" fontId="63" fillId="0" borderId="38" xfId="0" applyNumberFormat="1" applyFont="1" applyBorder="1" applyAlignment="1">
      <alignment horizontal="center"/>
    </xf>
    <xf numFmtId="0" fontId="63" fillId="0" borderId="38" xfId="0" applyFont="1" applyBorder="1" applyAlignment="1">
      <alignment horizontal="center"/>
    </xf>
    <xf numFmtId="0" fontId="63" fillId="0" borderId="34" xfId="0" applyFont="1" applyBorder="1" applyAlignment="1">
      <alignment horizontal="center"/>
    </xf>
    <xf numFmtId="0" fontId="63" fillId="0" borderId="35" xfId="0" applyFont="1" applyBorder="1" applyAlignment="1">
      <alignment horizontal="center"/>
    </xf>
    <xf numFmtId="0" fontId="63" fillId="0" borderId="117" xfId="0" applyFont="1" applyBorder="1" applyAlignment="1">
      <alignment horizontal="center"/>
    </xf>
    <xf numFmtId="0" fontId="61" fillId="0" borderId="38" xfId="0" applyFont="1" applyBorder="1" applyAlignment="1">
      <alignment horizontal="left"/>
    </xf>
    <xf numFmtId="0" fontId="97" fillId="0" borderId="38" xfId="0" applyFont="1" applyBorder="1" applyAlignment="1">
      <alignment horizontal="left"/>
    </xf>
    <xf numFmtId="0" fontId="124" fillId="0" borderId="177" xfId="0" applyFont="1" applyBorder="1" applyAlignment="1">
      <alignment horizontal="left"/>
    </xf>
    <xf numFmtId="0" fontId="124" fillId="0" borderId="45" xfId="0" applyFont="1" applyBorder="1" applyAlignment="1">
      <alignment horizontal="left"/>
    </xf>
    <xf numFmtId="165" fontId="53" fillId="20" borderId="160" xfId="4" applyNumberFormat="1" applyFont="1" applyFill="1" applyBorder="1" applyAlignment="1" applyProtection="1">
      <alignment horizontal="center"/>
    </xf>
    <xf numFmtId="0" fontId="124" fillId="0" borderId="41" xfId="0" applyFont="1" applyBorder="1" applyAlignment="1">
      <alignment horizontal="center"/>
    </xf>
    <xf numFmtId="165" fontId="53" fillId="0" borderId="41" xfId="0" applyNumberFormat="1" applyFont="1" applyBorder="1" applyAlignment="1">
      <alignment horizontal="center"/>
    </xf>
    <xf numFmtId="0" fontId="11" fillId="0" borderId="41" xfId="0" applyFont="1" applyBorder="1" applyAlignment="1">
      <alignment horizontal="center"/>
    </xf>
    <xf numFmtId="0" fontId="11" fillId="0" borderId="38" xfId="0" applyFont="1" applyBorder="1" applyAlignment="1">
      <alignment horizontal="center"/>
    </xf>
    <xf numFmtId="0" fontId="124" fillId="0" borderId="42" xfId="0" applyFont="1" applyBorder="1" applyAlignment="1">
      <alignment horizontal="left"/>
    </xf>
    <xf numFmtId="0" fontId="124" fillId="0" borderId="38" xfId="0" applyFont="1" applyBorder="1" applyAlignment="1">
      <alignment horizontal="left"/>
    </xf>
    <xf numFmtId="165" fontId="53" fillId="0" borderId="41" xfId="4" applyNumberFormat="1" applyFont="1" applyFill="1" applyBorder="1" applyAlignment="1" applyProtection="1">
      <alignment horizontal="center"/>
    </xf>
    <xf numFmtId="0" fontId="125" fillId="0" borderId="42" xfId="0" applyFont="1" applyBorder="1" applyAlignment="1">
      <alignment horizontal="left"/>
    </xf>
    <xf numFmtId="0" fontId="125" fillId="0" borderId="38" xfId="0" applyFont="1" applyBorder="1" applyAlignment="1">
      <alignment horizontal="left"/>
    </xf>
    <xf numFmtId="165" fontId="53" fillId="20" borderId="41" xfId="0" applyNumberFormat="1" applyFont="1" applyFill="1" applyBorder="1" applyAlignment="1">
      <alignment horizontal="center"/>
    </xf>
    <xf numFmtId="0" fontId="124" fillId="0" borderId="176" xfId="0" applyFont="1" applyBorder="1" applyAlignment="1">
      <alignment horizontal="left"/>
    </xf>
    <xf numFmtId="0" fontId="124" fillId="0" borderId="49" xfId="0" applyFont="1" applyBorder="1" applyAlignment="1">
      <alignment horizontal="left"/>
    </xf>
    <xf numFmtId="165" fontId="53" fillId="0" borderId="154" xfId="0" applyNumberFormat="1" applyFont="1" applyBorder="1" applyAlignment="1">
      <alignment horizontal="center"/>
    </xf>
    <xf numFmtId="0" fontId="58" fillId="0" borderId="155" xfId="0" applyFont="1" applyBorder="1" applyAlignment="1">
      <alignment horizontal="left"/>
    </xf>
    <xf numFmtId="165" fontId="58" fillId="0" borderId="156" xfId="4" applyNumberFormat="1" applyFont="1" applyFill="1" applyBorder="1" applyAlignment="1" applyProtection="1">
      <alignment horizontal="center"/>
    </xf>
    <xf numFmtId="0" fontId="100" fillId="0" borderId="41" xfId="0" applyFont="1" applyBorder="1" applyAlignment="1">
      <alignment horizontal="center"/>
    </xf>
    <xf numFmtId="0" fontId="100" fillId="0" borderId="38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165" fontId="61" fillId="0" borderId="28" xfId="4" applyNumberFormat="1" applyFont="1" applyFill="1" applyBorder="1" applyAlignment="1" applyProtection="1">
      <alignment horizontal="center"/>
    </xf>
    <xf numFmtId="0" fontId="63" fillId="0" borderId="41" xfId="0" applyFont="1" applyBorder="1" applyAlignment="1">
      <alignment horizontal="left"/>
    </xf>
    <xf numFmtId="165" fontId="63" fillId="0" borderId="41" xfId="4" applyNumberFormat="1" applyFont="1" applyFill="1" applyBorder="1" applyAlignment="1" applyProtection="1">
      <alignment horizontal="center"/>
    </xf>
    <xf numFmtId="0" fontId="68" fillId="0" borderId="41" xfId="0" applyFont="1" applyBorder="1" applyAlignment="1">
      <alignment horizontal="center"/>
    </xf>
    <xf numFmtId="0" fontId="68" fillId="0" borderId="38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61" fillId="0" borderId="0" xfId="0" applyFont="1" applyAlignment="1">
      <alignment horizontal="left"/>
    </xf>
    <xf numFmtId="165" fontId="11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0" fontId="105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5" fontId="61" fillId="0" borderId="155" xfId="0" applyNumberFormat="1" applyFont="1" applyBorder="1" applyAlignment="1">
      <alignment horizontal="center"/>
    </xf>
    <xf numFmtId="165" fontId="61" fillId="0" borderId="161" xfId="0" applyNumberFormat="1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64" fillId="0" borderId="85" xfId="0" applyFont="1" applyBorder="1" applyAlignment="1">
      <alignment vertical="center"/>
    </xf>
    <xf numFmtId="0" fontId="64" fillId="0" borderId="200" xfId="0" applyFont="1" applyBorder="1" applyAlignment="1">
      <alignment vertical="center"/>
    </xf>
    <xf numFmtId="0" fontId="64" fillId="0" borderId="55" xfId="0" applyFont="1" applyBorder="1" applyAlignment="1">
      <alignment vertical="center"/>
    </xf>
    <xf numFmtId="0" fontId="64" fillId="0" borderId="59" xfId="0" applyFont="1" applyBorder="1" applyAlignment="1">
      <alignment vertical="center"/>
    </xf>
    <xf numFmtId="0" fontId="64" fillId="0" borderId="55" xfId="0" applyFont="1" applyBorder="1" applyAlignment="1">
      <alignment horizontal="center" vertical="center"/>
    </xf>
    <xf numFmtId="0" fontId="64" fillId="0" borderId="59" xfId="0" applyFont="1" applyBorder="1" applyAlignment="1">
      <alignment horizontal="center" vertical="center"/>
    </xf>
    <xf numFmtId="165" fontId="64" fillId="0" borderId="55" xfId="0" applyNumberFormat="1" applyFont="1" applyBorder="1" applyAlignment="1">
      <alignment vertical="center"/>
    </xf>
    <xf numFmtId="165" fontId="64" fillId="0" borderId="59" xfId="0" applyNumberFormat="1" applyFont="1" applyBorder="1" applyAlignment="1">
      <alignment vertical="center"/>
    </xf>
    <xf numFmtId="0" fontId="61" fillId="0" borderId="164" xfId="0" applyFont="1" applyBorder="1" applyAlignment="1">
      <alignment horizontal="center" wrapText="1"/>
    </xf>
    <xf numFmtId="0" fontId="61" fillId="0" borderId="174" xfId="0" applyFont="1" applyBorder="1" applyAlignment="1">
      <alignment horizontal="center" wrapText="1"/>
    </xf>
    <xf numFmtId="0" fontId="54" fillId="0" borderId="0" xfId="0" applyFont="1" applyAlignment="1">
      <alignment horizontal="center"/>
    </xf>
    <xf numFmtId="0" fontId="33" fillId="0" borderId="175" xfId="0" applyFont="1" applyBorder="1" applyAlignment="1">
      <alignment horizontal="center" vertical="center"/>
    </xf>
    <xf numFmtId="0" fontId="33" fillId="0" borderId="158" xfId="0" applyFont="1" applyBorder="1" applyAlignment="1">
      <alignment horizontal="center" vertical="center"/>
    </xf>
    <xf numFmtId="0" fontId="33" fillId="0" borderId="208" xfId="0" applyFont="1" applyBorder="1" applyAlignment="1">
      <alignment horizontal="center" vertical="center"/>
    </xf>
    <xf numFmtId="14" fontId="57" fillId="0" borderId="0" xfId="0" applyNumberFormat="1" applyFont="1" applyBorder="1" applyAlignment="1">
      <alignment horizontal="right"/>
    </xf>
    <xf numFmtId="0" fontId="57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22" fillId="0" borderId="0" xfId="0" applyFont="1" applyAlignment="1">
      <alignment horizontal="center"/>
    </xf>
    <xf numFmtId="0" fontId="58" fillId="0" borderId="0" xfId="0" applyFont="1" applyAlignment="1"/>
    <xf numFmtId="0" fontId="61" fillId="0" borderId="114" xfId="0" applyFont="1" applyBorder="1" applyAlignment="1">
      <alignment horizontal="center" vertical="center"/>
    </xf>
    <xf numFmtId="0" fontId="61" fillId="0" borderId="157" xfId="0" applyFont="1" applyBorder="1" applyAlignment="1">
      <alignment horizontal="center" vertical="center"/>
    </xf>
    <xf numFmtId="0" fontId="61" fillId="0" borderId="181" xfId="0" applyFont="1" applyBorder="1" applyAlignment="1">
      <alignment horizontal="center" vertical="center"/>
    </xf>
    <xf numFmtId="0" fontId="61" fillId="0" borderId="116" xfId="0" applyFont="1" applyBorder="1" applyAlignment="1">
      <alignment horizontal="center" vertical="center"/>
    </xf>
    <xf numFmtId="0" fontId="61" fillId="0" borderId="110" xfId="0" applyFont="1" applyBorder="1" applyAlignment="1">
      <alignment horizontal="center" vertical="center"/>
    </xf>
    <xf numFmtId="0" fontId="61" fillId="0" borderId="182" xfId="0" applyFont="1" applyBorder="1" applyAlignment="1">
      <alignment horizontal="center" vertical="center"/>
    </xf>
    <xf numFmtId="0" fontId="61" fillId="0" borderId="116" xfId="0" applyFont="1" applyBorder="1" applyAlignment="1">
      <alignment horizontal="center" vertical="center" wrapText="1"/>
    </xf>
    <xf numFmtId="0" fontId="61" fillId="0" borderId="110" xfId="0" applyFont="1" applyBorder="1" applyAlignment="1">
      <alignment horizontal="center" vertical="center" wrapText="1"/>
    </xf>
    <xf numFmtId="0" fontId="61" fillId="0" borderId="182" xfId="0" applyFont="1" applyBorder="1" applyAlignment="1">
      <alignment horizontal="center" vertical="center" wrapText="1"/>
    </xf>
    <xf numFmtId="0" fontId="61" fillId="0" borderId="118" xfId="0" applyFont="1" applyBorder="1" applyAlignment="1">
      <alignment horizontal="center" vertical="center"/>
    </xf>
    <xf numFmtId="0" fontId="61" fillId="0" borderId="123" xfId="0" applyFont="1" applyBorder="1" applyAlignment="1">
      <alignment horizontal="center" vertical="center"/>
    </xf>
    <xf numFmtId="0" fontId="64" fillId="0" borderId="231" xfId="0" applyFont="1" applyBorder="1" applyAlignment="1">
      <alignment horizontal="center" vertical="center" wrapText="1"/>
    </xf>
    <xf numFmtId="0" fontId="64" fillId="0" borderId="231" xfId="0" applyFont="1" applyBorder="1" applyAlignment="1">
      <alignment horizontal="center" vertical="center"/>
    </xf>
    <xf numFmtId="0" fontId="64" fillId="0" borderId="230" xfId="0" applyFont="1" applyBorder="1" applyAlignment="1">
      <alignment horizontal="center" vertical="center"/>
    </xf>
    <xf numFmtId="0" fontId="64" fillId="0" borderId="237" xfId="0" applyFont="1" applyBorder="1" applyAlignment="1">
      <alignment horizontal="center" vertical="center" wrapText="1"/>
    </xf>
    <xf numFmtId="0" fontId="64" fillId="0" borderId="236" xfId="0" applyFont="1" applyBorder="1" applyAlignment="1">
      <alignment horizontal="center" vertical="center" wrapText="1"/>
    </xf>
    <xf numFmtId="0" fontId="64" fillId="0" borderId="235" xfId="0" applyFont="1" applyBorder="1" applyAlignment="1">
      <alignment horizontal="center" vertical="center" wrapText="1"/>
    </xf>
    <xf numFmtId="0" fontId="64" fillId="0" borderId="234" xfId="0" applyFont="1" applyBorder="1" applyAlignment="1">
      <alignment horizontal="center" vertical="center" wrapText="1"/>
    </xf>
    <xf numFmtId="0" fontId="64" fillId="0" borderId="233" xfId="0" applyFont="1" applyBorder="1" applyAlignment="1">
      <alignment horizontal="center" vertical="center" wrapText="1"/>
    </xf>
    <xf numFmtId="0" fontId="64" fillId="0" borderId="232" xfId="0" applyFont="1" applyBorder="1" applyAlignment="1">
      <alignment horizontal="center" vertical="center" wrapText="1"/>
    </xf>
    <xf numFmtId="0" fontId="64" fillId="0" borderId="231" xfId="0" applyFont="1" applyBorder="1" applyAlignment="1">
      <alignment horizontal="left" vertical="center" wrapText="1"/>
    </xf>
    <xf numFmtId="0" fontId="64" fillId="0" borderId="234" xfId="0" applyFont="1" applyBorder="1" applyAlignment="1">
      <alignment horizontal="center" vertical="center"/>
    </xf>
    <xf numFmtId="0" fontId="64" fillId="0" borderId="233" xfId="0" applyFont="1" applyBorder="1" applyAlignment="1">
      <alignment horizontal="center" vertical="center"/>
    </xf>
    <xf numFmtId="0" fontId="64" fillId="0" borderId="232" xfId="0" applyFont="1" applyBorder="1" applyAlignment="1">
      <alignment horizontal="center" vertical="center"/>
    </xf>
    <xf numFmtId="49" fontId="165" fillId="0" borderId="0" xfId="0" applyNumberFormat="1" applyFont="1" applyBorder="1" applyAlignment="1">
      <alignment horizontal="center" vertical="center"/>
    </xf>
    <xf numFmtId="0" fontId="165" fillId="0" borderId="0" xfId="0" applyFont="1" applyBorder="1" applyAlignment="1">
      <alignment horizontal="center" vertical="center"/>
    </xf>
    <xf numFmtId="0" fontId="61" fillId="0" borderId="0" xfId="0" applyFont="1" applyBorder="1" applyAlignment="1">
      <alignment horizontal="center"/>
    </xf>
    <xf numFmtId="0" fontId="52" fillId="0" borderId="35" xfId="0" applyFont="1" applyBorder="1" applyAlignment="1">
      <alignment horizontal="center"/>
    </xf>
    <xf numFmtId="0" fontId="52" fillId="0" borderId="173" xfId="0" applyFont="1" applyBorder="1" applyAlignment="1">
      <alignment horizontal="center"/>
    </xf>
    <xf numFmtId="0" fontId="64" fillId="0" borderId="231" xfId="0" applyFont="1" applyBorder="1" applyAlignment="1">
      <alignment horizontal="left" vertical="center"/>
    </xf>
    <xf numFmtId="0" fontId="53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64" fillId="0" borderId="0" xfId="0" applyFont="1" applyBorder="1" applyAlignment="1">
      <alignment horizontal="center"/>
    </xf>
    <xf numFmtId="0" fontId="64" fillId="0" borderId="228" xfId="0" applyNumberFormat="1" applyFont="1" applyBorder="1" applyAlignment="1">
      <alignment horizontal="center" vertical="center" wrapText="1"/>
    </xf>
    <xf numFmtId="0" fontId="64" fillId="0" borderId="227" xfId="0" applyNumberFormat="1" applyFont="1" applyBorder="1" applyAlignment="1">
      <alignment horizontal="center" vertical="center" wrapText="1"/>
    </xf>
    <xf numFmtId="0" fontId="64" fillId="0" borderId="226" xfId="0" applyNumberFormat="1" applyFont="1" applyBorder="1" applyAlignment="1">
      <alignment horizontal="center" vertical="center" wrapText="1"/>
    </xf>
    <xf numFmtId="0" fontId="64" fillId="0" borderId="225" xfId="0" applyFont="1" applyBorder="1" applyAlignment="1">
      <alignment horizontal="center" vertical="center" wrapText="1"/>
    </xf>
    <xf numFmtId="0" fontId="64" fillId="0" borderId="225" xfId="0" applyFont="1" applyBorder="1" applyAlignment="1">
      <alignment horizontal="center" vertical="center"/>
    </xf>
    <xf numFmtId="0" fontId="64" fillId="0" borderId="224" xfId="0" applyFont="1" applyBorder="1" applyAlignment="1">
      <alignment horizontal="center" vertical="center"/>
    </xf>
    <xf numFmtId="0" fontId="64" fillId="0" borderId="234" xfId="0" applyFont="1" applyBorder="1" applyAlignment="1">
      <alignment horizontal="left" vertical="center" wrapText="1"/>
    </xf>
    <xf numFmtId="0" fontId="64" fillId="0" borderId="233" xfId="0" applyFont="1" applyBorder="1" applyAlignment="1">
      <alignment horizontal="left" vertical="center" wrapText="1"/>
    </xf>
    <xf numFmtId="0" fontId="64" fillId="0" borderId="232" xfId="0" applyFont="1" applyBorder="1" applyAlignment="1">
      <alignment horizontal="left" vertical="center" wrapText="1"/>
    </xf>
    <xf numFmtId="0" fontId="166" fillId="0" borderId="0" xfId="20" applyFont="1" applyBorder="1" applyAlignment="1">
      <alignment horizontal="left"/>
    </xf>
    <xf numFmtId="0" fontId="119" fillId="0" borderId="0" xfId="20" applyFont="1" applyAlignment="1">
      <alignment horizontal="center"/>
    </xf>
    <xf numFmtId="0" fontId="166" fillId="0" borderId="0" xfId="20" applyFont="1" applyBorder="1" applyAlignment="1">
      <alignment horizontal="center"/>
    </xf>
    <xf numFmtId="0" fontId="170" fillId="0" borderId="249" xfId="20" applyFont="1" applyBorder="1" applyAlignment="1">
      <alignment horizontal="center"/>
    </xf>
    <xf numFmtId="0" fontId="170" fillId="0" borderId="241" xfId="20" applyFont="1" applyBorder="1" applyAlignment="1">
      <alignment horizontal="center"/>
    </xf>
    <xf numFmtId="0" fontId="170" fillId="0" borderId="263" xfId="20" applyFont="1" applyBorder="1" applyAlignment="1">
      <alignment horizontal="center"/>
    </xf>
    <xf numFmtId="0" fontId="171" fillId="0" borderId="0" xfId="20" applyFont="1" applyAlignment="1">
      <alignment horizontal="center"/>
    </xf>
    <xf numFmtId="0" fontId="170" fillId="0" borderId="250" xfId="20" applyFont="1" applyBorder="1" applyAlignment="1">
      <alignment horizontal="center"/>
    </xf>
    <xf numFmtId="0" fontId="170" fillId="0" borderId="240" xfId="20" applyFont="1" applyBorder="1" applyAlignment="1">
      <alignment horizontal="center"/>
    </xf>
    <xf numFmtId="0" fontId="170" fillId="0" borderId="244" xfId="20" applyFont="1" applyBorder="1" applyAlignment="1">
      <alignment horizontal="center"/>
    </xf>
    <xf numFmtId="0" fontId="170" fillId="0" borderId="39" xfId="20" applyFont="1" applyBorder="1" applyAlignment="1">
      <alignment vertical="center"/>
    </xf>
    <xf numFmtId="0" fontId="170" fillId="0" borderId="44" xfId="20" applyFont="1" applyBorder="1" applyAlignment="1">
      <alignment vertical="center"/>
    </xf>
    <xf numFmtId="0" fontId="170" fillId="0" borderId="45" xfId="20" applyFont="1" applyBorder="1" applyAlignment="1">
      <alignment vertical="center"/>
    </xf>
    <xf numFmtId="0" fontId="170" fillId="0" borderId="278" xfId="20" applyFont="1" applyBorder="1" applyAlignment="1">
      <alignment horizontal="center"/>
    </xf>
    <xf numFmtId="0" fontId="170" fillId="0" borderId="277" xfId="20" applyFont="1" applyBorder="1" applyAlignment="1">
      <alignment horizontal="center"/>
    </xf>
    <xf numFmtId="0" fontId="169" fillId="0" borderId="278" xfId="20" applyFont="1" applyBorder="1" applyAlignment="1">
      <alignment horizontal="center"/>
    </xf>
    <xf numFmtId="0" fontId="169" fillId="0" borderId="285" xfId="20" applyFont="1" applyBorder="1" applyAlignment="1">
      <alignment horizontal="center"/>
    </xf>
    <xf numFmtId="0" fontId="169" fillId="0" borderId="284" xfId="20" applyFont="1" applyBorder="1" applyAlignment="1">
      <alignment horizontal="center"/>
    </xf>
    <xf numFmtId="0" fontId="173" fillId="0" borderId="0" xfId="20" applyFont="1" applyAlignment="1">
      <alignment horizontal="center"/>
    </xf>
    <xf numFmtId="0" fontId="170" fillId="0" borderId="290" xfId="20" applyFont="1" applyBorder="1" applyAlignment="1">
      <alignment horizontal="center"/>
    </xf>
    <xf numFmtId="0" fontId="170" fillId="0" borderId="242" xfId="20" applyFont="1" applyBorder="1" applyAlignment="1">
      <alignment horizontal="center"/>
    </xf>
    <xf numFmtId="0" fontId="170" fillId="0" borderId="263" xfId="20" applyFont="1" applyBorder="1" applyAlignment="1">
      <alignment horizontal="center" wrapText="1"/>
    </xf>
    <xf numFmtId="0" fontId="170" fillId="0" borderId="273" xfId="20" applyFont="1" applyBorder="1" applyAlignment="1">
      <alignment horizontal="center" wrapText="1"/>
    </xf>
    <xf numFmtId="0" fontId="169" fillId="0" borderId="281" xfId="20" applyFont="1" applyBorder="1" applyAlignment="1">
      <alignment horizontal="center"/>
    </xf>
    <xf numFmtId="0" fontId="169" fillId="0" borderId="289" xfId="20" applyFont="1" applyBorder="1" applyAlignment="1">
      <alignment horizontal="center"/>
    </xf>
    <xf numFmtId="0" fontId="54" fillId="0" borderId="0" xfId="20" applyNumberFormat="1" applyFont="1" applyAlignment="1">
      <alignment horizontal="center"/>
    </xf>
    <xf numFmtId="0" fontId="57" fillId="0" borderId="0" xfId="20" applyFont="1" applyAlignment="1">
      <alignment horizontal="center"/>
    </xf>
    <xf numFmtId="0" fontId="52" fillId="0" borderId="0" xfId="20" applyFont="1" applyAlignment="1">
      <alignment horizontal="center"/>
    </xf>
    <xf numFmtId="0" fontId="169" fillId="0" borderId="292" xfId="20" applyFont="1" applyBorder="1" applyAlignment="1">
      <alignment horizontal="center" vertical="center"/>
    </xf>
    <xf numFmtId="0" fontId="169" fillId="0" borderId="288" xfId="20" applyFont="1" applyBorder="1" applyAlignment="1">
      <alignment horizontal="center" vertical="center" wrapText="1"/>
    </xf>
    <xf numFmtId="0" fontId="169" fillId="0" borderId="254" xfId="20" applyFont="1" applyBorder="1" applyAlignment="1">
      <alignment horizontal="center" vertical="center" wrapText="1"/>
    </xf>
    <xf numFmtId="0" fontId="170" fillId="0" borderId="247" xfId="20" applyFont="1" applyBorder="1" applyAlignment="1">
      <alignment horizontal="left"/>
    </xf>
    <xf numFmtId="0" fontId="170" fillId="0" borderId="250" xfId="20" applyFont="1" applyBorder="1" applyAlignment="1">
      <alignment horizontal="left"/>
    </xf>
    <xf numFmtId="0" fontId="170" fillId="0" borderId="240" xfId="20" applyFont="1" applyBorder="1" applyAlignment="1">
      <alignment horizontal="left"/>
    </xf>
    <xf numFmtId="0" fontId="170" fillId="0" borderId="244" xfId="20" applyFont="1" applyBorder="1" applyAlignment="1">
      <alignment horizontal="left"/>
    </xf>
    <xf numFmtId="0" fontId="170" fillId="0" borderId="254" xfId="20" applyFont="1" applyBorder="1" applyAlignment="1">
      <alignment horizontal="left"/>
    </xf>
    <xf numFmtId="0" fontId="170" fillId="0" borderId="256" xfId="20" applyFont="1" applyBorder="1" applyAlignment="1">
      <alignment horizontal="left"/>
    </xf>
    <xf numFmtId="0" fontId="170" fillId="0" borderId="248" xfId="20" applyFont="1" applyBorder="1" applyAlignment="1">
      <alignment horizontal="center"/>
    </xf>
    <xf numFmtId="49" fontId="112" fillId="0" borderId="0" xfId="0" applyNumberFormat="1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58" fillId="0" borderId="0" xfId="0" applyFont="1" applyBorder="1" applyAlignment="1">
      <alignment horizontal="right"/>
    </xf>
    <xf numFmtId="0" fontId="178" fillId="20" borderId="163" xfId="0" applyFont="1" applyFill="1" applyBorder="1" applyAlignment="1">
      <alignment horizontal="center"/>
    </xf>
    <xf numFmtId="0" fontId="178" fillId="20" borderId="44" xfId="0" applyFont="1" applyFill="1" applyBorder="1" applyAlignment="1">
      <alignment horizontal="center"/>
    </xf>
    <xf numFmtId="0" fontId="178" fillId="20" borderId="51" xfId="0" applyFont="1" applyFill="1" applyBorder="1" applyAlignment="1">
      <alignment horizontal="center"/>
    </xf>
    <xf numFmtId="0" fontId="53" fillId="0" borderId="209" xfId="0" applyFont="1" applyBorder="1" applyAlignment="1">
      <alignment horizontal="center" vertical="center"/>
    </xf>
    <xf numFmtId="0" fontId="53" fillId="0" borderId="47" xfId="0" applyFont="1" applyBorder="1" applyAlignment="1">
      <alignment horizontal="center" vertical="center"/>
    </xf>
    <xf numFmtId="0" fontId="53" fillId="0" borderId="181" xfId="0" applyFont="1" applyBorder="1" applyAlignment="1">
      <alignment horizontal="center" vertical="center"/>
    </xf>
    <xf numFmtId="0" fontId="175" fillId="20" borderId="197" xfId="0" applyFont="1" applyFill="1" applyBorder="1" applyAlignment="1">
      <alignment horizontal="center" vertical="center"/>
    </xf>
    <xf numFmtId="0" fontId="175" fillId="20" borderId="44" xfId="0" applyFont="1" applyFill="1" applyBorder="1" applyAlignment="1">
      <alignment horizontal="center" vertical="center"/>
    </xf>
    <xf numFmtId="0" fontId="175" fillId="20" borderId="182" xfId="0" applyFont="1" applyFill="1" applyBorder="1" applyAlignment="1">
      <alignment horizontal="center" vertical="center"/>
    </xf>
    <xf numFmtId="0" fontId="175" fillId="20" borderId="41" xfId="0" applyFont="1" applyFill="1" applyBorder="1" applyAlignment="1">
      <alignment horizontal="center"/>
    </xf>
    <xf numFmtId="0" fontId="175" fillId="20" borderId="30" xfId="0" applyFont="1" applyFill="1" applyBorder="1" applyAlignment="1">
      <alignment horizontal="center"/>
    </xf>
    <xf numFmtId="0" fontId="175" fillId="20" borderId="43" xfId="0" applyFont="1" applyFill="1" applyBorder="1" applyAlignment="1">
      <alignment horizontal="center"/>
    </xf>
    <xf numFmtId="0" fontId="175" fillId="20" borderId="41" xfId="0" applyFont="1" applyFill="1" applyBorder="1" applyAlignment="1">
      <alignment horizontal="center" vertical="center" wrapText="1"/>
    </xf>
    <xf numFmtId="0" fontId="175" fillId="20" borderId="204" xfId="0" applyFont="1" applyFill="1" applyBorder="1" applyAlignment="1">
      <alignment horizontal="center" vertical="center" wrapText="1"/>
    </xf>
    <xf numFmtId="0" fontId="175" fillId="20" borderId="160" xfId="0" applyFont="1" applyFill="1" applyBorder="1" applyAlignment="1">
      <alignment horizontal="center"/>
    </xf>
    <xf numFmtId="0" fontId="175" fillId="20" borderId="133" xfId="0" applyFont="1" applyFill="1" applyBorder="1" applyAlignment="1">
      <alignment horizontal="center"/>
    </xf>
    <xf numFmtId="0" fontId="175" fillId="20" borderId="38" xfId="0" applyFont="1" applyFill="1" applyBorder="1" applyAlignment="1">
      <alignment horizontal="center" vertical="center"/>
    </xf>
    <xf numFmtId="0" fontId="175" fillId="20" borderId="38" xfId="0" applyFont="1" applyFill="1" applyBorder="1" applyAlignment="1">
      <alignment horizontal="center" vertical="center" wrapText="1"/>
    </xf>
    <xf numFmtId="0" fontId="175" fillId="20" borderId="45" xfId="0" applyFont="1" applyFill="1" applyBorder="1" applyAlignment="1">
      <alignment horizontal="center" vertical="center" wrapText="1"/>
    </xf>
    <xf numFmtId="0" fontId="175" fillId="20" borderId="30" xfId="0" applyFont="1" applyFill="1" applyBorder="1" applyAlignment="1">
      <alignment horizontal="center" vertical="center" wrapText="1"/>
    </xf>
    <xf numFmtId="0" fontId="175" fillId="20" borderId="43" xfId="0" applyFont="1" applyFill="1" applyBorder="1" applyAlignment="1">
      <alignment horizontal="center" vertical="center" wrapText="1"/>
    </xf>
    <xf numFmtId="0" fontId="61" fillId="0" borderId="36" xfId="0" applyFont="1" applyBorder="1" applyAlignment="1">
      <alignment horizontal="center" vertical="center"/>
    </xf>
    <xf numFmtId="0" fontId="61" fillId="0" borderId="175" xfId="0" applyFont="1" applyBorder="1" applyAlignment="1">
      <alignment horizontal="center" vertical="center"/>
    </xf>
    <xf numFmtId="0" fontId="177" fillId="0" borderId="41" xfId="0" applyFont="1" applyBorder="1" applyAlignment="1">
      <alignment vertical="center" wrapText="1"/>
    </xf>
    <xf numFmtId="0" fontId="177" fillId="0" borderId="204" xfId="0" applyFont="1" applyBorder="1" applyAlignment="1">
      <alignment vertical="center" wrapText="1"/>
    </xf>
    <xf numFmtId="0" fontId="119" fillId="0" borderId="0" xfId="0" applyFont="1" applyAlignment="1">
      <alignment horizontal="center" wrapText="1"/>
    </xf>
    <xf numFmtId="0" fontId="119" fillId="0" borderId="0" xfId="0" applyFont="1" applyAlignment="1">
      <alignment horizontal="center"/>
    </xf>
    <xf numFmtId="0" fontId="10" fillId="0" borderId="28" xfId="0" applyFont="1" applyBorder="1"/>
    <xf numFmtId="0" fontId="179" fillId="0" borderId="0" xfId="22" applyFont="1" applyFill="1" applyAlignment="1">
      <alignment horizontal="left"/>
    </xf>
    <xf numFmtId="0" fontId="1" fillId="0" borderId="0" xfId="22"/>
    <xf numFmtId="0" fontId="181" fillId="0" borderId="52" xfId="22" applyFont="1" applyFill="1" applyBorder="1" applyAlignment="1">
      <alignment horizontal="right"/>
    </xf>
    <xf numFmtId="0" fontId="181" fillId="0" borderId="52" xfId="22" applyFont="1" applyFill="1" applyBorder="1" applyAlignment="1">
      <alignment horizontal="left"/>
    </xf>
    <xf numFmtId="0" fontId="183" fillId="0" borderId="94" xfId="22" applyFont="1" applyFill="1" applyBorder="1" applyAlignment="1">
      <alignment horizontal="center" vertical="center" textRotation="90"/>
    </xf>
    <xf numFmtId="0" fontId="183" fillId="0" borderId="95" xfId="22" applyFont="1" applyFill="1" applyBorder="1" applyAlignment="1">
      <alignment horizontal="center" vertical="center"/>
    </xf>
    <xf numFmtId="0" fontId="183" fillId="0" borderId="95" xfId="22" applyFont="1" applyFill="1" applyBorder="1" applyAlignment="1">
      <alignment horizontal="center" vertical="center" wrapText="1"/>
    </xf>
    <xf numFmtId="0" fontId="183" fillId="0" borderId="95" xfId="22" applyFont="1" applyBorder="1" applyAlignment="1">
      <alignment horizontal="center" vertical="center"/>
    </xf>
    <xf numFmtId="0" fontId="184" fillId="0" borderId="95" xfId="22" applyFont="1" applyBorder="1" applyAlignment="1">
      <alignment horizontal="center" vertical="center"/>
    </xf>
    <xf numFmtId="0" fontId="184" fillId="0" borderId="108" xfId="22" applyFont="1" applyBorder="1" applyAlignment="1">
      <alignment horizontal="center" vertical="center"/>
    </xf>
    <xf numFmtId="0" fontId="183" fillId="0" borderId="111" xfId="22" applyFont="1" applyFill="1" applyBorder="1" applyAlignment="1">
      <alignment horizontal="center" vertical="center" textRotation="90"/>
    </xf>
    <xf numFmtId="1" fontId="183" fillId="0" borderId="110" xfId="22" applyNumberFormat="1" applyFont="1" applyFill="1" applyBorder="1" applyAlignment="1">
      <alignment horizontal="center"/>
    </xf>
    <xf numFmtId="0" fontId="183" fillId="0" borderId="84" xfId="22" applyFont="1" applyFill="1" applyBorder="1" applyAlignment="1">
      <alignment horizontal="center"/>
    </xf>
    <xf numFmtId="1" fontId="185" fillId="0" borderId="110" xfId="22" applyNumberFormat="1" applyFont="1" applyFill="1" applyBorder="1" applyAlignment="1">
      <alignment horizontal="center"/>
    </xf>
    <xf numFmtId="179" fontId="183" fillId="0" borderId="110" xfId="22" applyNumberFormat="1" applyFont="1" applyBorder="1" applyAlignment="1">
      <alignment horizontal="center"/>
    </xf>
    <xf numFmtId="179" fontId="184" fillId="0" borderId="110" xfId="22" applyNumberFormat="1" applyFont="1" applyBorder="1" applyAlignment="1">
      <alignment horizontal="center"/>
    </xf>
    <xf numFmtId="1" fontId="184" fillId="0" borderId="103" xfId="22" applyNumberFormat="1" applyFont="1" applyBorder="1" applyAlignment="1">
      <alignment horizontal="center"/>
    </xf>
    <xf numFmtId="0" fontId="183" fillId="0" borderId="96" xfId="22" applyFont="1" applyFill="1" applyBorder="1" applyAlignment="1">
      <alignment horizontal="center" vertical="center" textRotation="90"/>
    </xf>
    <xf numFmtId="0" fontId="183" fillId="0" borderId="97" xfId="22" applyFont="1" applyFill="1" applyBorder="1" applyAlignment="1">
      <alignment horizontal="center"/>
    </xf>
    <xf numFmtId="0" fontId="183" fillId="0" borderId="296" xfId="22" applyFont="1" applyFill="1" applyBorder="1" applyAlignment="1">
      <alignment horizontal="center"/>
    </xf>
    <xf numFmtId="0" fontId="185" fillId="0" borderId="97" xfId="22" applyFont="1" applyFill="1" applyBorder="1" applyAlignment="1">
      <alignment horizontal="center"/>
    </xf>
    <xf numFmtId="0" fontId="183" fillId="0" borderId="97" xfId="22" applyFont="1" applyBorder="1" applyAlignment="1">
      <alignment horizontal="center"/>
    </xf>
    <xf numFmtId="0" fontId="184" fillId="0" borderId="97" xfId="22" applyFont="1" applyBorder="1" applyAlignment="1">
      <alignment horizontal="center"/>
    </xf>
    <xf numFmtId="0" fontId="184" fillId="0" borderId="98" xfId="22" applyFont="1" applyBorder="1" applyAlignment="1">
      <alignment horizontal="center"/>
    </xf>
    <xf numFmtId="0" fontId="186" fillId="0" borderId="0" xfId="22" applyFont="1" applyFill="1" applyAlignment="1">
      <alignment horizontal="left"/>
    </xf>
    <xf numFmtId="0" fontId="187" fillId="0" borderId="0" xfId="22" applyFont="1" applyFill="1" applyAlignment="1">
      <alignment horizontal="left"/>
    </xf>
    <xf numFmtId="0" fontId="188" fillId="0" borderId="0" xfId="22" applyFont="1" applyAlignment="1">
      <alignment horizontal="left"/>
    </xf>
    <xf numFmtId="0" fontId="188" fillId="0" borderId="0" xfId="22" applyFont="1" applyBorder="1" applyAlignment="1">
      <alignment horizontal="left"/>
    </xf>
    <xf numFmtId="0" fontId="163" fillId="0" borderId="297" xfId="22" applyFont="1" applyBorder="1"/>
    <xf numFmtId="43" fontId="163" fillId="0" borderId="298" xfId="22" applyNumberFormat="1" applyFont="1" applyBorder="1"/>
    <xf numFmtId="180" fontId="163" fillId="0" borderId="299" xfId="22" applyNumberFormat="1" applyFont="1" applyBorder="1"/>
    <xf numFmtId="0" fontId="163" fillId="0" borderId="300" xfId="22" applyFont="1" applyBorder="1"/>
    <xf numFmtId="9" fontId="163" fillId="43" borderId="25" xfId="23" applyFont="1" applyFill="1" applyBorder="1" applyProtection="1">
      <protection locked="0"/>
    </xf>
    <xf numFmtId="180" fontId="163" fillId="0" borderId="54" xfId="22" applyNumberFormat="1" applyFont="1" applyBorder="1"/>
    <xf numFmtId="0" fontId="189" fillId="0" borderId="0" xfId="22" applyFont="1" applyAlignment="1">
      <alignment horizontal="left"/>
    </xf>
    <xf numFmtId="2" fontId="189" fillId="43" borderId="109" xfId="22" applyNumberFormat="1" applyFont="1" applyFill="1" applyBorder="1" applyAlignment="1" applyProtection="1">
      <alignment horizontal="left"/>
      <protection locked="0"/>
    </xf>
    <xf numFmtId="0" fontId="188" fillId="0" borderId="94" xfId="22" applyFont="1" applyBorder="1" applyAlignment="1">
      <alignment horizontal="center"/>
    </xf>
    <xf numFmtId="0" fontId="188" fillId="0" borderId="108" xfId="22" applyFont="1" applyBorder="1" applyAlignment="1">
      <alignment horizontal="center"/>
    </xf>
    <xf numFmtId="14" fontId="189" fillId="0" borderId="0" xfId="22" applyNumberFormat="1" applyFont="1" applyAlignment="1">
      <alignment horizontal="left"/>
    </xf>
    <xf numFmtId="179" fontId="189" fillId="43" borderId="96" xfId="22" applyNumberFormat="1" applyFont="1" applyFill="1" applyBorder="1" applyAlignment="1" applyProtection="1">
      <alignment horizontal="center"/>
      <protection locked="0"/>
    </xf>
    <xf numFmtId="179" fontId="189" fillId="43" borderId="98" xfId="22" applyNumberFormat="1" applyFont="1" applyFill="1" applyBorder="1" applyAlignment="1" applyProtection="1">
      <alignment horizontal="center"/>
      <protection locked="0"/>
    </xf>
    <xf numFmtId="0" fontId="188" fillId="0" borderId="0" xfId="22" applyFont="1" applyAlignment="1"/>
    <xf numFmtId="0" fontId="190" fillId="0" borderId="0" xfId="22" applyFont="1" applyAlignment="1"/>
    <xf numFmtId="0" fontId="163" fillId="0" borderId="301" xfId="22" applyFont="1" applyBorder="1"/>
    <xf numFmtId="43" fontId="163" fillId="0" borderId="302" xfId="22" applyNumberFormat="1" applyFont="1" applyBorder="1"/>
    <xf numFmtId="180" fontId="163" fillId="0" borderId="303" xfId="22" applyNumberFormat="1" applyFont="1" applyBorder="1"/>
    <xf numFmtId="0" fontId="190" fillId="0" borderId="0" xfId="22" applyFont="1" applyAlignment="1">
      <alignment horizontal="left"/>
    </xf>
    <xf numFmtId="0" fontId="188" fillId="44" borderId="304" xfId="22" applyFont="1" applyFill="1" applyBorder="1" applyAlignment="1">
      <alignment horizontal="center" vertical="center"/>
    </xf>
    <xf numFmtId="0" fontId="188" fillId="44" borderId="305" xfId="22" applyFont="1" applyFill="1" applyBorder="1" applyAlignment="1">
      <alignment horizontal="center" vertical="center"/>
    </xf>
    <xf numFmtId="0" fontId="188" fillId="44" borderId="306" xfId="22" applyFont="1" applyFill="1" applyBorder="1" applyAlignment="1">
      <alignment horizontal="center" vertical="center"/>
    </xf>
    <xf numFmtId="43" fontId="191" fillId="44" borderId="298" xfId="24" applyFont="1" applyFill="1" applyBorder="1" applyAlignment="1">
      <alignment horizontal="center" vertical="center" wrapText="1"/>
    </xf>
    <xf numFmtId="0" fontId="191" fillId="44" borderId="299" xfId="22" applyFont="1" applyFill="1" applyBorder="1" applyAlignment="1">
      <alignment horizontal="center" vertical="center" wrapText="1"/>
    </xf>
    <xf numFmtId="0" fontId="188" fillId="44" borderId="307" xfId="22" applyFont="1" applyFill="1" applyBorder="1" applyAlignment="1">
      <alignment horizontal="center" vertical="center"/>
    </xf>
    <xf numFmtId="0" fontId="188" fillId="44" borderId="308" xfId="22" applyFont="1" applyFill="1" applyBorder="1" applyAlignment="1">
      <alignment horizontal="center" vertical="center"/>
    </xf>
    <xf numFmtId="0" fontId="188" fillId="44" borderId="309" xfId="22" applyFont="1" applyFill="1" applyBorder="1" applyAlignment="1">
      <alignment horizontal="center" vertical="center"/>
    </xf>
    <xf numFmtId="43" fontId="191" fillId="44" borderId="55" xfId="24" applyFont="1" applyFill="1" applyBorder="1" applyAlignment="1">
      <alignment horizontal="center" vertical="center" wrapText="1"/>
    </xf>
    <xf numFmtId="0" fontId="191" fillId="44" borderId="310" xfId="22" applyFont="1" applyFill="1" applyBorder="1" applyAlignment="1">
      <alignment horizontal="center" vertical="center" wrapText="1"/>
    </xf>
    <xf numFmtId="0" fontId="192" fillId="0" borderId="94" xfId="22" applyFont="1" applyBorder="1" applyAlignment="1">
      <alignment horizontal="center" vertical="center"/>
    </xf>
    <xf numFmtId="0" fontId="193" fillId="0" borderId="95" xfId="22" applyFont="1" applyBorder="1" applyAlignment="1">
      <alignment vertical="center"/>
    </xf>
    <xf numFmtId="180" fontId="163" fillId="0" borderId="95" xfId="22" applyNumberFormat="1" applyFont="1" applyBorder="1" applyAlignment="1">
      <alignment vertical="center"/>
    </xf>
    <xf numFmtId="180" fontId="1" fillId="0" borderId="95" xfId="22" applyNumberFormat="1" applyFont="1" applyBorder="1" applyAlignment="1">
      <alignment vertical="center"/>
    </xf>
    <xf numFmtId="180" fontId="1" fillId="0" borderId="95" xfId="22" applyNumberFormat="1" applyBorder="1" applyAlignment="1">
      <alignment vertical="center"/>
    </xf>
    <xf numFmtId="9" fontId="0" fillId="0" borderId="108" xfId="23" applyFont="1" applyBorder="1" applyAlignment="1">
      <alignment vertical="center"/>
    </xf>
    <xf numFmtId="0" fontId="192" fillId="0" borderId="111" xfId="22" applyFont="1" applyBorder="1" applyAlignment="1">
      <alignment horizontal="center" vertical="center"/>
    </xf>
    <xf numFmtId="0" fontId="193" fillId="0" borderId="110" xfId="22" applyFont="1" applyBorder="1" applyAlignment="1">
      <alignment vertical="center"/>
    </xf>
    <xf numFmtId="180" fontId="163" fillId="0" borderId="110" xfId="22" applyNumberFormat="1" applyFont="1" applyBorder="1" applyAlignment="1">
      <alignment vertical="center"/>
    </xf>
    <xf numFmtId="180" fontId="1" fillId="0" borderId="110" xfId="22" applyNumberFormat="1" applyFont="1" applyBorder="1" applyAlignment="1">
      <alignment vertical="center"/>
    </xf>
    <xf numFmtId="180" fontId="1" fillId="0" borderId="110" xfId="22" applyNumberFormat="1" applyBorder="1" applyAlignment="1">
      <alignment vertical="center"/>
    </xf>
    <xf numFmtId="9" fontId="0" fillId="0" borderId="103" xfId="23" applyFont="1" applyBorder="1" applyAlignment="1">
      <alignment vertical="center"/>
    </xf>
    <xf numFmtId="0" fontId="193" fillId="0" borderId="110" xfId="22" applyFont="1" applyBorder="1" applyAlignment="1">
      <alignment horizontal="center" vertical="center" wrapText="1"/>
    </xf>
    <xf numFmtId="0" fontId="188" fillId="44" borderId="111" xfId="22" applyFont="1" applyFill="1" applyBorder="1" applyAlignment="1">
      <alignment horizontal="right" vertical="center"/>
    </xf>
    <xf numFmtId="0" fontId="188" fillId="0" borderId="110" xfId="22" applyFont="1" applyBorder="1" applyAlignment="1">
      <alignment horizontal="right" vertical="center"/>
    </xf>
    <xf numFmtId="180" fontId="195" fillId="44" borderId="110" xfId="25" applyNumberFormat="1" applyFont="1" applyFill="1" applyBorder="1" applyAlignment="1">
      <alignment vertical="center"/>
    </xf>
    <xf numFmtId="9" fontId="0" fillId="44" borderId="103" xfId="23" applyFont="1" applyFill="1" applyBorder="1" applyAlignment="1">
      <alignment vertical="center"/>
    </xf>
    <xf numFmtId="0" fontId="1" fillId="44" borderId="96" xfId="22" applyFill="1" applyBorder="1" applyAlignment="1">
      <alignment horizontal="center"/>
    </xf>
    <xf numFmtId="0" fontId="1" fillId="0" borderId="97" xfId="22" applyBorder="1"/>
    <xf numFmtId="0" fontId="188" fillId="44" borderId="97" xfId="22" applyFont="1" applyFill="1" applyBorder="1" applyAlignment="1">
      <alignment horizontal="left"/>
    </xf>
    <xf numFmtId="0" fontId="191" fillId="44" borderId="97" xfId="22" applyFont="1" applyFill="1" applyBorder="1" applyAlignment="1">
      <alignment horizontal="center" vertical="center" wrapText="1"/>
    </xf>
    <xf numFmtId="180" fontId="195" fillId="44" borderId="97" xfId="25" applyNumberFormat="1" applyFont="1" applyFill="1" applyBorder="1"/>
    <xf numFmtId="9" fontId="0" fillId="44" borderId="98" xfId="23" applyFont="1" applyFill="1" applyBorder="1"/>
    <xf numFmtId="0" fontId="163" fillId="0" borderId="0" xfId="22" applyFont="1" applyAlignment="1">
      <alignment horizontal="left"/>
    </xf>
    <xf numFmtId="0" fontId="163" fillId="44" borderId="311" xfId="22" applyFont="1" applyFill="1" applyBorder="1" applyAlignment="1">
      <alignment horizontal="center"/>
    </xf>
    <xf numFmtId="0" fontId="163" fillId="44" borderId="57" xfId="22" applyFont="1" applyFill="1" applyBorder="1" applyAlignment="1">
      <alignment horizontal="center"/>
    </xf>
    <xf numFmtId="0" fontId="163" fillId="44" borderId="57" xfId="22" applyFont="1" applyFill="1" applyBorder="1" applyAlignment="1">
      <alignment horizontal="center"/>
    </xf>
    <xf numFmtId="0" fontId="163" fillId="44" borderId="312" xfId="22" applyFont="1" applyFill="1" applyBorder="1" applyAlignment="1">
      <alignment horizontal="center"/>
    </xf>
    <xf numFmtId="0" fontId="1" fillId="0" borderId="94" xfId="22" applyBorder="1" applyAlignment="1">
      <alignment horizontal="left"/>
    </xf>
    <xf numFmtId="0" fontId="1" fillId="0" borderId="95" xfId="22" applyBorder="1" applyAlignment="1">
      <alignment horizontal="left"/>
    </xf>
    <xf numFmtId="181" fontId="192" fillId="0" borderId="95" xfId="22" applyNumberFormat="1" applyFont="1" applyBorder="1"/>
    <xf numFmtId="181" fontId="196" fillId="0" borderId="95" xfId="22" applyNumberFormat="1" applyFont="1" applyBorder="1"/>
    <xf numFmtId="0" fontId="1" fillId="0" borderId="95" xfId="22" applyBorder="1"/>
    <xf numFmtId="0" fontId="1" fillId="0" borderId="108" xfId="22" applyBorder="1"/>
    <xf numFmtId="0" fontId="1" fillId="0" borderId="313" xfId="22" applyBorder="1" applyAlignment="1">
      <alignment horizontal="left"/>
    </xf>
    <xf numFmtId="0" fontId="1" fillId="0" borderId="80" xfId="22" applyBorder="1" applyAlignment="1">
      <alignment horizontal="left"/>
    </xf>
    <xf numFmtId="0" fontId="1" fillId="0" borderId="84" xfId="22" applyBorder="1" applyAlignment="1">
      <alignment horizontal="left"/>
    </xf>
    <xf numFmtId="181" fontId="192" fillId="0" borderId="121" xfId="22" applyNumberFormat="1" applyFont="1" applyBorder="1"/>
    <xf numFmtId="181" fontId="196" fillId="0" borderId="121" xfId="22" applyNumberFormat="1" applyFont="1" applyBorder="1"/>
    <xf numFmtId="0" fontId="1" fillId="0" borderId="121" xfId="22" applyBorder="1"/>
    <xf numFmtId="0" fontId="1" fillId="0" borderId="136" xfId="22" applyBorder="1"/>
    <xf numFmtId="0" fontId="1" fillId="0" borderId="111" xfId="22" applyBorder="1" applyAlignment="1">
      <alignment horizontal="left"/>
    </xf>
    <xf numFmtId="0" fontId="1" fillId="0" borderId="110" xfId="22" applyBorder="1" applyAlignment="1">
      <alignment horizontal="left"/>
    </xf>
    <xf numFmtId="181" fontId="196" fillId="0" borderId="110" xfId="22" applyNumberFormat="1" applyFont="1" applyBorder="1"/>
    <xf numFmtId="0" fontId="1" fillId="0" borderId="110" xfId="22" applyBorder="1"/>
    <xf numFmtId="0" fontId="1" fillId="0" borderId="103" xfId="22" applyBorder="1"/>
    <xf numFmtId="43" fontId="0" fillId="0" borderId="0" xfId="24" applyFont="1"/>
    <xf numFmtId="181" fontId="196" fillId="0" borderId="99" xfId="22" applyNumberFormat="1" applyFont="1" applyBorder="1"/>
    <xf numFmtId="0" fontId="1" fillId="0" borderId="99" xfId="22" applyBorder="1"/>
    <xf numFmtId="0" fontId="1" fillId="0" borderId="188" xfId="22" applyBorder="1"/>
    <xf numFmtId="0" fontId="1" fillId="44" borderId="97" xfId="22" applyFill="1" applyBorder="1" applyAlignment="1">
      <alignment horizontal="center"/>
    </xf>
    <xf numFmtId="181" fontId="196" fillId="44" borderId="97" xfId="22" applyNumberFormat="1" applyFont="1" applyFill="1" applyBorder="1"/>
    <xf numFmtId="0" fontId="1" fillId="44" borderId="97" xfId="22" applyFill="1" applyBorder="1"/>
    <xf numFmtId="0" fontId="1" fillId="44" borderId="98" xfId="22" applyFill="1" applyBorder="1"/>
    <xf numFmtId="0" fontId="13" fillId="0" borderId="0" xfId="26" applyAlignment="1">
      <alignment vertical="center"/>
    </xf>
    <xf numFmtId="9" fontId="13" fillId="0" borderId="0" xfId="27" applyAlignment="1">
      <alignment vertical="center"/>
    </xf>
    <xf numFmtId="0" fontId="197" fillId="0" borderId="0" xfId="22" applyFont="1" applyFill="1" applyAlignment="1">
      <alignment horizontal="left" vertical="center"/>
    </xf>
    <xf numFmtId="0" fontId="13" fillId="0" borderId="0" xfId="26" applyAlignment="1">
      <alignment horizontal="center" vertical="center"/>
    </xf>
    <xf numFmtId="9" fontId="13" fillId="0" borderId="0" xfId="27" applyAlignment="1">
      <alignment horizontal="center" vertical="center"/>
    </xf>
    <xf numFmtId="4" fontId="200" fillId="0" borderId="0" xfId="28" applyNumberFormat="1" applyFont="1" applyAlignment="1">
      <alignment horizontal="left"/>
    </xf>
    <xf numFmtId="4" fontId="200" fillId="0" borderId="0" xfId="28" applyNumberFormat="1" applyFont="1" applyAlignment="1"/>
    <xf numFmtId="0" fontId="197" fillId="0" borderId="0" xfId="22" applyFont="1" applyFill="1" applyAlignment="1">
      <alignment horizontal="left" vertical="center"/>
    </xf>
    <xf numFmtId="4" fontId="200" fillId="0" borderId="0" xfId="28" applyNumberFormat="1" applyFont="1" applyAlignment="1">
      <alignment horizontal="left"/>
    </xf>
    <xf numFmtId="0" fontId="13" fillId="0" borderId="0" xfId="26" applyFont="1" applyBorder="1" applyAlignment="1">
      <alignment horizontal="right" vertical="center"/>
    </xf>
    <xf numFmtId="182" fontId="13" fillId="0" borderId="0" xfId="26" quotePrefix="1" applyNumberFormat="1" applyFont="1" applyAlignment="1">
      <alignment horizontal="center" vertical="center" shrinkToFit="1"/>
    </xf>
    <xf numFmtId="183" fontId="13" fillId="0" borderId="0" xfId="26" applyNumberFormat="1" applyAlignment="1">
      <alignment horizontal="center" vertical="center" shrinkToFit="1"/>
    </xf>
    <xf numFmtId="182" fontId="13" fillId="0" borderId="0" xfId="26" quotePrefix="1" applyNumberFormat="1" applyAlignment="1">
      <alignment horizontal="center" vertical="center" shrinkToFit="1"/>
    </xf>
    <xf numFmtId="183" fontId="13" fillId="0" borderId="0" xfId="26" applyNumberFormat="1" applyAlignment="1">
      <alignment vertical="center" shrinkToFit="1"/>
    </xf>
    <xf numFmtId="14" fontId="13" fillId="0" borderId="0" xfId="26" applyNumberFormat="1" applyAlignment="1">
      <alignment vertical="center"/>
    </xf>
    <xf numFmtId="0" fontId="13" fillId="0" borderId="0" xfId="26" applyFont="1" applyBorder="1" applyAlignment="1">
      <alignment horizontal="right" vertical="center"/>
    </xf>
    <xf numFmtId="182" fontId="13" fillId="0" borderId="0" xfId="26" applyNumberFormat="1" applyAlignment="1">
      <alignment horizontal="center" vertical="center" shrinkToFit="1"/>
    </xf>
    <xf numFmtId="182" fontId="13" fillId="0" borderId="0" xfId="26" quotePrefix="1" applyNumberFormat="1" applyAlignment="1">
      <alignment horizontal="center" vertical="center" shrinkToFit="1"/>
    </xf>
    <xf numFmtId="0" fontId="15" fillId="36" borderId="314" xfId="26" applyFont="1" applyFill="1" applyBorder="1" applyAlignment="1">
      <alignment horizontal="right" vertical="center"/>
    </xf>
    <xf numFmtId="0" fontId="15" fillId="36" borderId="315" xfId="26" applyFont="1" applyFill="1" applyBorder="1" applyAlignment="1">
      <alignment horizontal="right" vertical="center"/>
    </xf>
    <xf numFmtId="0" fontId="15" fillId="36" borderId="316" xfId="26" applyFont="1" applyFill="1" applyBorder="1" applyAlignment="1">
      <alignment horizontal="right" vertical="center"/>
    </xf>
    <xf numFmtId="4" fontId="201" fillId="36" borderId="314" xfId="26" applyNumberFormat="1" applyFont="1" applyFill="1" applyBorder="1" applyAlignment="1">
      <alignment horizontal="left" vertical="center"/>
    </xf>
    <xf numFmtId="0" fontId="201" fillId="36" borderId="315" xfId="26" applyFont="1" applyFill="1" applyBorder="1" applyAlignment="1">
      <alignment horizontal="left" vertical="center"/>
    </xf>
    <xf numFmtId="0" fontId="201" fillId="36" borderId="316" xfId="26" applyFont="1" applyFill="1" applyBorder="1" applyAlignment="1">
      <alignment horizontal="left" vertical="center"/>
    </xf>
    <xf numFmtId="0" fontId="13" fillId="0" borderId="317" xfId="26" applyBorder="1" applyAlignment="1">
      <alignment vertical="center"/>
    </xf>
    <xf numFmtId="0" fontId="13" fillId="0" borderId="318" xfId="26" applyFont="1" applyBorder="1" applyAlignment="1">
      <alignment horizontal="right" vertical="center"/>
    </xf>
    <xf numFmtId="0" fontId="202" fillId="36" borderId="314" xfId="26" applyFont="1" applyFill="1" applyBorder="1" applyAlignment="1">
      <alignment horizontal="center" vertical="center"/>
    </xf>
    <xf numFmtId="0" fontId="202" fillId="36" borderId="315" xfId="26" applyFont="1" applyFill="1" applyBorder="1" applyAlignment="1">
      <alignment horizontal="center" vertical="center"/>
    </xf>
    <xf numFmtId="0" fontId="202" fillId="36" borderId="316" xfId="26" applyFont="1" applyFill="1" applyBorder="1" applyAlignment="1">
      <alignment horizontal="center" vertical="center"/>
    </xf>
    <xf numFmtId="0" fontId="15" fillId="0" borderId="317" xfId="26" applyFont="1" applyBorder="1" applyAlignment="1">
      <alignment horizontal="right" vertical="center"/>
    </xf>
    <xf numFmtId="0" fontId="15" fillId="0" borderId="0" xfId="26" applyFont="1" applyBorder="1" applyAlignment="1">
      <alignment horizontal="right" vertical="center"/>
    </xf>
    <xf numFmtId="0" fontId="15" fillId="0" borderId="318" xfId="26" applyFont="1" applyBorder="1" applyAlignment="1">
      <alignment horizontal="right" vertical="center"/>
    </xf>
    <xf numFmtId="1" fontId="203" fillId="36" borderId="314" xfId="26" applyNumberFormat="1" applyFont="1" applyFill="1" applyBorder="1" applyAlignment="1">
      <alignment horizontal="center" vertical="center"/>
    </xf>
    <xf numFmtId="1" fontId="203" fillId="36" borderId="316" xfId="26" applyNumberFormat="1" applyFont="1" applyFill="1" applyBorder="1" applyAlignment="1">
      <alignment horizontal="center" vertical="center"/>
    </xf>
    <xf numFmtId="0" fontId="13" fillId="0" borderId="0" xfId="26" applyBorder="1" applyAlignment="1">
      <alignment vertical="center"/>
    </xf>
    <xf numFmtId="0" fontId="15" fillId="0" borderId="319" xfId="26" applyFont="1" applyBorder="1" applyAlignment="1">
      <alignment horizontal="center" vertical="center"/>
    </xf>
    <xf numFmtId="0" fontId="202" fillId="0" borderId="319" xfId="26" applyFont="1" applyBorder="1" applyAlignment="1">
      <alignment horizontal="center" vertical="center"/>
    </xf>
    <xf numFmtId="0" fontId="13" fillId="0" borderId="0" xfId="26" applyFont="1" applyBorder="1" applyAlignment="1">
      <alignment vertical="center"/>
    </xf>
    <xf numFmtId="0" fontId="16" fillId="0" borderId="0" xfId="26" applyFont="1" applyBorder="1" applyAlignment="1">
      <alignment vertical="center"/>
    </xf>
    <xf numFmtId="0" fontId="17" fillId="0" borderId="0" xfId="26" applyFont="1" applyBorder="1" applyAlignment="1">
      <alignment vertical="center"/>
    </xf>
    <xf numFmtId="0" fontId="15" fillId="0" borderId="0" xfId="26" applyFont="1" applyBorder="1" applyAlignment="1">
      <alignment horizontal="center" vertical="center"/>
    </xf>
    <xf numFmtId="0" fontId="203" fillId="0" borderId="319" xfId="26" applyFont="1" applyBorder="1" applyAlignment="1">
      <alignment horizontal="center" vertical="center"/>
    </xf>
    <xf numFmtId="182" fontId="13" fillId="0" borderId="0" xfId="26" applyNumberFormat="1" applyAlignment="1">
      <alignment horizontal="center" vertical="center" shrinkToFit="1"/>
    </xf>
    <xf numFmtId="0" fontId="15" fillId="0" borderId="320" xfId="26" applyFont="1" applyBorder="1" applyAlignment="1">
      <alignment horizontal="center" vertical="center" textRotation="90"/>
    </xf>
    <xf numFmtId="0" fontId="15" fillId="0" borderId="321" xfId="26" applyFont="1" applyBorder="1" applyAlignment="1">
      <alignment horizontal="center" vertical="center"/>
    </xf>
    <xf numFmtId="0" fontId="15" fillId="0" borderId="321" xfId="26" applyFont="1" applyBorder="1" applyAlignment="1">
      <alignment horizontal="center" vertical="center" shrinkToFit="1"/>
    </xf>
    <xf numFmtId="0" fontId="15" fillId="0" borderId="322" xfId="26" applyFont="1" applyBorder="1" applyAlignment="1">
      <alignment horizontal="center" vertical="center"/>
    </xf>
    <xf numFmtId="0" fontId="15" fillId="0" borderId="323" xfId="26" applyFont="1" applyBorder="1" applyAlignment="1">
      <alignment horizontal="center" vertical="center"/>
    </xf>
    <xf numFmtId="0" fontId="15" fillId="0" borderId="324" xfId="26" applyFont="1" applyBorder="1" applyAlignment="1">
      <alignment horizontal="center" vertical="center"/>
    </xf>
    <xf numFmtId="0" fontId="15" fillId="0" borderId="322" xfId="26" applyFont="1" applyBorder="1" applyAlignment="1">
      <alignment horizontal="center" vertical="center" shrinkToFit="1"/>
    </xf>
    <xf numFmtId="0" fontId="15" fillId="0" borderId="323" xfId="26" applyFont="1" applyBorder="1" applyAlignment="1">
      <alignment horizontal="center" vertical="center" shrinkToFit="1"/>
    </xf>
    <xf numFmtId="0" fontId="15" fillId="0" borderId="324" xfId="26" applyFont="1" applyBorder="1" applyAlignment="1">
      <alignment horizontal="center" vertical="center" shrinkToFit="1"/>
    </xf>
    <xf numFmtId="0" fontId="15" fillId="0" borderId="321" xfId="26" applyFont="1" applyBorder="1" applyAlignment="1">
      <alignment vertical="center"/>
    </xf>
    <xf numFmtId="0" fontId="15" fillId="0" borderId="322" xfId="26" applyFont="1" applyBorder="1" applyAlignment="1">
      <alignment vertical="center" shrinkToFit="1"/>
    </xf>
    <xf numFmtId="0" fontId="15" fillId="0" borderId="324" xfId="26" applyFont="1" applyBorder="1" applyAlignment="1">
      <alignment vertical="center" shrinkToFit="1"/>
    </xf>
    <xf numFmtId="0" fontId="17" fillId="0" borderId="321" xfId="26" applyFont="1" applyBorder="1" applyAlignment="1">
      <alignment horizontal="center" vertical="center" shrinkToFit="1"/>
    </xf>
    <xf numFmtId="0" fontId="17" fillId="0" borderId="325" xfId="26" applyFont="1" applyBorder="1" applyAlignment="1">
      <alignment horizontal="center" vertical="center" shrinkToFit="1"/>
    </xf>
    <xf numFmtId="0" fontId="15" fillId="0" borderId="326" xfId="26" applyFont="1" applyBorder="1" applyAlignment="1">
      <alignment horizontal="center" vertical="center" textRotation="90"/>
    </xf>
    <xf numFmtId="1" fontId="201" fillId="45" borderId="327" xfId="26" applyNumberFormat="1" applyFont="1" applyFill="1" applyBorder="1" applyAlignment="1" applyProtection="1">
      <alignment horizontal="center" vertical="center"/>
      <protection locked="0"/>
    </xf>
    <xf numFmtId="1" fontId="201" fillId="45" borderId="327" xfId="29" applyNumberFormat="1" applyFont="1" applyFill="1" applyBorder="1" applyAlignment="1" applyProtection="1">
      <alignment horizontal="center" vertical="center"/>
      <protection locked="0"/>
    </xf>
    <xf numFmtId="1" fontId="20" fillId="0" borderId="327" xfId="26" applyNumberFormat="1" applyFont="1" applyFill="1" applyBorder="1" applyAlignment="1" applyProtection="1">
      <alignment vertical="center"/>
    </xf>
    <xf numFmtId="184" fontId="201" fillId="45" borderId="327" xfId="26" applyNumberFormat="1" applyFont="1" applyFill="1" applyBorder="1" applyAlignment="1" applyProtection="1">
      <alignment horizontal="center" vertical="center" shrinkToFit="1"/>
      <protection locked="0"/>
    </xf>
    <xf numFmtId="184" fontId="201" fillId="0" borderId="327" xfId="26" applyNumberFormat="1" applyFont="1" applyFill="1" applyBorder="1" applyAlignment="1" applyProtection="1">
      <alignment horizontal="center" vertical="center" shrinkToFit="1"/>
    </xf>
    <xf numFmtId="9" fontId="16" fillId="0" borderId="328" xfId="27" applyFont="1" applyBorder="1" applyAlignment="1">
      <alignment horizontal="right" vertical="center" shrinkToFit="1"/>
    </xf>
    <xf numFmtId="9" fontId="16" fillId="0" borderId="328" xfId="27" applyFont="1" applyBorder="1" applyAlignment="1">
      <alignment vertical="center" shrinkToFit="1"/>
    </xf>
    <xf numFmtId="0" fontId="13" fillId="0" borderId="329" xfId="26" applyBorder="1" applyAlignment="1">
      <alignment horizontal="center" vertical="center" shrinkToFit="1"/>
    </xf>
    <xf numFmtId="9" fontId="13" fillId="0" borderId="329" xfId="27" applyFont="1" applyBorder="1" applyAlignment="1">
      <alignment horizontal="center" vertical="center" shrinkToFit="1"/>
    </xf>
    <xf numFmtId="9" fontId="13" fillId="0" borderId="329" xfId="27" applyBorder="1" applyAlignment="1">
      <alignment horizontal="center" vertical="center" shrinkToFit="1"/>
    </xf>
    <xf numFmtId="0" fontId="13" fillId="0" borderId="330" xfId="26" applyBorder="1" applyAlignment="1">
      <alignment horizontal="center" vertical="center" shrinkToFit="1"/>
    </xf>
    <xf numFmtId="0" fontId="15" fillId="0" borderId="331" xfId="26" applyFont="1" applyBorder="1" applyAlignment="1">
      <alignment horizontal="center" vertical="center" textRotation="90"/>
    </xf>
    <xf numFmtId="1" fontId="201" fillId="45" borderId="332" xfId="26" applyNumberFormat="1" applyFont="1" applyFill="1" applyBorder="1" applyAlignment="1" applyProtection="1">
      <alignment horizontal="center" vertical="center"/>
      <protection locked="0"/>
    </xf>
    <xf numFmtId="1" fontId="201" fillId="45" borderId="332" xfId="29" applyNumberFormat="1" applyFont="1" applyFill="1" applyBorder="1" applyAlignment="1" applyProtection="1">
      <alignment horizontal="center" vertical="center"/>
      <protection locked="0"/>
    </xf>
    <xf numFmtId="1" fontId="20" fillId="0" borderId="332" xfId="26" applyNumberFormat="1" applyFont="1" applyFill="1" applyBorder="1" applyAlignment="1" applyProtection="1">
      <alignment vertical="center"/>
    </xf>
    <xf numFmtId="184" fontId="201" fillId="45" borderId="332" xfId="26" applyNumberFormat="1" applyFont="1" applyFill="1" applyBorder="1" applyAlignment="1" applyProtection="1">
      <alignment horizontal="center" vertical="center" shrinkToFit="1"/>
      <protection locked="0"/>
    </xf>
    <xf numFmtId="184" fontId="201" fillId="0" borderId="332" xfId="26" applyNumberFormat="1" applyFont="1" applyFill="1" applyBorder="1" applyAlignment="1" applyProtection="1">
      <alignment horizontal="center" vertical="center" shrinkToFit="1"/>
    </xf>
    <xf numFmtId="1" fontId="201" fillId="0" borderId="332" xfId="26" applyNumberFormat="1" applyFont="1" applyBorder="1" applyAlignment="1">
      <alignment horizontal="center" vertical="center"/>
    </xf>
    <xf numFmtId="1" fontId="201" fillId="0" borderId="332" xfId="26" applyNumberFormat="1" applyFont="1" applyBorder="1" applyAlignment="1">
      <alignment horizontal="center" vertical="center" shrinkToFit="1"/>
    </xf>
    <xf numFmtId="43" fontId="17" fillId="0" borderId="333" xfId="26" applyNumberFormat="1" applyFont="1" applyFill="1" applyBorder="1" applyAlignment="1">
      <alignment horizontal="center" vertical="center" shrinkToFit="1"/>
    </xf>
    <xf numFmtId="0" fontId="17" fillId="0" borderId="333" xfId="26" applyFont="1" applyFill="1" applyBorder="1" applyAlignment="1">
      <alignment horizontal="center" vertical="center" shrinkToFit="1"/>
    </xf>
    <xf numFmtId="43" fontId="17" fillId="46" borderId="333" xfId="26" applyNumberFormat="1" applyFont="1" applyFill="1" applyBorder="1" applyAlignment="1">
      <alignment horizontal="center" vertical="center" shrinkToFit="1"/>
    </xf>
    <xf numFmtId="0" fontId="17" fillId="46" borderId="333" xfId="26" applyFont="1" applyFill="1" applyBorder="1" applyAlignment="1">
      <alignment horizontal="center" vertical="center" shrinkToFit="1"/>
    </xf>
    <xf numFmtId="0" fontId="17" fillId="46" borderId="334" xfId="26" applyFont="1" applyFill="1" applyBorder="1" applyAlignment="1">
      <alignment horizontal="center" vertical="center" shrinkToFit="1"/>
    </xf>
    <xf numFmtId="184" fontId="201" fillId="0" borderId="0" xfId="26" applyNumberFormat="1" applyFont="1" applyBorder="1" applyAlignment="1">
      <alignment horizontal="center" vertical="center"/>
    </xf>
    <xf numFmtId="0" fontId="201" fillId="0" borderId="0" xfId="26" applyFont="1" applyBorder="1" applyAlignment="1">
      <alignment horizontal="center" vertical="center"/>
    </xf>
    <xf numFmtId="1" fontId="201" fillId="0" borderId="0" xfId="26" applyNumberFormat="1" applyFont="1" applyBorder="1" applyAlignment="1">
      <alignment horizontal="center" vertical="center"/>
    </xf>
    <xf numFmtId="0" fontId="13" fillId="0" borderId="0" xfId="26" applyBorder="1"/>
    <xf numFmtId="9" fontId="13" fillId="0" borderId="0" xfId="27" applyBorder="1" applyAlignment="1">
      <alignment vertical="center"/>
    </xf>
    <xf numFmtId="0" fontId="12" fillId="0" borderId="335" xfId="26" applyFont="1" applyBorder="1" applyAlignment="1">
      <alignment horizontal="center" vertical="center" textRotation="90"/>
    </xf>
    <xf numFmtId="0" fontId="12" fillId="0" borderId="336" xfId="26" applyFont="1" applyBorder="1" applyAlignment="1">
      <alignment vertical="center" textRotation="90" shrinkToFit="1"/>
    </xf>
    <xf numFmtId="0" fontId="12" fillId="0" borderId="336" xfId="26" applyFont="1" applyBorder="1" applyAlignment="1">
      <alignment horizontal="center" vertical="center" shrinkToFit="1"/>
    </xf>
    <xf numFmtId="0" fontId="12" fillId="0" borderId="336" xfId="26" applyFont="1" applyBorder="1" applyAlignment="1">
      <alignment horizontal="center" vertical="center"/>
    </xf>
    <xf numFmtId="0" fontId="12" fillId="0" borderId="337" xfId="26" applyFont="1" applyBorder="1" applyAlignment="1">
      <alignment horizontal="left" vertical="center" shrinkToFit="1"/>
    </xf>
    <xf numFmtId="0" fontId="12" fillId="0" borderId="338" xfId="26" applyFont="1" applyBorder="1" applyAlignment="1">
      <alignment horizontal="left" vertical="center" shrinkToFit="1"/>
    </xf>
    <xf numFmtId="0" fontId="12" fillId="0" borderId="339" xfId="26" applyFont="1" applyBorder="1" applyAlignment="1">
      <alignment horizontal="left" vertical="center" shrinkToFit="1"/>
    </xf>
    <xf numFmtId="0" fontId="12" fillId="0" borderId="337" xfId="26" applyFont="1" applyBorder="1" applyAlignment="1">
      <alignment horizontal="center" vertical="center" shrinkToFit="1"/>
    </xf>
    <xf numFmtId="0" fontId="12" fillId="0" borderId="338" xfId="26" applyFont="1" applyBorder="1" applyAlignment="1">
      <alignment horizontal="center" vertical="center" shrinkToFit="1"/>
    </xf>
    <xf numFmtId="0" fontId="12" fillId="0" borderId="339" xfId="26" applyFont="1" applyBorder="1" applyAlignment="1">
      <alignment horizontal="center" vertical="center" shrinkToFit="1"/>
    </xf>
    <xf numFmtId="185" fontId="12" fillId="0" borderId="336" xfId="27" applyNumberFormat="1" applyFont="1" applyBorder="1" applyAlignment="1">
      <alignment horizontal="center" vertical="center" shrinkToFit="1"/>
    </xf>
    <xf numFmtId="185" fontId="12" fillId="0" borderId="340" xfId="27" applyNumberFormat="1" applyFont="1" applyBorder="1" applyAlignment="1">
      <alignment horizontal="center" vertical="center" shrinkToFit="1"/>
    </xf>
    <xf numFmtId="0" fontId="12" fillId="0" borderId="341" xfId="26" applyFont="1" applyBorder="1" applyAlignment="1">
      <alignment horizontal="center" vertical="center" shrinkToFit="1"/>
    </xf>
    <xf numFmtId="0" fontId="12" fillId="0" borderId="342" xfId="26" applyFont="1" applyBorder="1" applyAlignment="1">
      <alignment horizontal="center" vertical="center" textRotation="90"/>
    </xf>
    <xf numFmtId="0" fontId="12" fillId="0" borderId="343" xfId="26" applyFont="1" applyBorder="1" applyAlignment="1">
      <alignment vertical="center" textRotation="90" shrinkToFit="1"/>
    </xf>
    <xf numFmtId="0" fontId="12" fillId="0" borderId="317" xfId="26" applyFont="1" applyBorder="1" applyAlignment="1">
      <alignment horizontal="center" vertical="center" shrinkToFit="1"/>
    </xf>
    <xf numFmtId="0" fontId="12" fillId="0" borderId="0" xfId="26" applyFont="1" applyBorder="1" applyAlignment="1">
      <alignment horizontal="center" vertical="center" shrinkToFit="1"/>
    </xf>
    <xf numFmtId="0" fontId="12" fillId="0" borderId="318" xfId="26" applyFont="1" applyBorder="1" applyAlignment="1">
      <alignment horizontal="center" vertical="center" shrinkToFit="1"/>
    </xf>
    <xf numFmtId="0" fontId="12" fillId="0" borderId="317" xfId="26" applyFont="1" applyBorder="1" applyAlignment="1">
      <alignment horizontal="center" vertical="center"/>
    </xf>
    <xf numFmtId="0" fontId="12" fillId="0" borderId="0" xfId="26" applyFont="1" applyBorder="1" applyAlignment="1">
      <alignment horizontal="center" vertical="center"/>
    </xf>
    <xf numFmtId="0" fontId="12" fillId="0" borderId="318" xfId="26" applyFont="1" applyBorder="1" applyAlignment="1">
      <alignment horizontal="center" vertical="center"/>
    </xf>
    <xf numFmtId="0" fontId="12" fillId="0" borderId="317" xfId="26" applyFont="1" applyBorder="1" applyAlignment="1">
      <alignment horizontal="left" vertical="center" shrinkToFit="1"/>
    </xf>
    <xf numFmtId="0" fontId="12" fillId="0" borderId="0" xfId="26" applyFont="1" applyBorder="1" applyAlignment="1">
      <alignment horizontal="left" vertical="center" shrinkToFit="1"/>
    </xf>
    <xf numFmtId="185" fontId="204" fillId="0" borderId="344" xfId="27" applyNumberFormat="1" applyFont="1" applyBorder="1" applyAlignment="1">
      <alignment horizontal="center" vertical="center" shrinkToFit="1"/>
    </xf>
    <xf numFmtId="185" fontId="12" fillId="0" borderId="317" xfId="27" applyNumberFormat="1" applyFont="1" applyBorder="1" applyAlignment="1">
      <alignment horizontal="center" vertical="center" shrinkToFit="1"/>
    </xf>
    <xf numFmtId="185" fontId="12" fillId="0" borderId="0" xfId="27" applyNumberFormat="1" applyFont="1" applyBorder="1" applyAlignment="1">
      <alignment horizontal="center" vertical="center" shrinkToFit="1"/>
    </xf>
    <xf numFmtId="185" fontId="204" fillId="46" borderId="345" xfId="27" applyNumberFormat="1" applyFont="1" applyFill="1" applyBorder="1" applyAlignment="1">
      <alignment horizontal="center" vertical="center" shrinkToFit="1"/>
    </xf>
    <xf numFmtId="186" fontId="205" fillId="0" borderId="343" xfId="29" applyNumberFormat="1" applyFont="1" applyBorder="1" applyAlignment="1">
      <alignment horizontal="center" vertical="center" shrinkToFit="1"/>
    </xf>
    <xf numFmtId="178" fontId="205" fillId="0" borderId="317" xfId="29" applyNumberFormat="1" applyFont="1" applyBorder="1" applyAlignment="1">
      <alignment vertical="center" shrinkToFit="1"/>
    </xf>
    <xf numFmtId="178" fontId="205" fillId="0" borderId="0" xfId="29" applyNumberFormat="1" applyFont="1" applyBorder="1" applyAlignment="1">
      <alignment vertical="center" shrinkToFit="1"/>
    </xf>
    <xf numFmtId="178" fontId="205" fillId="0" borderId="318" xfId="29" applyNumberFormat="1" applyFont="1" applyBorder="1" applyAlignment="1">
      <alignment vertical="center" shrinkToFit="1"/>
    </xf>
    <xf numFmtId="186" fontId="205" fillId="47" borderId="346" xfId="29" applyNumberFormat="1" applyFont="1" applyFill="1" applyBorder="1" applyAlignment="1" applyProtection="1">
      <alignment horizontal="center" vertical="center" shrinkToFit="1"/>
      <protection locked="0"/>
    </xf>
    <xf numFmtId="186" fontId="205" fillId="47" borderId="347" xfId="29" applyNumberFormat="1" applyFont="1" applyFill="1" applyBorder="1" applyAlignment="1" applyProtection="1">
      <alignment horizontal="center" vertical="center" shrinkToFit="1"/>
      <protection locked="0"/>
    </xf>
    <xf numFmtId="185" fontId="204" fillId="0" borderId="348" xfId="27" applyNumberFormat="1" applyFont="1" applyBorder="1" applyAlignment="1">
      <alignment horizontal="center" vertical="center" shrinkToFit="1"/>
    </xf>
    <xf numFmtId="186" fontId="205" fillId="0" borderId="347" xfId="29" applyNumberFormat="1" applyFont="1" applyBorder="1" applyAlignment="1">
      <alignment horizontal="center" vertical="center"/>
    </xf>
    <xf numFmtId="186" fontId="205" fillId="0" borderId="349" xfId="29" applyNumberFormat="1" applyFont="1" applyBorder="1" applyAlignment="1">
      <alignment horizontal="center" vertical="center"/>
    </xf>
    <xf numFmtId="186" fontId="205" fillId="0" borderId="346" xfId="29" applyNumberFormat="1" applyFont="1" applyBorder="1" applyAlignment="1">
      <alignment horizontal="center" vertical="center" shrinkToFit="1"/>
    </xf>
    <xf numFmtId="186" fontId="205" fillId="0" borderId="347" xfId="29" applyNumberFormat="1" applyFont="1" applyBorder="1" applyAlignment="1">
      <alignment horizontal="center" vertical="center" shrinkToFit="1"/>
    </xf>
    <xf numFmtId="186" fontId="205" fillId="0" borderId="349" xfId="29" applyNumberFormat="1" applyFont="1" applyBorder="1" applyAlignment="1">
      <alignment horizontal="center" vertical="center" shrinkToFit="1"/>
    </xf>
    <xf numFmtId="186" fontId="205" fillId="0" borderId="350" xfId="29" applyNumberFormat="1" applyFont="1" applyBorder="1" applyAlignment="1">
      <alignment horizontal="center" vertical="center" shrinkToFit="1"/>
    </xf>
    <xf numFmtId="185" fontId="204" fillId="46" borderId="351" xfId="27" applyNumberFormat="1" applyFont="1" applyFill="1" applyBorder="1" applyAlignment="1">
      <alignment horizontal="center" vertical="center" shrinkToFit="1"/>
    </xf>
    <xf numFmtId="0" fontId="12" fillId="0" borderId="352" xfId="26" applyFont="1" applyBorder="1" applyAlignment="1">
      <alignment horizontal="center" vertical="center" textRotation="90" wrapText="1" shrinkToFit="1"/>
    </xf>
    <xf numFmtId="186" fontId="206" fillId="0" borderId="353" xfId="29" applyNumberFormat="1" applyFont="1" applyBorder="1" applyAlignment="1">
      <alignment vertical="center" shrinkToFit="1"/>
    </xf>
    <xf numFmtId="186" fontId="205" fillId="0" borderId="352" xfId="29" applyNumberFormat="1" applyFont="1" applyBorder="1" applyAlignment="1">
      <alignment horizontal="center" vertical="center" wrapText="1" shrinkToFit="1"/>
    </xf>
    <xf numFmtId="186" fontId="205" fillId="0" borderId="354" xfId="29" applyNumberFormat="1" applyFont="1" applyBorder="1" applyAlignment="1">
      <alignment horizontal="center" vertical="center" shrinkToFit="1"/>
    </xf>
    <xf numFmtId="186" fontId="205" fillId="0" borderId="352" xfId="29" applyNumberFormat="1" applyFont="1" applyBorder="1" applyAlignment="1">
      <alignment horizontal="center" vertical="center" shrinkToFit="1"/>
    </xf>
    <xf numFmtId="186" fontId="205" fillId="0" borderId="355" xfId="29" applyNumberFormat="1" applyFont="1" applyBorder="1" applyAlignment="1">
      <alignment horizontal="center" vertical="center" shrinkToFit="1"/>
    </xf>
    <xf numFmtId="178" fontId="205" fillId="0" borderId="352" xfId="29" applyNumberFormat="1" applyFont="1" applyBorder="1" applyAlignment="1">
      <alignment horizontal="center" vertical="center" wrapText="1" shrinkToFit="1"/>
    </xf>
    <xf numFmtId="178" fontId="205" fillId="0" borderId="355" xfId="29" applyNumberFormat="1" applyFont="1" applyBorder="1" applyAlignment="1">
      <alignment horizontal="center" vertical="center" wrapText="1" shrinkToFit="1"/>
    </xf>
    <xf numFmtId="178" fontId="205" fillId="0" borderId="354" xfId="29" applyNumberFormat="1" applyFont="1" applyBorder="1" applyAlignment="1">
      <alignment horizontal="center" vertical="center" wrapText="1" shrinkToFit="1"/>
    </xf>
    <xf numFmtId="186" fontId="205" fillId="0" borderId="352" xfId="29" applyNumberFormat="1" applyFont="1" applyBorder="1" applyAlignment="1">
      <alignment vertical="center" shrinkToFit="1"/>
    </xf>
    <xf numFmtId="186" fontId="205" fillId="0" borderId="354" xfId="29" applyNumberFormat="1" applyFont="1" applyBorder="1" applyAlignment="1">
      <alignment vertical="center" shrinkToFit="1"/>
    </xf>
    <xf numFmtId="186" fontId="205" fillId="0" borderId="353" xfId="29" applyNumberFormat="1" applyFont="1" applyBorder="1" applyAlignment="1">
      <alignment horizontal="center" vertical="center" wrapText="1" shrinkToFit="1"/>
    </xf>
    <xf numFmtId="186" fontId="205" fillId="0" borderId="353" xfId="29" applyNumberFormat="1" applyFont="1" applyBorder="1" applyAlignment="1">
      <alignment horizontal="center" vertical="center" shrinkToFit="1"/>
    </xf>
    <xf numFmtId="186" fontId="205" fillId="0" borderId="356" xfId="29" applyNumberFormat="1" applyFont="1" applyBorder="1" applyAlignment="1">
      <alignment horizontal="center" vertical="center" shrinkToFit="1"/>
    </xf>
    <xf numFmtId="0" fontId="12" fillId="0" borderId="357" xfId="26" applyFont="1" applyBorder="1" applyAlignment="1">
      <alignment horizontal="center" vertical="center" textRotation="90" shrinkToFit="1"/>
    </xf>
    <xf numFmtId="179" fontId="205" fillId="47" borderId="357" xfId="29" applyNumberFormat="1" applyFont="1" applyFill="1" applyBorder="1" applyAlignment="1" applyProtection="1">
      <alignment horizontal="center" vertical="center" shrinkToFit="1"/>
      <protection locked="0"/>
    </xf>
    <xf numFmtId="179" fontId="205" fillId="47" borderId="359" xfId="29" applyNumberFormat="1" applyFont="1" applyFill="1" applyBorder="1" applyAlignment="1" applyProtection="1">
      <alignment horizontal="center" vertical="center" shrinkToFit="1"/>
      <protection locked="0"/>
    </xf>
    <xf numFmtId="186" fontId="205" fillId="47" borderId="357" xfId="29" applyNumberFormat="1" applyFont="1" applyFill="1" applyBorder="1" applyAlignment="1" applyProtection="1">
      <alignment horizontal="center" vertical="center" shrinkToFit="1"/>
      <protection locked="0"/>
    </xf>
    <xf numFmtId="186" fontId="205" fillId="47" borderId="359" xfId="29" applyNumberFormat="1" applyFont="1" applyFill="1" applyBorder="1" applyAlignment="1" applyProtection="1">
      <alignment horizontal="center" vertical="center" shrinkToFit="1"/>
      <protection locked="0"/>
    </xf>
    <xf numFmtId="43" fontId="205" fillId="0" borderId="346" xfId="29" applyNumberFormat="1" applyFont="1" applyFill="1" applyBorder="1" applyAlignment="1">
      <alignment horizontal="center" vertical="center" shrinkToFit="1"/>
    </xf>
    <xf numFmtId="186" fontId="205" fillId="0" borderId="346" xfId="29" applyNumberFormat="1" applyFont="1" applyFill="1" applyBorder="1" applyAlignment="1">
      <alignment horizontal="center" vertical="center" shrinkToFit="1"/>
    </xf>
    <xf numFmtId="186" fontId="205" fillId="0" borderId="347" xfId="29" applyNumberFormat="1" applyFont="1" applyFill="1" applyBorder="1" applyAlignment="1">
      <alignment horizontal="center" vertical="center" shrinkToFit="1"/>
    </xf>
    <xf numFmtId="186" fontId="205" fillId="0" borderId="357" xfId="29" applyNumberFormat="1" applyFont="1" applyFill="1" applyBorder="1" applyAlignment="1">
      <alignment horizontal="center" vertical="center" shrinkToFit="1"/>
    </xf>
    <xf numFmtId="186" fontId="205" fillId="0" borderId="359" xfId="29" applyNumberFormat="1" applyFont="1" applyFill="1" applyBorder="1" applyAlignment="1">
      <alignment horizontal="center" vertical="center" shrinkToFit="1"/>
    </xf>
    <xf numFmtId="43" fontId="205" fillId="0" borderId="358" xfId="29" applyNumberFormat="1" applyFont="1" applyFill="1" applyBorder="1" applyAlignment="1">
      <alignment horizontal="center" vertical="center" wrapText="1" shrinkToFit="1"/>
    </xf>
    <xf numFmtId="186" fontId="205" fillId="0" borderId="358" xfId="29" applyNumberFormat="1" applyFont="1" applyFill="1" applyBorder="1" applyAlignment="1">
      <alignment horizontal="center" vertical="center" shrinkToFit="1"/>
    </xf>
    <xf numFmtId="186" fontId="205" fillId="0" borderId="360" xfId="29" applyNumberFormat="1" applyFont="1" applyFill="1" applyBorder="1" applyAlignment="1">
      <alignment horizontal="center" vertical="center" shrinkToFit="1"/>
    </xf>
    <xf numFmtId="0" fontId="12" fillId="0" borderId="361" xfId="26" applyFont="1" applyBorder="1" applyAlignment="1">
      <alignment horizontal="center" vertical="center" textRotation="90" shrinkToFit="1"/>
    </xf>
    <xf numFmtId="185" fontId="12" fillId="0" borderId="362" xfId="27" applyNumberFormat="1" applyFont="1" applyBorder="1" applyAlignment="1">
      <alignment horizontal="center" vertical="center" shrinkToFit="1"/>
    </xf>
    <xf numFmtId="185" fontId="12" fillId="0" borderId="363" xfId="27" applyNumberFormat="1" applyFont="1" applyBorder="1" applyAlignment="1">
      <alignment horizontal="center" vertical="center" shrinkToFit="1"/>
    </xf>
    <xf numFmtId="185" fontId="12" fillId="0" borderId="364" xfId="27" applyNumberFormat="1" applyFont="1" applyBorder="1" applyAlignment="1">
      <alignment horizontal="center" vertical="center" shrinkToFit="1"/>
    </xf>
    <xf numFmtId="0" fontId="12" fillId="0" borderId="362" xfId="26" applyFont="1" applyBorder="1" applyAlignment="1">
      <alignment horizontal="left" vertical="center" shrinkToFit="1"/>
    </xf>
    <xf numFmtId="0" fontId="12" fillId="0" borderId="363" xfId="26" applyFont="1" applyBorder="1" applyAlignment="1">
      <alignment horizontal="left" vertical="center" shrinkToFit="1"/>
    </xf>
    <xf numFmtId="0" fontId="12" fillId="0" borderId="364" xfId="26" applyFont="1" applyBorder="1" applyAlignment="1">
      <alignment horizontal="left" vertical="center" shrinkToFit="1"/>
    </xf>
    <xf numFmtId="0" fontId="12" fillId="0" borderId="362" xfId="26" applyFont="1" applyBorder="1" applyAlignment="1">
      <alignment horizontal="center" vertical="center" shrinkToFit="1"/>
    </xf>
    <xf numFmtId="0" fontId="12" fillId="0" borderId="363" xfId="26" applyFont="1" applyBorder="1" applyAlignment="1">
      <alignment horizontal="center" vertical="center" shrinkToFit="1"/>
    </xf>
    <xf numFmtId="0" fontId="12" fillId="0" borderId="364" xfId="26" applyFont="1" applyBorder="1" applyAlignment="1">
      <alignment horizontal="center" vertical="center" shrinkToFit="1"/>
    </xf>
    <xf numFmtId="185" fontId="12" fillId="0" borderId="317" xfId="27" applyNumberFormat="1" applyFont="1" applyBorder="1" applyAlignment="1">
      <alignment horizontal="center" vertical="center" shrinkToFit="1"/>
    </xf>
    <xf numFmtId="185" fontId="12" fillId="0" borderId="0" xfId="27" applyNumberFormat="1" applyFont="1" applyBorder="1" applyAlignment="1">
      <alignment horizontal="center" vertical="center" shrinkToFit="1"/>
    </xf>
    <xf numFmtId="185" fontId="12" fillId="0" borderId="318" xfId="27" applyNumberFormat="1" applyFont="1" applyBorder="1" applyAlignment="1">
      <alignment horizontal="center" vertical="center" shrinkToFit="1"/>
    </xf>
    <xf numFmtId="186" fontId="17" fillId="46" borderId="365" xfId="26" applyNumberFormat="1" applyFont="1" applyFill="1" applyBorder="1" applyAlignment="1">
      <alignment horizontal="center" vertical="center" shrinkToFit="1"/>
    </xf>
    <xf numFmtId="0" fontId="17" fillId="46" borderId="366" xfId="26" applyFont="1" applyFill="1" applyBorder="1" applyAlignment="1">
      <alignment horizontal="center" vertical="center" shrinkToFit="1"/>
    </xf>
    <xf numFmtId="0" fontId="17" fillId="46" borderId="367" xfId="26" applyFont="1" applyFill="1" applyBorder="1" applyAlignment="1">
      <alignment horizontal="center" vertical="center" shrinkToFit="1"/>
    </xf>
    <xf numFmtId="0" fontId="12" fillId="0" borderId="368" xfId="26" applyFont="1" applyBorder="1" applyAlignment="1">
      <alignment horizontal="center" vertical="center" textRotation="90"/>
    </xf>
    <xf numFmtId="0" fontId="12" fillId="0" borderId="369" xfId="26" applyFont="1" applyBorder="1" applyAlignment="1">
      <alignment horizontal="center" vertical="center" textRotation="90" shrinkToFit="1"/>
    </xf>
    <xf numFmtId="186" fontId="205" fillId="16" borderId="370" xfId="29" applyNumberFormat="1" applyFont="1" applyFill="1" applyBorder="1" applyAlignment="1">
      <alignment horizontal="center" vertical="center" shrinkToFit="1"/>
    </xf>
    <xf numFmtId="186" fontId="205" fillId="16" borderId="371" xfId="29" applyNumberFormat="1" applyFont="1" applyFill="1" applyBorder="1" applyAlignment="1">
      <alignment horizontal="center" vertical="center" shrinkToFit="1"/>
    </xf>
    <xf numFmtId="186" fontId="205" fillId="16" borderId="372" xfId="29" applyNumberFormat="1" applyFont="1" applyFill="1" applyBorder="1" applyAlignment="1">
      <alignment horizontal="center" vertical="center" shrinkToFit="1"/>
    </xf>
    <xf numFmtId="185" fontId="204" fillId="16" borderId="373" xfId="27" applyNumberFormat="1" applyFont="1" applyFill="1" applyBorder="1" applyAlignment="1">
      <alignment horizontal="center" vertical="center" shrinkToFit="1"/>
    </xf>
    <xf numFmtId="0" fontId="12" fillId="16" borderId="374" xfId="26" applyFont="1" applyFill="1" applyBorder="1"/>
    <xf numFmtId="186" fontId="205" fillId="16" borderId="375" xfId="29" applyNumberFormat="1" applyFont="1" applyFill="1" applyBorder="1" applyAlignment="1" applyProtection="1">
      <alignment horizontal="center" vertical="center" shrinkToFit="1"/>
      <protection locked="0"/>
    </xf>
    <xf numFmtId="186" fontId="205" fillId="16" borderId="376" xfId="29" applyNumberFormat="1" applyFont="1" applyFill="1" applyBorder="1" applyAlignment="1" applyProtection="1">
      <alignment horizontal="center" vertical="center" shrinkToFit="1"/>
      <protection locked="0"/>
    </xf>
    <xf numFmtId="186" fontId="205" fillId="16" borderId="376" xfId="29" applyNumberFormat="1" applyFont="1" applyFill="1" applyBorder="1" applyAlignment="1">
      <alignment horizontal="center" vertical="center" shrinkToFit="1"/>
    </xf>
    <xf numFmtId="186" fontId="205" fillId="16" borderId="377" xfId="29" applyNumberFormat="1" applyFont="1" applyFill="1" applyBorder="1" applyAlignment="1">
      <alignment horizontal="center" vertical="center" shrinkToFit="1"/>
    </xf>
    <xf numFmtId="186" fontId="205" fillId="16" borderId="378" xfId="29" applyNumberFormat="1" applyFont="1" applyFill="1" applyBorder="1" applyAlignment="1">
      <alignment horizontal="center" vertical="center" shrinkToFit="1"/>
    </xf>
    <xf numFmtId="185" fontId="204" fillId="0" borderId="373" xfId="27" applyNumberFormat="1" applyFont="1" applyBorder="1" applyAlignment="1">
      <alignment horizontal="center" vertical="center" shrinkToFit="1"/>
    </xf>
    <xf numFmtId="0" fontId="12" fillId="0" borderId="374" xfId="26" applyFont="1" applyBorder="1"/>
    <xf numFmtId="185" fontId="12" fillId="0" borderId="370" xfId="27" applyNumberFormat="1" applyFont="1" applyBorder="1" applyAlignment="1">
      <alignment horizontal="center" vertical="center" shrinkToFit="1"/>
    </xf>
    <xf numFmtId="185" fontId="12" fillId="0" borderId="371" xfId="27" applyNumberFormat="1" applyFont="1" applyBorder="1" applyAlignment="1">
      <alignment horizontal="center" vertical="center" shrinkToFit="1"/>
    </xf>
    <xf numFmtId="185" fontId="12" fillId="0" borderId="379" xfId="27" applyNumberFormat="1" applyFont="1" applyBorder="1" applyAlignment="1">
      <alignment horizontal="center" vertical="center" shrinkToFit="1"/>
    </xf>
    <xf numFmtId="0" fontId="17" fillId="46" borderId="370" xfId="26" applyFont="1" applyFill="1" applyBorder="1" applyAlignment="1">
      <alignment horizontal="center" vertical="center" shrinkToFit="1"/>
    </xf>
    <xf numFmtId="0" fontId="17" fillId="46" borderId="371" xfId="26" applyFont="1" applyFill="1" applyBorder="1" applyAlignment="1">
      <alignment horizontal="center" vertical="center" shrinkToFit="1"/>
    </xf>
    <xf numFmtId="0" fontId="17" fillId="46" borderId="380" xfId="26" applyFont="1" applyFill="1" applyBorder="1" applyAlignment="1">
      <alignment horizontal="center" vertical="center" shrinkToFit="1"/>
    </xf>
    <xf numFmtId="0" fontId="207" fillId="16" borderId="381" xfId="26" applyFont="1" applyFill="1" applyBorder="1" applyAlignment="1">
      <alignment vertical="center"/>
    </xf>
    <xf numFmtId="0" fontId="207" fillId="16" borderId="382" xfId="26" applyFont="1" applyFill="1" applyBorder="1" applyAlignment="1">
      <alignment vertical="center"/>
    </xf>
    <xf numFmtId="0" fontId="208" fillId="0" borderId="383" xfId="26" applyFont="1" applyBorder="1" applyAlignment="1">
      <alignment horizontal="center" vertical="center"/>
    </xf>
    <xf numFmtId="0" fontId="208" fillId="0" borderId="382" xfId="26" applyFont="1" applyBorder="1" applyAlignment="1">
      <alignment horizontal="center" vertical="center"/>
    </xf>
    <xf numFmtId="0" fontId="208" fillId="0" borderId="384" xfId="26" applyFont="1" applyBorder="1" applyAlignment="1">
      <alignment horizontal="center" vertical="center"/>
    </xf>
    <xf numFmtId="0" fontId="208" fillId="0" borderId="385" xfId="26" applyFont="1" applyBorder="1" applyAlignment="1">
      <alignment horizontal="center" vertical="center"/>
    </xf>
    <xf numFmtId="0" fontId="208" fillId="0" borderId="386" xfId="26" applyFont="1" applyBorder="1" applyAlignment="1">
      <alignment horizontal="center" vertical="center" shrinkToFit="1"/>
    </xf>
    <xf numFmtId="0" fontId="208" fillId="0" borderId="387" xfId="26" applyFont="1" applyBorder="1" applyAlignment="1">
      <alignment horizontal="center" vertical="center" shrinkToFit="1"/>
    </xf>
    <xf numFmtId="0" fontId="208" fillId="0" borderId="388" xfId="26" applyFont="1" applyBorder="1" applyAlignment="1">
      <alignment horizontal="center" vertical="center" shrinkToFit="1"/>
    </xf>
    <xf numFmtId="0" fontId="207" fillId="0" borderId="0" xfId="26" applyFont="1" applyAlignment="1">
      <alignment vertical="center"/>
    </xf>
    <xf numFmtId="0" fontId="12" fillId="16" borderId="389" xfId="26" applyFont="1" applyFill="1" applyBorder="1" applyAlignment="1">
      <alignment vertical="center"/>
    </xf>
    <xf numFmtId="0" fontId="12" fillId="16" borderId="390" xfId="26" applyFont="1" applyFill="1" applyBorder="1" applyAlignment="1">
      <alignment vertical="center"/>
    </xf>
    <xf numFmtId="0" fontId="12" fillId="0" borderId="391" xfId="26" applyFont="1" applyBorder="1" applyAlignment="1">
      <alignment horizontal="center" vertical="center"/>
    </xf>
    <xf numFmtId="0" fontId="12" fillId="0" borderId="392" xfId="26" applyFont="1" applyBorder="1" applyAlignment="1">
      <alignment horizontal="center" vertical="center"/>
    </xf>
    <xf numFmtId="0" fontId="12" fillId="0" borderId="390" xfId="26" applyFont="1" applyBorder="1" applyAlignment="1">
      <alignment horizontal="center" vertical="center"/>
    </xf>
    <xf numFmtId="0" fontId="12" fillId="0" borderId="393" xfId="26" applyFont="1" applyBorder="1" applyAlignment="1">
      <alignment horizontal="center" vertical="center"/>
    </xf>
    <xf numFmtId="0" fontId="208" fillId="0" borderId="394" xfId="26" applyFont="1" applyBorder="1" applyAlignment="1">
      <alignment horizontal="center" vertical="center" shrinkToFit="1"/>
    </xf>
    <xf numFmtId="0" fontId="208" fillId="0" borderId="395" xfId="26" applyFont="1" applyBorder="1" applyAlignment="1">
      <alignment horizontal="center" vertical="center" shrinkToFit="1"/>
    </xf>
    <xf numFmtId="0" fontId="208" fillId="0" borderId="396" xfId="26" applyFont="1" applyBorder="1" applyAlignment="1">
      <alignment horizontal="center" vertical="center" shrinkToFit="1"/>
    </xf>
    <xf numFmtId="0" fontId="20" fillId="0" borderId="397" xfId="26" applyFont="1" applyBorder="1" applyAlignment="1">
      <alignment horizontal="right" vertical="center" shrinkToFit="1"/>
    </xf>
    <xf numFmtId="0" fontId="20" fillId="0" borderId="398" xfId="26" applyFont="1" applyBorder="1" applyAlignment="1">
      <alignment horizontal="right" vertical="center" shrinkToFit="1"/>
    </xf>
    <xf numFmtId="43" fontId="20" fillId="46" borderId="398" xfId="26" applyNumberFormat="1" applyFont="1" applyFill="1" applyBorder="1" applyAlignment="1">
      <alignment horizontal="center" vertical="center" shrinkToFit="1"/>
    </xf>
    <xf numFmtId="10" fontId="20" fillId="46" borderId="398" xfId="27" applyNumberFormat="1" applyFont="1" applyFill="1" applyBorder="1" applyAlignment="1">
      <alignment horizontal="center" vertical="center" shrinkToFit="1"/>
    </xf>
    <xf numFmtId="10" fontId="20" fillId="46" borderId="399" xfId="27" applyNumberFormat="1" applyFont="1" applyFill="1" applyBorder="1" applyAlignment="1">
      <alignment horizontal="center" vertical="center" shrinkToFit="1"/>
    </xf>
    <xf numFmtId="0" fontId="12" fillId="0" borderId="0" xfId="26" applyFont="1" applyAlignment="1">
      <alignment vertical="center"/>
    </xf>
    <xf numFmtId="43" fontId="12" fillId="0" borderId="0" xfId="26" applyNumberFormat="1" applyFont="1" applyAlignment="1">
      <alignment vertical="center"/>
    </xf>
    <xf numFmtId="0" fontId="12" fillId="16" borderId="400" xfId="26" applyFont="1" applyFill="1" applyBorder="1" applyAlignment="1">
      <alignment horizontal="center" vertical="center" shrinkToFit="1"/>
    </xf>
    <xf numFmtId="0" fontId="12" fillId="16" borderId="401" xfId="26" applyFont="1" applyFill="1" applyBorder="1" applyAlignment="1">
      <alignment horizontal="center" vertical="center" shrinkToFit="1"/>
    </xf>
    <xf numFmtId="43" fontId="205" fillId="0" borderId="402" xfId="29" applyFont="1" applyFill="1" applyBorder="1" applyAlignment="1">
      <alignment horizontal="center" vertical="center" shrinkToFit="1"/>
    </xf>
    <xf numFmtId="43" fontId="205" fillId="0" borderId="319" xfId="29" applyFont="1" applyFill="1" applyBorder="1" applyAlignment="1">
      <alignment horizontal="center" vertical="center" shrinkToFit="1"/>
    </xf>
    <xf numFmtId="43" fontId="205" fillId="0" borderId="401" xfId="29" applyFont="1" applyFill="1" applyBorder="1" applyAlignment="1">
      <alignment horizontal="center" vertical="center" shrinkToFit="1"/>
    </xf>
    <xf numFmtId="43" fontId="205" fillId="0" borderId="402" xfId="29" applyFont="1" applyBorder="1" applyAlignment="1">
      <alignment horizontal="center" vertical="center" shrinkToFit="1"/>
    </xf>
    <xf numFmtId="43" fontId="205" fillId="0" borderId="319" xfId="29" applyFont="1" applyBorder="1" applyAlignment="1">
      <alignment horizontal="center" vertical="center" shrinkToFit="1"/>
    </xf>
    <xf numFmtId="43" fontId="205" fillId="0" borderId="403" xfId="29" applyFont="1" applyBorder="1" applyAlignment="1">
      <alignment horizontal="center" vertical="center" shrinkToFit="1"/>
    </xf>
    <xf numFmtId="0" fontId="12" fillId="48" borderId="404" xfId="26" applyFont="1" applyFill="1" applyBorder="1" applyAlignment="1">
      <alignment horizontal="center" vertical="center" shrinkToFit="1"/>
    </xf>
    <xf numFmtId="0" fontId="12" fillId="48" borderId="405" xfId="26" applyFont="1" applyFill="1" applyBorder="1" applyAlignment="1">
      <alignment horizontal="center" vertical="center" shrinkToFit="1"/>
    </xf>
    <xf numFmtId="0" fontId="12" fillId="48" borderId="406" xfId="26" applyFont="1" applyFill="1" applyBorder="1" applyAlignment="1">
      <alignment horizontal="center" vertical="center" shrinkToFit="1"/>
    </xf>
    <xf numFmtId="0" fontId="20" fillId="0" borderId="397" xfId="26" applyFont="1" applyBorder="1" applyAlignment="1">
      <alignment horizontal="center" vertical="center" shrinkToFit="1"/>
    </xf>
    <xf numFmtId="0" fontId="20" fillId="0" borderId="398" xfId="26" applyFont="1" applyBorder="1" applyAlignment="1">
      <alignment horizontal="center" vertical="center" shrinkToFit="1"/>
    </xf>
    <xf numFmtId="43" fontId="17" fillId="46" borderId="398" xfId="26" applyNumberFormat="1" applyFont="1" applyFill="1" applyBorder="1" applyAlignment="1">
      <alignment horizontal="center" vertical="center" shrinkToFit="1"/>
    </xf>
    <xf numFmtId="43" fontId="17" fillId="46" borderId="399" xfId="26" applyNumberFormat="1" applyFont="1" applyFill="1" applyBorder="1" applyAlignment="1">
      <alignment horizontal="center" vertical="center" shrinkToFit="1"/>
    </xf>
    <xf numFmtId="0" fontId="12" fillId="16" borderId="407" xfId="26" applyFont="1" applyFill="1" applyBorder="1" applyAlignment="1">
      <alignment horizontal="center" vertical="center" shrinkToFit="1"/>
    </xf>
    <xf numFmtId="0" fontId="12" fillId="16" borderId="408" xfId="26" applyFont="1" applyFill="1" applyBorder="1" applyAlignment="1">
      <alignment horizontal="center" vertical="center" shrinkToFit="1"/>
    </xf>
    <xf numFmtId="43" fontId="205" fillId="0" borderId="391" xfId="29" applyFont="1" applyFill="1" applyBorder="1" applyAlignment="1">
      <alignment horizontal="center" vertical="center" shrinkToFit="1"/>
    </xf>
    <xf numFmtId="43" fontId="205" fillId="0" borderId="392" xfId="29" applyFont="1" applyFill="1" applyBorder="1" applyAlignment="1">
      <alignment horizontal="center" vertical="center" shrinkToFit="1"/>
    </xf>
    <xf numFmtId="43" fontId="205" fillId="0" borderId="390" xfId="29" applyFont="1" applyFill="1" applyBorder="1" applyAlignment="1">
      <alignment horizontal="center" vertical="center" shrinkToFit="1"/>
    </xf>
    <xf numFmtId="43" fontId="205" fillId="0" borderId="317" xfId="29" applyFont="1" applyBorder="1" applyAlignment="1">
      <alignment horizontal="center" vertical="center" shrinkToFit="1"/>
    </xf>
    <xf numFmtId="43" fontId="205" fillId="0" borderId="0" xfId="29" applyFont="1" applyBorder="1" applyAlignment="1">
      <alignment horizontal="center" vertical="center" shrinkToFit="1"/>
    </xf>
    <xf numFmtId="43" fontId="205" fillId="0" borderId="409" xfId="29" applyFont="1" applyBorder="1" applyAlignment="1">
      <alignment horizontal="center" vertical="center" shrinkToFit="1"/>
    </xf>
    <xf numFmtId="0" fontId="20" fillId="48" borderId="404" xfId="26" applyFont="1" applyFill="1" applyBorder="1" applyAlignment="1">
      <alignment horizontal="center" vertical="center" shrinkToFit="1"/>
    </xf>
    <xf numFmtId="0" fontId="20" fillId="48" borderId="405" xfId="26" applyFont="1" applyFill="1" applyBorder="1" applyAlignment="1">
      <alignment horizontal="center" vertical="center" shrinkToFit="1"/>
    </xf>
    <xf numFmtId="0" fontId="20" fillId="48" borderId="406" xfId="26" applyFont="1" applyFill="1" applyBorder="1" applyAlignment="1">
      <alignment horizontal="center" vertical="center" shrinkToFit="1"/>
    </xf>
    <xf numFmtId="0" fontId="20" fillId="0" borderId="410" xfId="26" applyFont="1" applyBorder="1" applyAlignment="1">
      <alignment horizontal="center" vertical="center" shrinkToFit="1"/>
    </xf>
    <xf numFmtId="0" fontId="20" fillId="0" borderId="411" xfId="26" applyFont="1" applyBorder="1" applyAlignment="1">
      <alignment horizontal="center" vertical="center" shrinkToFit="1"/>
    </xf>
    <xf numFmtId="0" fontId="20" fillId="0" borderId="412" xfId="26" applyFont="1" applyBorder="1" applyAlignment="1">
      <alignment horizontal="center" vertical="center" shrinkToFit="1"/>
    </xf>
    <xf numFmtId="0" fontId="12" fillId="16" borderId="413" xfId="26" applyFont="1" applyFill="1" applyBorder="1" applyAlignment="1">
      <alignment horizontal="center" vertical="center" shrinkToFit="1"/>
    </xf>
    <xf numFmtId="0" fontId="12" fillId="16" borderId="318" xfId="26" applyFont="1" applyFill="1" applyBorder="1" applyAlignment="1">
      <alignment horizontal="center" vertical="center" shrinkToFit="1"/>
    </xf>
    <xf numFmtId="0" fontId="20" fillId="0" borderId="404" xfId="26" applyFont="1" applyBorder="1" applyAlignment="1">
      <alignment horizontal="center" vertical="center"/>
    </xf>
    <xf numFmtId="0" fontId="20" fillId="0" borderId="405" xfId="26" applyFont="1" applyBorder="1" applyAlignment="1">
      <alignment horizontal="center" vertical="center"/>
    </xf>
    <xf numFmtId="0" fontId="20" fillId="0" borderId="406" xfId="26" applyFont="1" applyBorder="1" applyAlignment="1">
      <alignment horizontal="center" vertical="center"/>
    </xf>
    <xf numFmtId="0" fontId="20" fillId="0" borderId="404" xfId="26" applyFont="1" applyBorder="1" applyAlignment="1">
      <alignment horizontal="left" vertical="center" shrinkToFit="1"/>
    </xf>
    <xf numFmtId="0" fontId="20" fillId="0" borderId="405" xfId="26" applyFont="1" applyBorder="1" applyAlignment="1">
      <alignment horizontal="left" vertical="center" shrinkToFit="1"/>
    </xf>
    <xf numFmtId="0" fontId="20" fillId="0" borderId="414" xfId="26" applyFont="1" applyBorder="1" applyAlignment="1">
      <alignment horizontal="left" vertical="center" shrinkToFit="1"/>
    </xf>
    <xf numFmtId="9" fontId="20" fillId="0" borderId="415" xfId="23" applyFont="1" applyBorder="1" applyAlignment="1">
      <alignment vertical="center" shrinkToFit="1"/>
    </xf>
    <xf numFmtId="43" fontId="20" fillId="0" borderId="415" xfId="26" applyNumberFormat="1" applyFont="1" applyBorder="1" applyAlignment="1">
      <alignment vertical="center" shrinkToFit="1"/>
    </xf>
    <xf numFmtId="0" fontId="20" fillId="0" borderId="415" xfId="26" applyFont="1" applyBorder="1" applyAlignment="1">
      <alignment horizontal="left" vertical="center" wrapText="1" shrinkToFit="1"/>
    </xf>
    <xf numFmtId="0" fontId="20" fillId="0" borderId="415" xfId="26" applyFont="1" applyBorder="1" applyAlignment="1">
      <alignment horizontal="left" vertical="center" shrinkToFit="1"/>
    </xf>
    <xf numFmtId="43" fontId="20" fillId="0" borderId="416" xfId="26" applyNumberFormat="1" applyFont="1" applyBorder="1" applyAlignment="1">
      <alignment vertical="center" shrinkToFit="1"/>
    </xf>
    <xf numFmtId="43" fontId="205" fillId="0" borderId="317" xfId="29" applyFont="1" applyFill="1" applyBorder="1" applyAlignment="1">
      <alignment horizontal="center" vertical="center" shrinkToFit="1"/>
    </xf>
    <xf numFmtId="43" fontId="205" fillId="0" borderId="0" xfId="29" applyFont="1" applyFill="1" applyBorder="1" applyAlignment="1">
      <alignment horizontal="center" vertical="center" shrinkToFit="1"/>
    </xf>
    <xf numFmtId="43" fontId="205" fillId="0" borderId="318" xfId="29" applyFont="1" applyFill="1" applyBorder="1" applyAlignment="1">
      <alignment horizontal="center" vertical="center" shrinkToFit="1"/>
    </xf>
    <xf numFmtId="0" fontId="20" fillId="0" borderId="417" xfId="26" applyFont="1" applyBorder="1" applyAlignment="1">
      <alignment horizontal="left" vertical="center" wrapText="1" shrinkToFit="1"/>
    </xf>
    <xf numFmtId="0" fontId="12" fillId="16" borderId="418" xfId="26" applyFont="1" applyFill="1" applyBorder="1" applyAlignment="1">
      <alignment horizontal="center" vertical="center" shrinkToFit="1"/>
    </xf>
    <xf numFmtId="0" fontId="12" fillId="16" borderId="419" xfId="26" applyFont="1" applyFill="1" applyBorder="1" applyAlignment="1">
      <alignment horizontal="center" vertical="center" shrinkToFit="1"/>
    </xf>
    <xf numFmtId="43" fontId="205" fillId="0" borderId="420" xfId="29" applyFont="1" applyFill="1" applyBorder="1" applyAlignment="1">
      <alignment horizontal="center" vertical="center" shrinkToFit="1"/>
    </xf>
    <xf numFmtId="43" fontId="205" fillId="0" borderId="421" xfId="29" applyFont="1" applyFill="1" applyBorder="1" applyAlignment="1">
      <alignment horizontal="center" vertical="center" shrinkToFit="1"/>
    </xf>
    <xf numFmtId="43" fontId="205" fillId="0" borderId="419" xfId="29" applyFont="1" applyFill="1" applyBorder="1" applyAlignment="1">
      <alignment horizontal="center" vertical="center" shrinkToFit="1"/>
    </xf>
    <xf numFmtId="43" fontId="205" fillId="0" borderId="420" xfId="29" applyFont="1" applyBorder="1" applyAlignment="1">
      <alignment horizontal="center" vertical="center" shrinkToFit="1"/>
    </xf>
    <xf numFmtId="43" fontId="205" fillId="0" borderId="421" xfId="29" applyFont="1" applyBorder="1" applyAlignment="1">
      <alignment horizontal="center" vertical="center" shrinkToFit="1"/>
    </xf>
    <xf numFmtId="43" fontId="205" fillId="0" borderId="422" xfId="29" applyFont="1" applyBorder="1" applyAlignment="1">
      <alignment horizontal="center" vertical="center" shrinkToFit="1"/>
    </xf>
    <xf numFmtId="2" fontId="209" fillId="46" borderId="423" xfId="26" applyNumberFormat="1" applyFont="1" applyFill="1" applyBorder="1" applyAlignment="1">
      <alignment horizontal="center" vertical="center" shrinkToFit="1"/>
    </xf>
    <xf numFmtId="2" fontId="209" fillId="46" borderId="424" xfId="26" applyNumberFormat="1" applyFont="1" applyFill="1" applyBorder="1" applyAlignment="1">
      <alignment horizontal="center" vertical="center" shrinkToFit="1"/>
    </xf>
    <xf numFmtId="164" fontId="20" fillId="0" borderId="424" xfId="26" applyNumberFormat="1" applyFont="1" applyBorder="1" applyAlignment="1">
      <alignment horizontal="left" vertical="center" shrinkToFit="1"/>
    </xf>
    <xf numFmtId="0" fontId="20" fillId="0" borderId="424" xfId="26" applyFont="1" applyBorder="1"/>
    <xf numFmtId="0" fontId="20" fillId="0" borderId="425" xfId="26" applyFont="1" applyBorder="1"/>
    <xf numFmtId="0" fontId="20" fillId="0" borderId="426" xfId="26" applyFont="1" applyBorder="1" applyAlignment="1">
      <alignment horizontal="center" vertical="center" shrinkToFit="1"/>
    </xf>
    <xf numFmtId="0" fontId="20" fillId="0" borderId="427" xfId="26" applyFont="1" applyBorder="1" applyAlignment="1">
      <alignment horizontal="center" vertical="center" shrinkToFit="1"/>
    </xf>
    <xf numFmtId="43" fontId="17" fillId="46" borderId="427" xfId="26" applyNumberFormat="1" applyFont="1" applyFill="1" applyBorder="1" applyAlignment="1">
      <alignment horizontal="center" vertical="center" shrinkToFit="1"/>
    </xf>
    <xf numFmtId="43" fontId="17" fillId="46" borderId="428" xfId="26" applyNumberFormat="1" applyFont="1" applyFill="1" applyBorder="1" applyAlignment="1">
      <alignment horizontal="center" vertical="center" shrinkToFit="1"/>
    </xf>
    <xf numFmtId="0" fontId="12" fillId="0" borderId="0" xfId="26" applyFont="1" applyBorder="1" applyAlignment="1">
      <alignment vertical="center"/>
    </xf>
    <xf numFmtId="9" fontId="12" fillId="0" borderId="0" xfId="27" applyFont="1" applyAlignment="1">
      <alignment vertical="center"/>
    </xf>
    <xf numFmtId="0" fontId="208" fillId="0" borderId="429" xfId="26" applyFont="1" applyBorder="1" applyAlignment="1">
      <alignment horizontal="center" vertical="center" textRotation="90"/>
    </xf>
    <xf numFmtId="0" fontId="210" fillId="0" borderId="0" xfId="26" applyFont="1" applyAlignment="1">
      <alignment vertical="center"/>
    </xf>
    <xf numFmtId="9" fontId="210" fillId="0" borderId="0" xfId="27" applyFont="1" applyAlignment="1">
      <alignment vertical="center"/>
    </xf>
    <xf numFmtId="0" fontId="208" fillId="0" borderId="435" xfId="26" applyFont="1" applyBorder="1" applyAlignment="1">
      <alignment horizontal="center" vertical="center" textRotation="90"/>
    </xf>
    <xf numFmtId="0" fontId="211" fillId="0" borderId="391" xfId="26" applyFont="1" applyBorder="1" applyAlignment="1">
      <alignment vertical="center"/>
    </xf>
    <xf numFmtId="0" fontId="211" fillId="0" borderId="390" xfId="26" applyFont="1" applyBorder="1" applyAlignment="1">
      <alignment vertical="center"/>
    </xf>
    <xf numFmtId="0" fontId="211" fillId="0" borderId="0" xfId="26" applyFont="1" applyAlignment="1">
      <alignment horizontal="center" vertical="center"/>
    </xf>
    <xf numFmtId="9" fontId="211" fillId="0" borderId="0" xfId="27" applyFont="1" applyAlignment="1">
      <alignment horizontal="center" vertical="center"/>
    </xf>
    <xf numFmtId="0" fontId="12" fillId="0" borderId="317" xfId="26" applyFont="1" applyBorder="1" applyAlignment="1">
      <alignment horizontal="left" vertical="center" shrinkToFit="1"/>
    </xf>
    <xf numFmtId="0" fontId="12" fillId="0" borderId="318" xfId="26" applyFont="1" applyBorder="1" applyAlignment="1">
      <alignment horizontal="left" vertical="center" shrinkToFit="1"/>
    </xf>
    <xf numFmtId="43" fontId="205" fillId="0" borderId="327" xfId="29" applyFont="1" applyFill="1" applyBorder="1" applyAlignment="1">
      <alignment horizontal="center" vertical="center" shrinkToFit="1"/>
    </xf>
    <xf numFmtId="9" fontId="205" fillId="0" borderId="327" xfId="23" applyFont="1" applyFill="1" applyBorder="1" applyAlignment="1">
      <alignment horizontal="center" vertical="center" shrinkToFit="1"/>
    </xf>
    <xf numFmtId="9" fontId="205" fillId="0" borderId="327" xfId="23" applyFont="1" applyBorder="1" applyAlignment="1">
      <alignment horizontal="center" vertical="center" shrinkToFit="1"/>
    </xf>
    <xf numFmtId="43" fontId="205" fillId="0" borderId="401" xfId="29" applyFont="1" applyBorder="1" applyAlignment="1">
      <alignment horizontal="center" vertical="center" shrinkToFit="1"/>
    </xf>
    <xf numFmtId="9" fontId="205" fillId="0" borderId="442" xfId="23" applyFont="1" applyBorder="1" applyAlignment="1">
      <alignment horizontal="center" vertical="center" shrinkToFit="1"/>
    </xf>
    <xf numFmtId="0" fontId="12" fillId="0" borderId="443" xfId="26" applyFont="1" applyBorder="1" applyAlignment="1">
      <alignment horizontal="left" vertical="center" shrinkToFit="1"/>
    </xf>
    <xf numFmtId="0" fontId="12" fillId="0" borderId="414" xfId="26" applyFont="1" applyBorder="1" applyAlignment="1">
      <alignment horizontal="left" vertical="center" shrinkToFit="1"/>
    </xf>
    <xf numFmtId="43" fontId="205" fillId="0" borderId="414" xfId="29" applyFont="1" applyFill="1" applyBorder="1" applyAlignment="1">
      <alignment horizontal="center" vertical="center" shrinkToFit="1"/>
    </xf>
    <xf numFmtId="43" fontId="205" fillId="0" borderId="415" xfId="29" applyFont="1" applyFill="1" applyBorder="1" applyAlignment="1">
      <alignment horizontal="center" vertical="center" shrinkToFit="1"/>
    </xf>
    <xf numFmtId="9" fontId="205" fillId="0" borderId="415" xfId="23" applyFont="1" applyFill="1" applyBorder="1" applyAlignment="1">
      <alignment horizontal="center" vertical="center" shrinkToFit="1"/>
    </xf>
    <xf numFmtId="9" fontId="205" fillId="0" borderId="415" xfId="23" applyFont="1" applyBorder="1" applyAlignment="1">
      <alignment horizontal="center" vertical="center" shrinkToFit="1"/>
    </xf>
    <xf numFmtId="43" fontId="205" fillId="0" borderId="414" xfId="29" applyFont="1" applyBorder="1" applyAlignment="1">
      <alignment horizontal="center" vertical="center" shrinkToFit="1"/>
    </xf>
    <xf numFmtId="43" fontId="205" fillId="0" borderId="415" xfId="29" applyFont="1" applyBorder="1" applyAlignment="1">
      <alignment horizontal="center" vertical="center" shrinkToFit="1"/>
    </xf>
    <xf numFmtId="9" fontId="205" fillId="0" borderId="436" xfId="23" applyFont="1" applyBorder="1" applyAlignment="1">
      <alignment horizontal="center" vertical="center" shrinkToFit="1"/>
    </xf>
    <xf numFmtId="0" fontId="12" fillId="0" borderId="438" xfId="26" applyFont="1" applyBorder="1" applyAlignment="1">
      <alignment horizontal="left" vertical="center"/>
    </xf>
    <xf numFmtId="0" fontId="12" fillId="0" borderId="440" xfId="26" applyFont="1" applyBorder="1" applyAlignment="1">
      <alignment horizontal="left" vertical="center"/>
    </xf>
    <xf numFmtId="43" fontId="205" fillId="0" borderId="440" xfId="29" applyFont="1" applyFill="1" applyBorder="1" applyAlignment="1">
      <alignment horizontal="center" vertical="center" shrinkToFit="1"/>
    </xf>
    <xf numFmtId="43" fontId="205" fillId="0" borderId="444" xfId="29" applyFont="1" applyFill="1" applyBorder="1" applyAlignment="1">
      <alignment horizontal="center" vertical="center" shrinkToFit="1"/>
    </xf>
    <xf numFmtId="9" fontId="205" fillId="0" borderId="444" xfId="23" applyFont="1" applyFill="1" applyBorder="1" applyAlignment="1">
      <alignment horizontal="center" vertical="center" shrinkToFit="1"/>
    </xf>
    <xf numFmtId="178" fontId="205" fillId="0" borderId="444" xfId="29" applyNumberFormat="1" applyFont="1" applyFill="1" applyBorder="1" applyAlignment="1">
      <alignment horizontal="center" vertical="center" shrinkToFit="1"/>
    </xf>
    <xf numFmtId="43" fontId="205" fillId="0" borderId="444" xfId="29" applyFont="1" applyFill="1" applyBorder="1" applyAlignment="1">
      <alignment horizontal="center" vertical="center" shrinkToFit="1"/>
    </xf>
    <xf numFmtId="178" fontId="205" fillId="0" borderId="444" xfId="29" applyNumberFormat="1" applyFont="1" applyBorder="1" applyAlignment="1">
      <alignment horizontal="center" vertical="center" shrinkToFit="1"/>
    </xf>
    <xf numFmtId="43" fontId="205" fillId="0" borderId="440" xfId="29" applyFont="1" applyBorder="1" applyAlignment="1">
      <alignment horizontal="center" vertical="center" shrinkToFit="1"/>
    </xf>
    <xf numFmtId="43" fontId="205" fillId="0" borderId="444" xfId="29" applyFont="1" applyBorder="1" applyAlignment="1">
      <alignment horizontal="center" vertical="center" shrinkToFit="1"/>
    </xf>
    <xf numFmtId="178" fontId="205" fillId="0" borderId="445" xfId="29" applyNumberFormat="1" applyFont="1" applyBorder="1" applyAlignment="1">
      <alignment horizontal="center" vertical="center" shrinkToFit="1"/>
    </xf>
    <xf numFmtId="0" fontId="211" fillId="0" borderId="402" xfId="26" applyFont="1" applyFill="1" applyBorder="1" applyAlignment="1">
      <alignment vertical="center"/>
    </xf>
    <xf numFmtId="0" fontId="211" fillId="0" borderId="401" xfId="26" applyFont="1" applyFill="1" applyBorder="1" applyAlignment="1">
      <alignment vertical="center"/>
    </xf>
    <xf numFmtId="0" fontId="211" fillId="0" borderId="0" xfId="26" applyFont="1" applyAlignment="1">
      <alignment vertical="center"/>
    </xf>
    <xf numFmtId="9" fontId="211" fillId="0" borderId="0" xfId="27" applyFont="1" applyAlignment="1">
      <alignment vertical="center"/>
    </xf>
    <xf numFmtId="0" fontId="211" fillId="0" borderId="317" xfId="26" applyFont="1" applyFill="1" applyBorder="1" applyAlignment="1">
      <alignment vertical="center"/>
    </xf>
    <xf numFmtId="0" fontId="211" fillId="0" borderId="318" xfId="26" applyFont="1" applyFill="1" applyBorder="1" applyAlignment="1">
      <alignment vertical="center"/>
    </xf>
    <xf numFmtId="43" fontId="211" fillId="0" borderId="0" xfId="26" applyNumberFormat="1" applyFont="1" applyAlignment="1">
      <alignment vertical="center"/>
    </xf>
    <xf numFmtId="0" fontId="210" fillId="0" borderId="455" xfId="26" applyFont="1" applyFill="1" applyBorder="1" applyAlignment="1">
      <alignment vertical="center"/>
    </xf>
    <xf numFmtId="0" fontId="210" fillId="0" borderId="456" xfId="26" applyFont="1" applyFill="1" applyBorder="1" applyAlignment="1">
      <alignment vertical="center"/>
    </xf>
    <xf numFmtId="0" fontId="212" fillId="0" borderId="462" xfId="26" applyFont="1" applyFill="1" applyBorder="1" applyAlignment="1">
      <alignment horizontal="center" vertical="center" shrinkToFit="1"/>
    </xf>
    <xf numFmtId="0" fontId="12" fillId="0" borderId="463" xfId="26" applyFont="1" applyFill="1" applyBorder="1" applyAlignment="1">
      <alignment horizontal="left" vertical="center" shrinkToFit="1"/>
    </xf>
    <xf numFmtId="0" fontId="12" fillId="0" borderId="437" xfId="26" applyFont="1" applyFill="1" applyBorder="1" applyAlignment="1">
      <alignment horizontal="left" vertical="center" shrinkToFit="1"/>
    </xf>
    <xf numFmtId="43" fontId="205" fillId="0" borderId="401" xfId="29" applyFont="1" applyFill="1" applyBorder="1" applyAlignment="1">
      <alignment horizontal="center" vertical="center"/>
    </xf>
    <xf numFmtId="43" fontId="205" fillId="0" borderId="327" xfId="29" applyFont="1" applyFill="1" applyBorder="1" applyAlignment="1">
      <alignment horizontal="center" vertical="center"/>
    </xf>
    <xf numFmtId="9" fontId="205" fillId="0" borderId="442" xfId="23" applyFont="1" applyFill="1" applyBorder="1" applyAlignment="1">
      <alignment horizontal="center" vertical="center" shrinkToFit="1"/>
    </xf>
    <xf numFmtId="0" fontId="12" fillId="0" borderId="443" xfId="26" applyFont="1" applyFill="1" applyBorder="1" applyAlignment="1">
      <alignment horizontal="left" vertical="center" shrinkToFit="1"/>
    </xf>
    <xf numFmtId="0" fontId="12" fillId="0" borderId="414" xfId="26" applyFont="1" applyFill="1" applyBorder="1" applyAlignment="1">
      <alignment horizontal="left" vertical="center" shrinkToFit="1"/>
    </xf>
    <xf numFmtId="43" fontId="205" fillId="0" borderId="414" xfId="29" applyFont="1" applyFill="1" applyBorder="1" applyAlignment="1">
      <alignment horizontal="center" vertical="center"/>
    </xf>
    <xf numFmtId="43" fontId="205" fillId="0" borderId="415" xfId="29" applyFont="1" applyFill="1" applyBorder="1" applyAlignment="1">
      <alignment horizontal="center" vertical="center"/>
    </xf>
    <xf numFmtId="43" fontId="205" fillId="0" borderId="443" xfId="29" applyFont="1" applyFill="1" applyBorder="1" applyAlignment="1">
      <alignment horizontal="center" vertical="center" shrinkToFit="1"/>
    </xf>
    <xf numFmtId="43" fontId="205" fillId="0" borderId="405" xfId="29" applyFont="1" applyFill="1" applyBorder="1" applyAlignment="1">
      <alignment horizontal="center" vertical="center" shrinkToFit="1"/>
    </xf>
    <xf numFmtId="9" fontId="205" fillId="0" borderId="436" xfId="23" applyFont="1" applyFill="1" applyBorder="1" applyAlignment="1">
      <alignment horizontal="center" vertical="center" shrinkToFit="1"/>
    </xf>
    <xf numFmtId="0" fontId="208" fillId="0" borderId="464" xfId="26" applyFont="1" applyBorder="1" applyAlignment="1">
      <alignment horizontal="center" vertical="center" textRotation="90"/>
    </xf>
    <xf numFmtId="0" fontId="12" fillId="0" borderId="465" xfId="26" applyFont="1" applyFill="1" applyBorder="1" applyAlignment="1">
      <alignment horizontal="left" vertical="center"/>
    </xf>
    <xf numFmtId="0" fontId="12" fillId="0" borderId="466" xfId="26" applyFont="1" applyFill="1" applyBorder="1" applyAlignment="1">
      <alignment horizontal="left" vertical="center"/>
    </xf>
    <xf numFmtId="43" fontId="205" fillId="0" borderId="466" xfId="29" applyFont="1" applyFill="1" applyBorder="1" applyAlignment="1">
      <alignment horizontal="center" vertical="center"/>
    </xf>
    <xf numFmtId="43" fontId="205" fillId="0" borderId="467" xfId="29" applyFont="1" applyFill="1" applyBorder="1" applyAlignment="1">
      <alignment horizontal="center" vertical="center"/>
    </xf>
    <xf numFmtId="178" fontId="205" fillId="0" borderId="467" xfId="29" applyNumberFormat="1" applyFont="1" applyFill="1" applyBorder="1" applyAlignment="1">
      <alignment horizontal="center" vertical="center" shrinkToFit="1"/>
    </xf>
    <xf numFmtId="43" fontId="205" fillId="0" borderId="467" xfId="29" applyFont="1" applyFill="1" applyBorder="1" applyAlignment="1">
      <alignment horizontal="center" vertical="center" shrinkToFit="1"/>
    </xf>
    <xf numFmtId="43" fontId="205" fillId="0" borderId="465" xfId="29" applyFont="1" applyFill="1" applyBorder="1" applyAlignment="1">
      <alignment horizontal="center" vertical="center" shrinkToFit="1"/>
    </xf>
    <xf numFmtId="43" fontId="205" fillId="0" borderId="468" xfId="29" applyFont="1" applyFill="1" applyBorder="1" applyAlignment="1">
      <alignment horizontal="center" vertical="center" shrinkToFit="1"/>
    </xf>
    <xf numFmtId="43" fontId="205" fillId="0" borderId="466" xfId="29" applyFont="1" applyFill="1" applyBorder="1" applyAlignment="1">
      <alignment horizontal="center" vertical="center" shrinkToFit="1"/>
    </xf>
    <xf numFmtId="178" fontId="205" fillId="0" borderId="469" xfId="29" applyNumberFormat="1" applyFont="1" applyFill="1" applyBorder="1" applyAlignment="1">
      <alignment horizontal="center" vertical="center" shrinkToFit="1"/>
    </xf>
    <xf numFmtId="0" fontId="20" fillId="0" borderId="402" xfId="26" applyFont="1" applyBorder="1" applyAlignment="1">
      <alignment horizontal="center" vertical="center"/>
    </xf>
    <xf numFmtId="0" fontId="20" fillId="0" borderId="319" xfId="26" applyFont="1" applyBorder="1" applyAlignment="1">
      <alignment horizontal="center" vertical="center"/>
    </xf>
    <xf numFmtId="0" fontId="20" fillId="0" borderId="401" xfId="26" applyFont="1" applyBorder="1" applyAlignment="1">
      <alignment horizontal="center" vertical="center"/>
    </xf>
    <xf numFmtId="0" fontId="211" fillId="0" borderId="470" xfId="26" applyFont="1" applyBorder="1" applyAlignment="1">
      <alignment horizontal="center" vertical="center"/>
    </xf>
    <xf numFmtId="0" fontId="211" fillId="0" borderId="471" xfId="26" applyFont="1" applyBorder="1" applyAlignment="1">
      <alignment horizontal="left" vertical="center"/>
    </xf>
    <xf numFmtId="0" fontId="211" fillId="0" borderId="472" xfId="26" applyFont="1" applyBorder="1" applyAlignment="1">
      <alignment horizontal="left" vertical="center"/>
    </xf>
    <xf numFmtId="0" fontId="211" fillId="0" borderId="473" xfId="26" applyFont="1" applyBorder="1" applyAlignment="1">
      <alignment horizontal="center" vertical="center"/>
    </xf>
    <xf numFmtId="0" fontId="211" fillId="0" borderId="474" xfId="26" applyFont="1" applyBorder="1" applyAlignment="1">
      <alignment horizontal="left" vertical="center"/>
    </xf>
    <xf numFmtId="0" fontId="211" fillId="0" borderId="475" xfId="26" applyFont="1" applyBorder="1" applyAlignment="1">
      <alignment horizontal="left" vertical="center"/>
    </xf>
    <xf numFmtId="0" fontId="211" fillId="0" borderId="472" xfId="26" applyFont="1" applyBorder="1" applyAlignment="1">
      <alignment horizontal="center" vertical="center"/>
    </xf>
    <xf numFmtId="0" fontId="211" fillId="0" borderId="476" xfId="26" applyFont="1" applyBorder="1" applyAlignment="1">
      <alignment horizontal="left" vertical="center"/>
    </xf>
    <xf numFmtId="0" fontId="211" fillId="0" borderId="477" xfId="26" applyFont="1" applyBorder="1" applyAlignment="1">
      <alignment horizontal="left" vertical="center"/>
    </xf>
    <xf numFmtId="0" fontId="210" fillId="0" borderId="0" xfId="26" applyFont="1" applyBorder="1" applyAlignment="1">
      <alignment vertical="center"/>
    </xf>
    <xf numFmtId="0" fontId="213" fillId="0" borderId="478" xfId="26" applyFont="1" applyFill="1" applyBorder="1" applyAlignment="1">
      <alignment horizontal="center" vertical="center" shrinkToFit="1"/>
    </xf>
    <xf numFmtId="0" fontId="205" fillId="0" borderId="315" xfId="26" applyFont="1" applyFill="1" applyBorder="1" applyAlignment="1">
      <alignment horizontal="center" vertical="center" shrinkToFit="1"/>
    </xf>
    <xf numFmtId="0" fontId="205" fillId="0" borderId="479" xfId="26" applyFont="1" applyFill="1" applyBorder="1" applyAlignment="1">
      <alignment horizontal="center" vertical="center" shrinkToFit="1"/>
    </xf>
    <xf numFmtId="43" fontId="205" fillId="0" borderId="480" xfId="29" applyFont="1" applyFill="1" applyBorder="1" applyAlignment="1">
      <alignment vertical="center" shrinkToFit="1"/>
    </xf>
    <xf numFmtId="43" fontId="205" fillId="0" borderId="314" xfId="29" applyFont="1" applyFill="1" applyBorder="1" applyAlignment="1">
      <alignment vertical="center" shrinkToFit="1"/>
    </xf>
    <xf numFmtId="43" fontId="205" fillId="0" borderId="481" xfId="29" applyFont="1" applyFill="1" applyBorder="1" applyAlignment="1">
      <alignment vertical="center" shrinkToFit="1"/>
    </xf>
    <xf numFmtId="0" fontId="205" fillId="0" borderId="482" xfId="26" applyFont="1" applyFill="1" applyBorder="1" applyAlignment="1">
      <alignment horizontal="center" vertical="center" shrinkToFit="1"/>
    </xf>
    <xf numFmtId="43" fontId="205" fillId="0" borderId="482" xfId="29" applyFont="1" applyFill="1" applyBorder="1" applyAlignment="1">
      <alignment vertical="center" shrinkToFit="1"/>
    </xf>
    <xf numFmtId="43" fontId="205" fillId="0" borderId="483" xfId="29" applyFont="1" applyFill="1" applyBorder="1" applyAlignment="1">
      <alignment vertical="center" shrinkToFit="1"/>
    </xf>
    <xf numFmtId="43" fontId="205" fillId="0" borderId="479" xfId="29" applyFont="1" applyFill="1" applyBorder="1" applyAlignment="1">
      <alignment vertical="center" shrinkToFit="1"/>
    </xf>
    <xf numFmtId="43" fontId="205" fillId="0" borderId="484" xfId="29" applyFont="1" applyFill="1" applyBorder="1" applyAlignment="1">
      <alignment vertical="center" shrinkToFit="1"/>
    </xf>
    <xf numFmtId="0" fontId="213" fillId="49" borderId="485" xfId="26" applyFont="1" applyFill="1" applyBorder="1" applyAlignment="1" applyProtection="1">
      <alignment horizontal="center" vertical="center" shrinkToFit="1"/>
      <protection locked="0"/>
    </xf>
    <xf numFmtId="0" fontId="205" fillId="49" borderId="486" xfId="26" applyFont="1" applyFill="1" applyBorder="1" applyAlignment="1" applyProtection="1">
      <alignment horizontal="left" vertical="center" shrinkToFit="1"/>
      <protection locked="0"/>
    </xf>
    <xf numFmtId="0" fontId="205" fillId="49" borderId="395" xfId="26" applyFont="1" applyFill="1" applyBorder="1" applyAlignment="1" applyProtection="1">
      <alignment horizontal="left" vertical="center" shrinkToFit="1"/>
      <protection locked="0"/>
    </xf>
    <xf numFmtId="0" fontId="205" fillId="49" borderId="487" xfId="26" applyFont="1" applyFill="1" applyBorder="1" applyAlignment="1" applyProtection="1">
      <alignment horizontal="left" vertical="center" shrinkToFit="1"/>
      <protection locked="0"/>
    </xf>
    <xf numFmtId="178" fontId="205" fillId="49" borderId="486" xfId="29" applyNumberFormat="1" applyFont="1" applyFill="1" applyBorder="1" applyAlignment="1" applyProtection="1">
      <alignment vertical="center" shrinkToFit="1"/>
      <protection locked="0"/>
    </xf>
    <xf numFmtId="178" fontId="205" fillId="49" borderId="395" xfId="29" applyNumberFormat="1" applyFont="1" applyFill="1" applyBorder="1" applyAlignment="1" applyProtection="1">
      <alignment vertical="center" shrinkToFit="1"/>
      <protection locked="0"/>
    </xf>
    <xf numFmtId="0" fontId="213" fillId="49" borderId="488" xfId="26" applyFont="1" applyFill="1" applyBorder="1" applyAlignment="1" applyProtection="1">
      <alignment horizontal="center" vertical="center" shrinkToFit="1"/>
      <protection locked="0"/>
    </xf>
    <xf numFmtId="0" fontId="205" fillId="49" borderId="489" xfId="26" applyFont="1" applyFill="1" applyBorder="1" applyAlignment="1" applyProtection="1">
      <alignment horizontal="left" vertical="center" shrinkToFit="1"/>
      <protection locked="0"/>
    </xf>
    <xf numFmtId="178" fontId="205" fillId="49" borderId="489" xfId="29" applyNumberFormat="1" applyFont="1" applyFill="1" applyBorder="1" applyAlignment="1" applyProtection="1">
      <alignment vertical="center" shrinkToFit="1"/>
      <protection locked="0"/>
    </xf>
    <xf numFmtId="178" fontId="205" fillId="49" borderId="490" xfId="29" applyNumberFormat="1" applyFont="1" applyFill="1" applyBorder="1" applyAlignment="1" applyProtection="1">
      <alignment vertical="center" shrinkToFit="1"/>
      <protection locked="0"/>
    </xf>
    <xf numFmtId="178" fontId="205" fillId="49" borderId="491" xfId="29" applyNumberFormat="1" applyFont="1" applyFill="1" applyBorder="1" applyAlignment="1" applyProtection="1">
      <alignment vertical="center" shrinkToFit="1"/>
      <protection locked="0"/>
    </xf>
    <xf numFmtId="0" fontId="205" fillId="49" borderId="492" xfId="29" applyNumberFormat="1" applyFont="1" applyFill="1" applyBorder="1" applyAlignment="1" applyProtection="1">
      <alignment horizontal="left" vertical="center" shrinkToFit="1"/>
      <protection locked="0"/>
    </xf>
    <xf numFmtId="0" fontId="205" fillId="49" borderId="493" xfId="29" applyNumberFormat="1" applyFont="1" applyFill="1" applyBorder="1" applyAlignment="1" applyProtection="1">
      <alignment horizontal="left" vertical="center" shrinkToFit="1"/>
      <protection locked="0"/>
    </xf>
    <xf numFmtId="0" fontId="205" fillId="49" borderId="491" xfId="29" applyNumberFormat="1" applyFont="1" applyFill="1" applyBorder="1" applyAlignment="1" applyProtection="1">
      <alignment horizontal="left" vertical="center" shrinkToFit="1"/>
      <protection locked="0"/>
    </xf>
    <xf numFmtId="43" fontId="205" fillId="49" borderId="494" xfId="29" applyFont="1" applyFill="1" applyBorder="1" applyAlignment="1" applyProtection="1">
      <alignment vertical="center" shrinkToFit="1"/>
      <protection locked="0"/>
    </xf>
    <xf numFmtId="43" fontId="205" fillId="49" borderId="495" xfId="29" applyFont="1" applyFill="1" applyBorder="1" applyAlignment="1" applyProtection="1">
      <alignment vertical="center" shrinkToFit="1"/>
      <protection locked="0"/>
    </xf>
    <xf numFmtId="0" fontId="213" fillId="49" borderId="496" xfId="26" applyFont="1" applyFill="1" applyBorder="1" applyAlignment="1" applyProtection="1">
      <alignment horizontal="center" vertical="center" shrinkToFit="1"/>
      <protection locked="0"/>
    </xf>
    <xf numFmtId="0" fontId="205" fillId="49" borderId="497" xfId="26" applyFont="1" applyFill="1" applyBorder="1" applyAlignment="1" applyProtection="1">
      <alignment horizontal="left" vertical="center" shrinkToFit="1"/>
      <protection locked="0"/>
    </xf>
    <xf numFmtId="0" fontId="205" fillId="49" borderId="405" xfId="26" applyFont="1" applyFill="1" applyBorder="1" applyAlignment="1" applyProtection="1">
      <alignment horizontal="left" vertical="center" shrinkToFit="1"/>
      <protection locked="0"/>
    </xf>
    <xf numFmtId="0" fontId="205" fillId="49" borderId="498" xfId="26" applyFont="1" applyFill="1" applyBorder="1" applyAlignment="1" applyProtection="1">
      <alignment horizontal="left" vertical="center" shrinkToFit="1"/>
      <protection locked="0"/>
    </xf>
    <xf numFmtId="178" fontId="205" fillId="49" borderId="497" xfId="29" applyNumberFormat="1" applyFont="1" applyFill="1" applyBorder="1" applyAlignment="1" applyProtection="1">
      <alignment vertical="center" shrinkToFit="1"/>
      <protection locked="0"/>
    </xf>
    <xf numFmtId="178" fontId="205" fillId="49" borderId="405" xfId="29" applyNumberFormat="1" applyFont="1" applyFill="1" applyBorder="1" applyAlignment="1" applyProtection="1">
      <alignment vertical="center" shrinkToFit="1"/>
      <protection locked="0"/>
    </xf>
    <xf numFmtId="0" fontId="213" fillId="49" borderId="499" xfId="26" applyFont="1" applyFill="1" applyBorder="1" applyAlignment="1" applyProtection="1">
      <alignment horizontal="center" vertical="center" shrinkToFit="1"/>
      <protection locked="0"/>
    </xf>
    <xf numFmtId="0" fontId="205" fillId="49" borderId="500" xfId="26" applyFont="1" applyFill="1" applyBorder="1" applyAlignment="1" applyProtection="1">
      <alignment horizontal="left" vertical="center" wrapText="1" shrinkToFit="1"/>
      <protection locked="0"/>
    </xf>
    <xf numFmtId="178" fontId="205" fillId="49" borderId="500" xfId="29" applyNumberFormat="1" applyFont="1" applyFill="1" applyBorder="1" applyAlignment="1" applyProtection="1">
      <alignment vertical="center" shrinkToFit="1"/>
      <protection locked="0"/>
    </xf>
    <xf numFmtId="178" fontId="205" fillId="49" borderId="501" xfId="29" applyNumberFormat="1" applyFont="1" applyFill="1" applyBorder="1" applyAlignment="1" applyProtection="1">
      <alignment vertical="center" shrinkToFit="1"/>
      <protection locked="0"/>
    </xf>
    <xf numFmtId="178" fontId="205" fillId="49" borderId="498" xfId="29" applyNumberFormat="1" applyFont="1" applyFill="1" applyBorder="1" applyAlignment="1" applyProtection="1">
      <alignment vertical="center" shrinkToFit="1"/>
      <protection locked="0"/>
    </xf>
    <xf numFmtId="43" fontId="205" fillId="49" borderId="497" xfId="29" applyFont="1" applyFill="1" applyBorder="1" applyAlignment="1" applyProtection="1">
      <alignment horizontal="left" vertical="center" shrinkToFit="1"/>
      <protection locked="0"/>
    </xf>
    <xf numFmtId="43" fontId="205" fillId="49" borderId="405" xfId="29" applyFont="1" applyFill="1" applyBorder="1" applyAlignment="1" applyProtection="1">
      <alignment horizontal="left" vertical="center" shrinkToFit="1"/>
      <protection locked="0"/>
    </xf>
    <xf numFmtId="43" fontId="205" fillId="49" borderId="498" xfId="29" applyFont="1" applyFill="1" applyBorder="1" applyAlignment="1" applyProtection="1">
      <alignment horizontal="left" vertical="center" shrinkToFit="1"/>
      <protection locked="0"/>
    </xf>
    <xf numFmtId="43" fontId="205" fillId="49" borderId="328" xfId="29" applyFont="1" applyFill="1" applyBorder="1" applyAlignment="1" applyProtection="1">
      <alignment vertical="center" shrinkToFit="1"/>
      <protection locked="0"/>
    </xf>
    <xf numFmtId="43" fontId="205" fillId="49" borderId="502" xfId="29" applyFont="1" applyFill="1" applyBorder="1" applyAlignment="1" applyProtection="1">
      <alignment vertical="center" shrinkToFit="1"/>
      <protection locked="0"/>
    </xf>
    <xf numFmtId="178" fontId="205" fillId="49" borderId="328" xfId="29" applyNumberFormat="1" applyFont="1" applyFill="1" applyBorder="1" applyAlignment="1" applyProtection="1">
      <alignment vertical="center" shrinkToFit="1"/>
      <protection locked="0"/>
    </xf>
    <xf numFmtId="178" fontId="205" fillId="49" borderId="443" xfId="29" applyNumberFormat="1" applyFont="1" applyFill="1" applyBorder="1" applyAlignment="1" applyProtection="1">
      <alignment vertical="center" shrinkToFit="1"/>
      <protection locked="0"/>
    </xf>
    <xf numFmtId="0" fontId="205" fillId="49" borderId="500" xfId="26" applyFont="1" applyFill="1" applyBorder="1" applyAlignment="1" applyProtection="1">
      <alignment horizontal="left" vertical="center" shrinkToFit="1"/>
      <protection locked="0"/>
    </xf>
    <xf numFmtId="0" fontId="211" fillId="0" borderId="315" xfId="26" applyFont="1" applyBorder="1" applyAlignment="1">
      <alignment horizontal="center" vertical="center"/>
    </xf>
    <xf numFmtId="0" fontId="211" fillId="0" borderId="503" xfId="26" applyFont="1" applyBorder="1" applyAlignment="1">
      <alignment horizontal="left" vertical="center"/>
    </xf>
    <xf numFmtId="0" fontId="211" fillId="0" borderId="315" xfId="26" applyFont="1" applyBorder="1" applyAlignment="1">
      <alignment horizontal="left" vertical="center"/>
    </xf>
    <xf numFmtId="0" fontId="211" fillId="0" borderId="504" xfId="26" applyFont="1" applyBorder="1" applyAlignment="1">
      <alignment horizontal="left" vertical="center"/>
    </xf>
    <xf numFmtId="178" fontId="205" fillId="49" borderId="497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405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00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01" xfId="29" applyNumberFormat="1" applyFont="1" applyFill="1" applyBorder="1" applyAlignment="1" applyProtection="1">
      <alignment horizontal="center" vertical="center" shrinkToFit="1"/>
      <protection locked="0"/>
    </xf>
    <xf numFmtId="43" fontId="205" fillId="49" borderId="492" xfId="29" applyFont="1" applyFill="1" applyBorder="1" applyAlignment="1" applyProtection="1">
      <alignment horizontal="left" vertical="center" shrinkToFit="1"/>
      <protection locked="0"/>
    </xf>
    <xf numFmtId="43" fontId="205" fillId="49" borderId="493" xfId="29" applyFont="1" applyFill="1" applyBorder="1" applyAlignment="1" applyProtection="1">
      <alignment horizontal="left" vertical="center" shrinkToFit="1"/>
      <protection locked="0"/>
    </xf>
    <xf numFmtId="43" fontId="205" fillId="49" borderId="491" xfId="29" applyFont="1" applyFill="1" applyBorder="1" applyAlignment="1" applyProtection="1">
      <alignment horizontal="left" vertical="center" shrinkToFit="1"/>
      <protection locked="0"/>
    </xf>
    <xf numFmtId="178" fontId="205" fillId="49" borderId="492" xfId="29" applyNumberFormat="1" applyFont="1" applyFill="1" applyBorder="1" applyAlignment="1" applyProtection="1">
      <alignment vertical="center" shrinkToFit="1"/>
      <protection locked="0"/>
    </xf>
    <xf numFmtId="178" fontId="205" fillId="49" borderId="505" xfId="29" applyNumberFormat="1" applyFont="1" applyFill="1" applyBorder="1" applyAlignment="1" applyProtection="1">
      <alignment vertical="center" shrinkToFit="1"/>
      <protection locked="0"/>
    </xf>
    <xf numFmtId="178" fontId="205" fillId="49" borderId="506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07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08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09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10" xfId="29" applyNumberFormat="1" applyFont="1" applyFill="1" applyBorder="1" applyAlignment="1" applyProtection="1">
      <alignment horizontal="center" vertical="center" shrinkToFit="1"/>
      <protection locked="0"/>
    </xf>
    <xf numFmtId="178" fontId="205" fillId="49" borderId="502" xfId="29" applyNumberFormat="1" applyFont="1" applyFill="1" applyBorder="1" applyAlignment="1" applyProtection="1">
      <alignment vertical="center" shrinkToFit="1"/>
      <protection locked="0"/>
    </xf>
    <xf numFmtId="178" fontId="205" fillId="49" borderId="511" xfId="29" applyNumberFormat="1" applyFont="1" applyFill="1" applyBorder="1" applyAlignment="1" applyProtection="1">
      <alignment horizontal="center" vertical="center" shrinkToFit="1"/>
      <protection locked="0"/>
    </xf>
    <xf numFmtId="0" fontId="213" fillId="49" borderId="512" xfId="26" applyFont="1" applyFill="1" applyBorder="1" applyAlignment="1" applyProtection="1">
      <alignment horizontal="center" vertical="center" shrinkToFit="1"/>
      <protection locked="0"/>
    </xf>
    <xf numFmtId="0" fontId="213" fillId="49" borderId="513" xfId="26" applyFont="1" applyFill="1" applyBorder="1" applyAlignment="1" applyProtection="1">
      <alignment horizontal="center" vertical="center" shrinkToFit="1"/>
      <protection locked="0"/>
    </xf>
    <xf numFmtId="186" fontId="205" fillId="49" borderId="439" xfId="29" applyNumberFormat="1" applyFont="1" applyFill="1" applyBorder="1" applyAlignment="1" applyProtection="1">
      <alignment vertical="center" shrinkToFit="1"/>
      <protection locked="0"/>
    </xf>
    <xf numFmtId="186" fontId="205" fillId="49" borderId="514" xfId="29" applyNumberFormat="1" applyFont="1" applyFill="1" applyBorder="1" applyAlignment="1" applyProtection="1">
      <alignment horizontal="left" vertical="center" shrinkToFit="1"/>
      <protection locked="0"/>
    </xf>
    <xf numFmtId="186" fontId="205" fillId="49" borderId="439" xfId="29" applyNumberFormat="1" applyFont="1" applyFill="1" applyBorder="1" applyAlignment="1" applyProtection="1">
      <alignment horizontal="left" vertical="center" shrinkToFit="1"/>
      <protection locked="0"/>
    </xf>
    <xf numFmtId="186" fontId="205" fillId="49" borderId="515" xfId="29" applyNumberFormat="1" applyFont="1" applyFill="1" applyBorder="1" applyAlignment="1" applyProtection="1">
      <alignment horizontal="left" vertical="center" shrinkToFit="1"/>
      <protection locked="0"/>
    </xf>
    <xf numFmtId="178" fontId="205" fillId="49" borderId="516" xfId="29" applyNumberFormat="1" applyFont="1" applyFill="1" applyBorder="1" applyAlignment="1" applyProtection="1">
      <alignment vertical="center" shrinkToFit="1"/>
      <protection locked="0"/>
    </xf>
    <xf numFmtId="178" fontId="205" fillId="49" borderId="517" xfId="29" applyNumberFormat="1" applyFont="1" applyFill="1" applyBorder="1" applyAlignment="1" applyProtection="1">
      <alignment vertical="center" shrinkToFit="1"/>
      <protection locked="0"/>
    </xf>
    <xf numFmtId="0" fontId="211" fillId="0" borderId="518" xfId="26" applyFont="1" applyBorder="1" applyAlignment="1">
      <alignment horizontal="center" vertical="center"/>
    </xf>
    <xf numFmtId="0" fontId="211" fillId="0" borderId="481" xfId="26" applyFont="1" applyBorder="1" applyAlignment="1">
      <alignment horizontal="center" vertical="center"/>
    </xf>
    <xf numFmtId="0" fontId="211" fillId="0" borderId="482" xfId="26" applyFont="1" applyBorder="1" applyAlignment="1">
      <alignment horizontal="left" vertical="center"/>
    </xf>
    <xf numFmtId="0" fontId="211" fillId="0" borderId="483" xfId="26" applyFont="1" applyBorder="1" applyAlignment="1">
      <alignment horizontal="left" vertical="center"/>
    </xf>
    <xf numFmtId="43" fontId="205" fillId="0" borderId="478" xfId="29" applyFont="1" applyFill="1" applyBorder="1" applyAlignment="1">
      <alignment vertical="center" shrinkToFit="1"/>
    </xf>
    <xf numFmtId="0" fontId="205" fillId="49" borderId="492" xfId="26" applyFont="1" applyFill="1" applyBorder="1" applyAlignment="1" applyProtection="1">
      <alignment horizontal="left" vertical="center" shrinkToFit="1"/>
      <protection locked="0"/>
    </xf>
    <xf numFmtId="0" fontId="205" fillId="49" borderId="493" xfId="26" applyFont="1" applyFill="1" applyBorder="1" applyAlignment="1" applyProtection="1">
      <alignment horizontal="left" vertical="center" shrinkToFit="1"/>
      <protection locked="0"/>
    </xf>
    <xf numFmtId="0" fontId="205" fillId="49" borderId="491" xfId="26" applyFont="1" applyFill="1" applyBorder="1" applyAlignment="1" applyProtection="1">
      <alignment horizontal="left" vertical="center" shrinkToFit="1"/>
      <protection locked="0"/>
    </xf>
    <xf numFmtId="178" fontId="205" fillId="49" borderId="494" xfId="29" applyNumberFormat="1" applyFont="1" applyFill="1" applyBorder="1" applyAlignment="1" applyProtection="1">
      <alignment vertical="center" shrinkToFit="1"/>
      <protection locked="0"/>
    </xf>
    <xf numFmtId="178" fontId="205" fillId="49" borderId="519" xfId="29" applyNumberFormat="1" applyFont="1" applyFill="1" applyBorder="1" applyAlignment="1" applyProtection="1">
      <alignment vertical="center" shrinkToFit="1"/>
      <protection locked="0"/>
    </xf>
    <xf numFmtId="186" fontId="205" fillId="49" borderId="488" xfId="29" applyNumberFormat="1" applyFont="1" applyFill="1" applyBorder="1" applyAlignment="1" applyProtection="1">
      <alignment vertical="center" shrinkToFit="1"/>
      <protection locked="0"/>
    </xf>
    <xf numFmtId="0" fontId="205" fillId="49" borderId="520" xfId="29" applyNumberFormat="1" applyFont="1" applyFill="1" applyBorder="1" applyAlignment="1" applyProtection="1">
      <alignment vertical="center" shrinkToFit="1"/>
      <protection locked="0"/>
    </xf>
    <xf numFmtId="43" fontId="205" fillId="49" borderId="520" xfId="29" applyFont="1" applyFill="1" applyBorder="1" applyAlignment="1" applyProtection="1">
      <alignment vertical="center" shrinkToFit="1"/>
      <protection locked="0"/>
    </xf>
    <xf numFmtId="43" fontId="205" fillId="49" borderId="521" xfId="29" applyFont="1" applyFill="1" applyBorder="1" applyAlignment="1" applyProtection="1">
      <alignment vertical="center" shrinkToFit="1"/>
      <protection locked="0"/>
    </xf>
    <xf numFmtId="43" fontId="205" fillId="49" borderId="443" xfId="29" applyFont="1" applyFill="1" applyBorder="1" applyAlignment="1" applyProtection="1">
      <alignment vertical="center" shrinkToFit="1"/>
      <protection locked="0"/>
    </xf>
    <xf numFmtId="186" fontId="205" fillId="49" borderId="499" xfId="29" applyNumberFormat="1" applyFont="1" applyFill="1" applyBorder="1" applyAlignment="1" applyProtection="1">
      <alignment vertical="center" shrinkToFit="1"/>
      <protection locked="0"/>
    </xf>
    <xf numFmtId="0" fontId="205" fillId="49" borderId="500" xfId="24" applyNumberFormat="1" applyFont="1" applyFill="1" applyBorder="1" applyAlignment="1" applyProtection="1">
      <alignment vertical="center" wrapText="1" shrinkToFit="1"/>
      <protection locked="0"/>
    </xf>
    <xf numFmtId="43" fontId="205" fillId="49" borderId="500" xfId="29" applyFont="1" applyFill="1" applyBorder="1" applyAlignment="1" applyProtection="1">
      <alignment vertical="center" shrinkToFit="1"/>
      <protection locked="0"/>
    </xf>
    <xf numFmtId="43" fontId="205" fillId="49" borderId="501" xfId="29" applyFont="1" applyFill="1" applyBorder="1" applyAlignment="1" applyProtection="1">
      <alignment vertical="center" shrinkToFit="1"/>
      <protection locked="0"/>
    </xf>
    <xf numFmtId="178" fontId="205" fillId="49" borderId="499" xfId="29" applyNumberFormat="1" applyFont="1" applyFill="1" applyBorder="1" applyAlignment="1" applyProtection="1">
      <alignment vertical="center" shrinkToFit="1"/>
      <protection locked="0"/>
    </xf>
    <xf numFmtId="43" fontId="205" fillId="49" borderId="500" xfId="29" applyFont="1" applyFill="1" applyBorder="1" applyAlignment="1" applyProtection="1">
      <alignment horizontal="left" vertical="center" shrinkToFit="1"/>
      <protection locked="0"/>
    </xf>
    <xf numFmtId="0" fontId="213" fillId="49" borderId="522" xfId="26" applyFont="1" applyFill="1" applyBorder="1" applyAlignment="1" applyProtection="1">
      <alignment horizontal="center" vertical="center" shrinkToFit="1"/>
      <protection locked="0"/>
    </xf>
    <xf numFmtId="0" fontId="205" fillId="49" borderId="523" xfId="26" applyFont="1" applyFill="1" applyBorder="1" applyAlignment="1" applyProtection="1">
      <alignment horizontal="left" vertical="center" shrinkToFit="1"/>
      <protection locked="0"/>
    </xf>
    <xf numFmtId="0" fontId="205" fillId="49" borderId="524" xfId="26" applyFont="1" applyFill="1" applyBorder="1" applyAlignment="1" applyProtection="1">
      <alignment horizontal="left" vertical="center" shrinkToFit="1"/>
      <protection locked="0"/>
    </xf>
    <xf numFmtId="0" fontId="205" fillId="49" borderId="525" xfId="26" applyFont="1" applyFill="1" applyBorder="1" applyAlignment="1" applyProtection="1">
      <alignment horizontal="left" vertical="center" shrinkToFit="1"/>
      <protection locked="0"/>
    </xf>
    <xf numFmtId="178" fontId="205" fillId="49" borderId="526" xfId="29" applyNumberFormat="1" applyFont="1" applyFill="1" applyBorder="1" applyAlignment="1" applyProtection="1">
      <alignment vertical="center" shrinkToFit="1"/>
      <protection locked="0"/>
    </xf>
    <xf numFmtId="178" fontId="205" fillId="49" borderId="527" xfId="29" applyNumberFormat="1" applyFont="1" applyFill="1" applyBorder="1" applyAlignment="1" applyProtection="1">
      <alignment vertical="center" shrinkToFit="1"/>
      <protection locked="0"/>
    </xf>
    <xf numFmtId="178" fontId="205" fillId="49" borderId="528" xfId="29" applyNumberFormat="1" applyFont="1" applyFill="1" applyBorder="1" applyAlignment="1" applyProtection="1">
      <alignment vertical="center" shrinkToFit="1"/>
      <protection locked="0"/>
    </xf>
    <xf numFmtId="43" fontId="205" fillId="49" borderId="529" xfId="29" applyFont="1" applyFill="1" applyBorder="1" applyAlignment="1" applyProtection="1">
      <alignment horizontal="left" vertical="center" shrinkToFit="1"/>
      <protection locked="0"/>
    </xf>
    <xf numFmtId="43" fontId="205" fillId="49" borderId="529" xfId="29" applyFont="1" applyFill="1" applyBorder="1" applyAlignment="1" applyProtection="1">
      <alignment vertical="center" shrinkToFit="1"/>
      <protection locked="0"/>
    </xf>
    <xf numFmtId="43" fontId="205" fillId="49" borderId="530" xfId="29" applyFont="1" applyFill="1" applyBorder="1" applyAlignment="1" applyProtection="1">
      <alignment vertical="center" shrinkToFit="1"/>
      <protection locked="0"/>
    </xf>
    <xf numFmtId="178" fontId="205" fillId="49" borderId="525" xfId="29" applyNumberFormat="1" applyFont="1" applyFill="1" applyBorder="1" applyAlignment="1" applyProtection="1">
      <alignment vertical="center" shrinkToFit="1"/>
      <protection locked="0"/>
    </xf>
    <xf numFmtId="43" fontId="205" fillId="49" borderId="523" xfId="29" applyFont="1" applyFill="1" applyBorder="1" applyAlignment="1" applyProtection="1">
      <alignment horizontal="left" vertical="center" shrinkToFit="1"/>
      <protection locked="0"/>
    </xf>
    <xf numFmtId="43" fontId="205" fillId="49" borderId="524" xfId="29" applyFont="1" applyFill="1" applyBorder="1" applyAlignment="1" applyProtection="1">
      <alignment horizontal="left" vertical="center" shrinkToFit="1"/>
      <protection locked="0"/>
    </xf>
    <xf numFmtId="43" fontId="205" fillId="49" borderId="525" xfId="29" applyFont="1" applyFill="1" applyBorder="1" applyAlignment="1" applyProtection="1">
      <alignment horizontal="left" vertical="center" shrinkToFit="1"/>
      <protection locked="0"/>
    </xf>
    <xf numFmtId="43" fontId="205" fillId="49" borderId="526" xfId="29" applyFont="1" applyFill="1" applyBorder="1" applyAlignment="1" applyProtection="1">
      <alignment vertical="center" shrinkToFit="1"/>
      <protection locked="0"/>
    </xf>
    <xf numFmtId="43" fontId="205" fillId="49" borderId="531" xfId="29" applyFont="1" applyFill="1" applyBorder="1" applyAlignment="1" applyProtection="1">
      <alignment vertical="center" shrinkToFit="1"/>
      <protection locked="0"/>
    </xf>
    <xf numFmtId="43" fontId="205" fillId="0" borderId="0" xfId="29" applyFont="1" applyBorder="1" applyAlignment="1">
      <alignment vertical="center" shrinkToFit="1"/>
    </xf>
    <xf numFmtId="186" fontId="205" fillId="0" borderId="0" xfId="29" applyNumberFormat="1" applyFont="1" applyBorder="1" applyAlignment="1">
      <alignment vertical="center" shrinkToFit="1"/>
    </xf>
    <xf numFmtId="186" fontId="205" fillId="0" borderId="0" xfId="29" applyNumberFormat="1" applyFont="1" applyBorder="1" applyAlignment="1">
      <alignment vertical="center" shrinkToFit="1"/>
    </xf>
    <xf numFmtId="186" fontId="205" fillId="0" borderId="0" xfId="29" applyNumberFormat="1" applyFont="1" applyBorder="1" applyAlignment="1">
      <alignment horizontal="center" vertical="center" shrinkToFit="1"/>
    </xf>
    <xf numFmtId="43" fontId="13" fillId="0" borderId="0" xfId="29" applyBorder="1" applyAlignment="1">
      <alignment horizontal="center" vertical="center"/>
    </xf>
    <xf numFmtId="43" fontId="13" fillId="0" borderId="0" xfId="29" applyAlignment="1">
      <alignment horizontal="center" vertical="center"/>
    </xf>
    <xf numFmtId="43" fontId="13" fillId="0" borderId="0" xfId="29" applyAlignment="1">
      <alignment vertical="center"/>
    </xf>
    <xf numFmtId="43" fontId="13" fillId="0" borderId="0" xfId="26" applyNumberFormat="1" applyAlignment="1">
      <alignment horizontal="center" vertical="center" shrinkToFit="1"/>
    </xf>
    <xf numFmtId="0" fontId="13" fillId="0" borderId="0" xfId="26" applyAlignment="1">
      <alignment horizontal="center" vertical="center" shrinkToFit="1"/>
    </xf>
    <xf numFmtId="43" fontId="13" fillId="0" borderId="0" xfId="26" applyNumberFormat="1" applyAlignment="1">
      <alignment vertical="center" shrinkToFit="1"/>
    </xf>
    <xf numFmtId="43" fontId="15" fillId="0" borderId="0" xfId="26" applyNumberFormat="1" applyFont="1" applyAlignment="1">
      <alignment horizontal="center" vertical="center"/>
    </xf>
    <xf numFmtId="0" fontId="15" fillId="0" borderId="0" xfId="26" applyFont="1" applyAlignment="1">
      <alignment horizontal="center" vertical="center"/>
    </xf>
    <xf numFmtId="0" fontId="13" fillId="0" borderId="0" xfId="26" applyAlignment="1">
      <alignment horizontal="center" vertical="center"/>
    </xf>
    <xf numFmtId="0" fontId="214" fillId="20" borderId="0" xfId="28" applyFont="1" applyFill="1" applyAlignment="1">
      <alignment vertical="top"/>
    </xf>
    <xf numFmtId="0" fontId="53" fillId="0" borderId="0" xfId="28" applyFont="1" applyFill="1"/>
    <xf numFmtId="43" fontId="53" fillId="0" borderId="0" xfId="24" applyFont="1" applyFill="1"/>
    <xf numFmtId="0" fontId="215" fillId="20" borderId="0" xfId="28" applyFont="1" applyFill="1" applyAlignment="1"/>
    <xf numFmtId="4" fontId="61" fillId="20" borderId="0" xfId="28" applyNumberFormat="1" applyFont="1" applyFill="1" applyAlignment="1">
      <alignment horizontal="right"/>
    </xf>
    <xf numFmtId="4" fontId="61" fillId="20" borderId="0" xfId="28" applyNumberFormat="1" applyFont="1" applyFill="1" applyAlignment="1">
      <alignment horizontal="left"/>
    </xf>
    <xf numFmtId="0" fontId="53" fillId="20" borderId="0" xfId="28" applyFont="1" applyFill="1"/>
    <xf numFmtId="43" fontId="53" fillId="20" borderId="0" xfId="30" applyFont="1" applyFill="1"/>
    <xf numFmtId="2" fontId="53" fillId="0" borderId="0" xfId="28" applyNumberFormat="1" applyFont="1" applyFill="1"/>
    <xf numFmtId="4" fontId="58" fillId="20" borderId="0" xfId="28" applyNumberFormat="1" applyFont="1" applyFill="1" applyAlignment="1">
      <alignment horizontal="right"/>
    </xf>
    <xf numFmtId="1" fontId="58" fillId="0" borderId="0" xfId="28" applyNumberFormat="1" applyFont="1" applyFill="1" applyAlignment="1">
      <alignment horizontal="left"/>
    </xf>
    <xf numFmtId="43" fontId="61" fillId="50" borderId="532" xfId="28" applyNumberFormat="1" applyFont="1" applyFill="1" applyBorder="1" applyAlignment="1">
      <alignment horizontal="right" vertical="center" wrapText="1"/>
    </xf>
    <xf numFmtId="43" fontId="61" fillId="50" borderId="533" xfId="28" applyNumberFormat="1" applyFont="1" applyFill="1" applyBorder="1" applyAlignment="1">
      <alignment horizontal="center" vertical="center"/>
    </xf>
    <xf numFmtId="43" fontId="61" fillId="0" borderId="0" xfId="24" applyFont="1"/>
    <xf numFmtId="0" fontId="61" fillId="0" borderId="0" xfId="28" applyFont="1"/>
    <xf numFmtId="43" fontId="61" fillId="0" borderId="0" xfId="28" applyNumberFormat="1" applyFont="1"/>
    <xf numFmtId="43" fontId="61" fillId="50" borderId="540" xfId="28" applyNumberFormat="1" applyFont="1" applyFill="1" applyBorder="1" applyAlignment="1">
      <alignment horizontal="right" vertical="center" wrapText="1"/>
    </xf>
    <xf numFmtId="43" fontId="61" fillId="50" borderId="541" xfId="28" applyNumberFormat="1" applyFont="1" applyFill="1" applyBorder="1" applyAlignment="1">
      <alignment horizontal="center" vertical="center"/>
    </xf>
    <xf numFmtId="43" fontId="61" fillId="0" borderId="0" xfId="24" applyFont="1" applyBorder="1" applyAlignment="1">
      <alignment horizontal="center"/>
    </xf>
    <xf numFmtId="0" fontId="61" fillId="0" borderId="0" xfId="28" applyFont="1" applyBorder="1" applyAlignment="1">
      <alignment horizontal="center"/>
    </xf>
    <xf numFmtId="43" fontId="61" fillId="0" borderId="0" xfId="28" applyNumberFormat="1" applyFont="1" applyBorder="1" applyAlignment="1">
      <alignment horizontal="center"/>
    </xf>
    <xf numFmtId="0" fontId="61" fillId="0" borderId="120" xfId="31" applyFont="1" applyFill="1" applyBorder="1" applyAlignment="1" applyProtection="1">
      <alignment horizontal="right" vertical="center" wrapText="1"/>
      <protection locked="0"/>
    </xf>
    <xf numFmtId="0" fontId="61" fillId="0" borderId="545" xfId="31" applyFont="1" applyFill="1" applyBorder="1" applyAlignment="1" applyProtection="1">
      <alignment horizontal="left" vertical="center" wrapText="1"/>
      <protection locked="0"/>
    </xf>
    <xf numFmtId="0" fontId="53" fillId="0" borderId="545" xfId="31" applyFont="1" applyFill="1" applyBorder="1" applyAlignment="1" applyProtection="1">
      <alignment horizontal="center" vertical="top" wrapText="1"/>
      <protection locked="0"/>
    </xf>
    <xf numFmtId="0" fontId="53" fillId="20" borderId="545" xfId="31" applyFont="1" applyFill="1" applyBorder="1" applyAlignment="1" applyProtection="1">
      <alignment horizontal="center" vertical="top" wrapText="1"/>
      <protection locked="0"/>
    </xf>
    <xf numFmtId="43" fontId="53" fillId="0" borderId="533" xfId="30" applyNumberFormat="1" applyFont="1" applyBorder="1"/>
    <xf numFmtId="2" fontId="53" fillId="0" borderId="533" xfId="28" applyNumberFormat="1" applyFont="1" applyBorder="1"/>
    <xf numFmtId="2" fontId="53" fillId="34" borderId="533" xfId="28" applyNumberFormat="1" applyFont="1" applyFill="1" applyBorder="1"/>
    <xf numFmtId="0" fontId="53" fillId="0" borderId="533" xfId="28" applyFont="1" applyBorder="1"/>
    <xf numFmtId="0" fontId="53" fillId="0" borderId="546" xfId="28" applyFont="1" applyBorder="1"/>
    <xf numFmtId="43" fontId="53" fillId="0" borderId="0" xfId="24" applyFont="1" applyBorder="1"/>
    <xf numFmtId="0" fontId="53" fillId="0" borderId="0" xfId="28" applyFont="1" applyBorder="1"/>
    <xf numFmtId="43" fontId="125" fillId="0" borderId="157" xfId="30" applyFont="1" applyFill="1" applyBorder="1" applyAlignment="1" applyProtection="1">
      <alignment horizontal="right" vertical="center" wrapText="1"/>
      <protection locked="0"/>
    </xf>
    <xf numFmtId="43" fontId="125" fillId="0" borderId="547" xfId="30" applyFont="1" applyFill="1" applyBorder="1" applyAlignment="1" applyProtection="1">
      <alignment vertical="center" wrapText="1"/>
      <protection locked="0"/>
    </xf>
    <xf numFmtId="43" fontId="125" fillId="0" borderId="547" xfId="30" applyFont="1" applyFill="1" applyBorder="1" applyAlignment="1" applyProtection="1">
      <alignment horizontal="center" vertical="center" wrapText="1"/>
      <protection locked="0"/>
    </xf>
    <xf numFmtId="43" fontId="125" fillId="20" borderId="547" xfId="30" applyFont="1" applyFill="1" applyBorder="1" applyAlignment="1" applyProtection="1">
      <alignment horizontal="center" vertical="center" wrapText="1"/>
      <protection locked="0"/>
    </xf>
    <xf numFmtId="43" fontId="125" fillId="0" borderId="547" xfId="30" applyFont="1" applyBorder="1" applyAlignment="1">
      <alignment horizontal="center" vertical="center"/>
    </xf>
    <xf numFmtId="43" fontId="125" fillId="0" borderId="547" xfId="30" applyFont="1" applyBorder="1"/>
    <xf numFmtId="43" fontId="65" fillId="34" borderId="547" xfId="24" applyFont="1" applyFill="1" applyBorder="1" applyAlignment="1" applyProtection="1">
      <alignment horizontal="right" vertical="center" wrapText="1"/>
      <protection locked="0"/>
    </xf>
    <xf numFmtId="43" fontId="65" fillId="34" borderId="547" xfId="24" applyFont="1" applyFill="1" applyBorder="1" applyAlignment="1" applyProtection="1">
      <alignment horizontal="center" vertical="center" wrapText="1"/>
      <protection locked="0"/>
    </xf>
    <xf numFmtId="10" fontId="65" fillId="34" borderId="547" xfId="23" applyNumberFormat="1" applyFont="1" applyFill="1" applyBorder="1" applyAlignment="1" applyProtection="1">
      <alignment horizontal="center" vertical="center" wrapText="1"/>
      <protection locked="0"/>
    </xf>
    <xf numFmtId="43" fontId="125" fillId="0" borderId="548" xfId="30" applyFont="1" applyBorder="1"/>
    <xf numFmtId="43" fontId="125" fillId="0" borderId="0" xfId="24" applyFont="1"/>
    <xf numFmtId="0" fontId="125" fillId="0" borderId="0" xfId="28" applyFont="1"/>
    <xf numFmtId="43" fontId="125" fillId="34" borderId="547" xfId="30" applyFont="1" applyFill="1" applyBorder="1"/>
    <xf numFmtId="43" fontId="125" fillId="0" borderId="157" xfId="30" applyFont="1" applyFill="1" applyBorder="1" applyAlignment="1" applyProtection="1">
      <alignment horizontal="right" vertical="top" wrapText="1"/>
      <protection locked="0"/>
    </xf>
    <xf numFmtId="43" fontId="125" fillId="0" borderId="547" xfId="30" applyFont="1" applyFill="1" applyBorder="1" applyAlignment="1" applyProtection="1">
      <alignment vertical="top" wrapText="1"/>
      <protection locked="0"/>
    </xf>
    <xf numFmtId="43" fontId="125" fillId="0" borderId="549" xfId="30" applyFont="1" applyFill="1" applyBorder="1" applyAlignment="1" applyProtection="1">
      <alignment horizontal="right" vertical="center" wrapText="1"/>
      <protection locked="0"/>
    </xf>
    <xf numFmtId="43" fontId="125" fillId="0" borderId="99" xfId="30" applyFont="1" applyFill="1" applyBorder="1" applyAlignment="1" applyProtection="1">
      <alignment vertical="center" wrapText="1"/>
      <protection locked="0"/>
    </xf>
    <xf numFmtId="43" fontId="125" fillId="0" borderId="99" xfId="30" applyFont="1" applyFill="1" applyBorder="1" applyAlignment="1" applyProtection="1">
      <alignment horizontal="center" vertical="center" wrapText="1"/>
      <protection locked="0"/>
    </xf>
    <xf numFmtId="43" fontId="125" fillId="20" borderId="99" xfId="30" applyFont="1" applyFill="1" applyBorder="1" applyAlignment="1" applyProtection="1">
      <alignment horizontal="center" vertical="center" wrapText="1"/>
      <protection locked="0"/>
    </xf>
    <xf numFmtId="43" fontId="125" fillId="0" borderId="99" xfId="30" applyFont="1" applyBorder="1" applyAlignment="1">
      <alignment horizontal="center" vertical="center"/>
    </xf>
    <xf numFmtId="43" fontId="125" fillId="0" borderId="99" xfId="30" applyFont="1" applyBorder="1"/>
    <xf numFmtId="43" fontId="125" fillId="34" borderId="99" xfId="30" applyFont="1" applyFill="1" applyBorder="1"/>
    <xf numFmtId="43" fontId="61" fillId="50" borderId="145" xfId="30" applyFont="1" applyFill="1" applyBorder="1" applyAlignment="1">
      <alignment horizontal="right" vertical="center"/>
    </xf>
    <xf numFmtId="43" fontId="61" fillId="50" borderId="57" xfId="30" applyFont="1" applyFill="1" applyBorder="1" applyAlignment="1">
      <alignment horizontal="center" vertical="center"/>
    </xf>
    <xf numFmtId="43" fontId="61" fillId="34" borderId="57" xfId="30" applyFont="1" applyFill="1" applyBorder="1" applyAlignment="1">
      <alignment horizontal="center" vertical="center"/>
    </xf>
    <xf numFmtId="10" fontId="61" fillId="34" borderId="57" xfId="23" applyNumberFormat="1" applyFont="1" applyFill="1" applyBorder="1" applyAlignment="1">
      <alignment horizontal="center" vertical="center"/>
    </xf>
    <xf numFmtId="43" fontId="61" fillId="50" borderId="146" xfId="30" applyFont="1" applyFill="1" applyBorder="1" applyAlignment="1">
      <alignment horizontal="center" vertical="center"/>
    </xf>
    <xf numFmtId="43" fontId="61" fillId="0" borderId="0" xfId="24" applyFont="1" applyFill="1"/>
    <xf numFmtId="0" fontId="61" fillId="0" borderId="0" xfId="28" applyFont="1" applyFill="1"/>
    <xf numFmtId="186" fontId="61" fillId="0" borderId="120" xfId="30" applyNumberFormat="1" applyFont="1" applyFill="1" applyBorder="1" applyAlignment="1" applyProtection="1">
      <alignment horizontal="right" vertical="center" wrapText="1"/>
      <protection locked="0"/>
    </xf>
    <xf numFmtId="43" fontId="61" fillId="0" borderId="545" xfId="30" applyFont="1" applyFill="1" applyBorder="1" applyAlignment="1">
      <alignment wrapText="1"/>
    </xf>
    <xf numFmtId="43" fontId="53" fillId="0" borderId="545" xfId="30" applyFont="1" applyBorder="1" applyAlignment="1">
      <alignment horizontal="center" vertical="center"/>
    </xf>
    <xf numFmtId="43" fontId="53" fillId="20" borderId="545" xfId="30" applyFont="1" applyFill="1" applyBorder="1" applyAlignment="1">
      <alignment horizontal="center" vertical="center"/>
    </xf>
    <xf numFmtId="43" fontId="53" fillId="0" borderId="545" xfId="30" applyFont="1" applyBorder="1"/>
    <xf numFmtId="43" fontId="53" fillId="34" borderId="545" xfId="30" applyFont="1" applyFill="1" applyBorder="1"/>
    <xf numFmtId="43" fontId="53" fillId="0" borderId="550" xfId="30" applyFont="1" applyBorder="1"/>
    <xf numFmtId="43" fontId="53" fillId="0" borderId="0" xfId="24" applyFont="1"/>
    <xf numFmtId="0" fontId="53" fillId="0" borderId="0" xfId="28" applyFont="1"/>
    <xf numFmtId="43" fontId="125" fillId="0" borderId="99" xfId="30" applyFont="1" applyFill="1" applyBorder="1" applyAlignment="1" applyProtection="1">
      <alignment horizontal="justify" vertical="center" wrapText="1"/>
      <protection locked="0"/>
    </xf>
    <xf numFmtId="43" fontId="125" fillId="0" borderId="99" xfId="30" applyFont="1" applyFill="1" applyBorder="1" applyAlignment="1" applyProtection="1">
      <alignment horizontal="right" vertical="center" wrapText="1"/>
      <protection locked="0"/>
    </xf>
    <xf numFmtId="43" fontId="125" fillId="0" borderId="551" xfId="30" applyFont="1" applyBorder="1"/>
    <xf numFmtId="189" fontId="53" fillId="0" borderId="0" xfId="28" applyNumberFormat="1" applyFont="1"/>
    <xf numFmtId="43" fontId="125" fillId="0" borderId="545" xfId="30" applyFont="1" applyBorder="1" applyAlignment="1">
      <alignment horizontal="center" vertical="center"/>
    </xf>
    <xf numFmtId="43" fontId="125" fillId="20" borderId="545" xfId="30" applyFont="1" applyFill="1" applyBorder="1" applyAlignment="1">
      <alignment horizontal="center" vertical="center"/>
    </xf>
    <xf numFmtId="43" fontId="125" fillId="0" borderId="545" xfId="30" applyFont="1" applyBorder="1"/>
    <xf numFmtId="43" fontId="125" fillId="34" borderId="545" xfId="30" applyFont="1" applyFill="1" applyBorder="1"/>
    <xf numFmtId="43" fontId="125" fillId="0" borderId="550" xfId="30" applyFont="1" applyBorder="1"/>
    <xf numFmtId="43" fontId="125" fillId="20" borderId="547" xfId="30" applyFont="1" applyFill="1" applyBorder="1" applyAlignment="1" applyProtection="1">
      <alignment horizontal="center" wrapText="1"/>
      <protection locked="0"/>
    </xf>
    <xf numFmtId="43" fontId="125" fillId="0" borderId="547" xfId="30" applyFont="1" applyBorder="1" applyAlignment="1">
      <alignment horizontal="center"/>
    </xf>
    <xf numFmtId="0" fontId="125" fillId="0" borderId="29" xfId="28" applyFont="1" applyBorder="1" applyAlignment="1">
      <alignment horizontal="right"/>
    </xf>
    <xf numFmtId="0" fontId="125" fillId="0" borderId="0" xfId="28" applyFont="1" applyBorder="1"/>
    <xf numFmtId="43" fontId="125" fillId="0" borderId="547" xfId="30" applyFont="1" applyFill="1" applyBorder="1" applyAlignment="1" applyProtection="1">
      <alignment horizontal="left" vertical="center" wrapText="1"/>
      <protection locked="0"/>
    </xf>
    <xf numFmtId="43" fontId="125" fillId="0" borderId="547" xfId="30" applyFont="1" applyFill="1" applyBorder="1"/>
    <xf numFmtId="43" fontId="217" fillId="0" borderId="157" xfId="30" applyFont="1" applyFill="1" applyBorder="1" applyAlignment="1" applyProtection="1">
      <alignment horizontal="right" vertical="center" wrapText="1"/>
      <protection locked="0"/>
    </xf>
    <xf numFmtId="43" fontId="217" fillId="0" borderId="547" xfId="30" applyFont="1" applyFill="1" applyBorder="1" applyAlignment="1" applyProtection="1">
      <alignment vertical="center" wrapText="1"/>
      <protection locked="0"/>
    </xf>
    <xf numFmtId="43" fontId="125" fillId="0" borderId="547" xfId="30" applyFont="1" applyBorder="1" applyAlignment="1"/>
    <xf numFmtId="43" fontId="217" fillId="0" borderId="157" xfId="30" applyFont="1" applyFill="1" applyBorder="1" applyAlignment="1" applyProtection="1">
      <alignment horizontal="right" vertical="center" wrapText="1"/>
    </xf>
    <xf numFmtId="43" fontId="217" fillId="0" borderId="547" xfId="30" applyFont="1" applyFill="1" applyBorder="1" applyAlignment="1" applyProtection="1">
      <alignment horizontal="left" vertical="center" wrapText="1"/>
    </xf>
    <xf numFmtId="43" fontId="125" fillId="0" borderId="547" xfId="30" applyFont="1" applyFill="1" applyBorder="1" applyAlignment="1" applyProtection="1">
      <alignment horizontal="center" vertical="center" wrapText="1"/>
    </xf>
    <xf numFmtId="43" fontId="125" fillId="20" borderId="547" xfId="30" applyFont="1" applyFill="1" applyBorder="1" applyAlignment="1" applyProtection="1">
      <alignment horizontal="center" vertical="center" wrapText="1"/>
    </xf>
    <xf numFmtId="43" fontId="125" fillId="0" borderId="552" xfId="30" applyFont="1" applyFill="1" applyBorder="1" applyAlignment="1" applyProtection="1">
      <alignment horizontal="right" vertical="center" wrapText="1"/>
      <protection locked="0"/>
    </xf>
    <xf numFmtId="43" fontId="125" fillId="0" borderId="553" xfId="30" applyFont="1" applyFill="1" applyBorder="1" applyAlignment="1" applyProtection="1">
      <alignment vertical="center" wrapText="1"/>
      <protection locked="0"/>
    </xf>
    <xf numFmtId="43" fontId="125" fillId="0" borderId="553" xfId="30" applyFont="1" applyFill="1" applyBorder="1" applyAlignment="1" applyProtection="1">
      <alignment horizontal="center" vertical="center" wrapText="1"/>
      <protection locked="0"/>
    </xf>
    <xf numFmtId="43" fontId="125" fillId="20" borderId="553" xfId="30" applyFont="1" applyFill="1" applyBorder="1" applyAlignment="1" applyProtection="1">
      <alignment horizontal="center" vertical="center" wrapText="1"/>
      <protection locked="0"/>
    </xf>
    <xf numFmtId="43" fontId="125" fillId="0" borderId="553" xfId="30" applyFont="1" applyBorder="1" applyAlignment="1">
      <alignment horizontal="center" vertical="center"/>
    </xf>
    <xf numFmtId="43" fontId="125" fillId="0" borderId="553" xfId="30" applyFont="1" applyBorder="1" applyAlignment="1">
      <alignment vertical="center"/>
    </xf>
    <xf numFmtId="43" fontId="125" fillId="34" borderId="553" xfId="30" applyFont="1" applyFill="1" applyBorder="1" applyAlignment="1">
      <alignment vertical="center"/>
    </xf>
    <xf numFmtId="43" fontId="125" fillId="0" borderId="554" xfId="30" applyFont="1" applyBorder="1" applyAlignment="1">
      <alignment vertical="center"/>
    </xf>
    <xf numFmtId="43" fontId="125" fillId="0" borderId="120" xfId="30" applyFont="1" applyFill="1" applyBorder="1" applyAlignment="1" applyProtection="1">
      <alignment horizontal="right" vertical="center" wrapText="1"/>
      <protection locked="0"/>
    </xf>
    <xf numFmtId="43" fontId="125" fillId="0" borderId="545" xfId="30" applyFont="1" applyFill="1" applyBorder="1" applyAlignment="1">
      <alignment vertical="center" wrapText="1"/>
    </xf>
    <xf numFmtId="43" fontId="125" fillId="0" borderId="545" xfId="30" applyFont="1" applyFill="1" applyBorder="1" applyAlignment="1" applyProtection="1">
      <alignment horizontal="center" vertical="center" wrapText="1"/>
      <protection locked="0"/>
    </xf>
    <xf numFmtId="43" fontId="125" fillId="20" borderId="545" xfId="30" applyFont="1" applyFill="1" applyBorder="1" applyAlignment="1" applyProtection="1">
      <alignment horizontal="center" wrapText="1"/>
      <protection locked="0"/>
    </xf>
    <xf numFmtId="43" fontId="125" fillId="0" borderId="545" xfId="30" applyFont="1" applyBorder="1" applyAlignment="1">
      <alignment horizontal="center"/>
    </xf>
    <xf numFmtId="43" fontId="125" fillId="0" borderId="545" xfId="30" applyFont="1" applyBorder="1" applyAlignment="1"/>
    <xf numFmtId="43" fontId="125" fillId="34" borderId="545" xfId="30" applyFont="1" applyFill="1" applyBorder="1" applyAlignment="1"/>
    <xf numFmtId="43" fontId="53" fillId="0" borderId="0" xfId="24" applyFont="1" applyAlignment="1">
      <alignment vertical="center"/>
    </xf>
    <xf numFmtId="0" fontId="53" fillId="0" borderId="0" xfId="28" applyFont="1" applyAlignment="1">
      <alignment vertical="center"/>
    </xf>
    <xf numFmtId="178" fontId="125" fillId="0" borderId="547" xfId="30" applyNumberFormat="1" applyFont="1" applyBorder="1"/>
    <xf numFmtId="43" fontId="217" fillId="0" borderId="157" xfId="30" applyFont="1" applyFill="1" applyBorder="1" applyAlignment="1" applyProtection="1">
      <alignment horizontal="right" vertical="top" wrapText="1"/>
      <protection locked="0"/>
    </xf>
    <xf numFmtId="43" fontId="217" fillId="0" borderId="547" xfId="30" applyFont="1" applyFill="1" applyBorder="1" applyAlignment="1" applyProtection="1">
      <alignment vertical="top" wrapText="1"/>
      <protection locked="0"/>
    </xf>
    <xf numFmtId="43" fontId="125" fillId="0" borderId="547" xfId="30" applyFont="1" applyFill="1" applyBorder="1" applyAlignment="1">
      <alignment horizontal="center" vertical="center"/>
    </xf>
    <xf numFmtId="43" fontId="125" fillId="20" borderId="547" xfId="30" applyFont="1" applyFill="1" applyBorder="1" applyAlignment="1">
      <alignment horizontal="center"/>
    </xf>
    <xf numFmtId="43" fontId="125" fillId="20" borderId="547" xfId="30" applyFont="1" applyFill="1" applyBorder="1" applyAlignment="1">
      <alignment horizontal="center" vertical="center"/>
    </xf>
    <xf numFmtId="43" fontId="125" fillId="16" borderId="555" xfId="30" applyFont="1" applyFill="1" applyBorder="1"/>
    <xf numFmtId="43" fontId="125" fillId="0" borderId="547" xfId="30" applyFont="1" applyFill="1" applyBorder="1" applyAlignment="1">
      <alignment vertical="center" wrapText="1"/>
    </xf>
    <xf numFmtId="43" fontId="217" fillId="0" borderId="547" xfId="30" applyFont="1" applyFill="1" applyBorder="1" applyAlignment="1">
      <alignment horizontal="left" vertical="center" wrapText="1"/>
    </xf>
    <xf numFmtId="43" fontId="125" fillId="0" borderId="547" xfId="30" applyFont="1" applyFill="1" applyBorder="1" applyAlignment="1">
      <alignment horizontal="left" vertical="center" wrapText="1"/>
    </xf>
    <xf numFmtId="43" fontId="125" fillId="0" borderId="547" xfId="30" applyFont="1" applyBorder="1" applyAlignment="1">
      <alignment vertical="center"/>
    </xf>
    <xf numFmtId="43" fontId="125" fillId="34" borderId="547" xfId="30" applyFont="1" applyFill="1" applyBorder="1" applyAlignment="1">
      <alignment vertical="center"/>
    </xf>
    <xf numFmtId="43" fontId="125" fillId="0" borderId="548" xfId="30" applyFont="1" applyBorder="1" applyAlignment="1">
      <alignment vertical="center"/>
    </xf>
    <xf numFmtId="43" fontId="218" fillId="0" borderId="0" xfId="24" applyFont="1"/>
    <xf numFmtId="0" fontId="218" fillId="0" borderId="0" xfId="28" applyFont="1"/>
    <xf numFmtId="43" fontId="125" fillId="0" borderId="549" xfId="30" applyFont="1" applyFill="1" applyBorder="1" applyAlignment="1" applyProtection="1">
      <alignment horizontal="right" vertical="top" wrapText="1"/>
      <protection locked="0"/>
    </xf>
    <xf numFmtId="43" fontId="125" fillId="0" borderId="99" xfId="30" applyFont="1" applyFill="1" applyBorder="1" applyAlignment="1" applyProtection="1">
      <alignment vertical="top" wrapText="1"/>
      <protection locked="0"/>
    </xf>
    <xf numFmtId="0" fontId="61" fillId="0" borderId="120" xfId="30" applyNumberFormat="1" applyFont="1" applyFill="1" applyBorder="1" applyAlignment="1" applyProtection="1">
      <alignment horizontal="right" vertical="center" wrapText="1"/>
      <protection locked="0"/>
    </xf>
    <xf numFmtId="43" fontId="53" fillId="16" borderId="0" xfId="24" applyFont="1" applyFill="1" applyAlignment="1">
      <alignment horizontal="center"/>
    </xf>
    <xf numFmtId="0" fontId="217" fillId="0" borderId="157" xfId="30" applyNumberFormat="1" applyFont="1" applyFill="1" applyBorder="1" applyAlignment="1" applyProtection="1">
      <alignment horizontal="right" vertical="center" wrapText="1"/>
      <protection locked="0"/>
    </xf>
    <xf numFmtId="43" fontId="217" fillId="0" borderId="547" xfId="30" applyFont="1" applyFill="1" applyBorder="1" applyAlignment="1">
      <alignment wrapText="1"/>
    </xf>
    <xf numFmtId="43" fontId="53" fillId="16" borderId="0" xfId="24" applyFont="1" applyFill="1"/>
    <xf numFmtId="43" fontId="217" fillId="0" borderId="547" xfId="30" applyFont="1" applyFill="1" applyBorder="1" applyAlignment="1">
      <alignment vertical="center" wrapText="1"/>
    </xf>
    <xf numFmtId="0" fontId="125" fillId="0" borderId="157" xfId="30" applyNumberFormat="1" applyFont="1" applyFill="1" applyBorder="1" applyAlignment="1" applyProtection="1">
      <alignment horizontal="right" vertical="center" wrapText="1"/>
      <protection locked="0"/>
    </xf>
    <xf numFmtId="43" fontId="125" fillId="0" borderId="547" xfId="30" applyFont="1" applyFill="1" applyBorder="1" applyAlignment="1">
      <alignment wrapText="1"/>
    </xf>
    <xf numFmtId="43" fontId="125" fillId="34" borderId="547" xfId="30" applyFont="1" applyFill="1" applyBorder="1" applyAlignment="1">
      <alignment horizontal="center" vertical="center"/>
    </xf>
    <xf numFmtId="43" fontId="125" fillId="34" borderId="545" xfId="24" applyFont="1" applyFill="1" applyBorder="1" applyAlignment="1">
      <alignment horizontal="center" vertical="center"/>
    </xf>
    <xf numFmtId="43" fontId="125" fillId="0" borderId="553" xfId="30" applyFont="1" applyFill="1" applyBorder="1" applyAlignment="1" applyProtection="1">
      <alignment horizontal="left" vertical="center" wrapText="1"/>
      <protection locked="0"/>
    </xf>
    <xf numFmtId="43" fontId="125" fillId="20" borderId="553" xfId="30" applyFont="1" applyFill="1" applyBorder="1" applyAlignment="1">
      <alignment horizontal="center" vertical="center"/>
    </xf>
    <xf numFmtId="43" fontId="125" fillId="0" borderId="553" xfId="30" applyFont="1" applyBorder="1"/>
    <xf numFmtId="43" fontId="125" fillId="34" borderId="553" xfId="30" applyFont="1" applyFill="1" applyBorder="1"/>
    <xf numFmtId="43" fontId="125" fillId="34" borderId="553" xfId="30" applyFont="1" applyFill="1" applyBorder="1" applyAlignment="1">
      <alignment horizontal="center"/>
    </xf>
    <xf numFmtId="43" fontId="125" fillId="0" borderId="554" xfId="30" applyFont="1" applyBorder="1"/>
    <xf numFmtId="43" fontId="217" fillId="0" borderId="120" xfId="30" applyFont="1" applyFill="1" applyBorder="1" applyAlignment="1" applyProtection="1">
      <alignment horizontal="right" vertical="center" wrapText="1"/>
      <protection locked="0"/>
    </xf>
    <xf numFmtId="43" fontId="217" fillId="0" borderId="545" xfId="30" applyFont="1" applyFill="1" applyBorder="1" applyAlignment="1" applyProtection="1">
      <alignment vertical="center" wrapText="1"/>
      <protection locked="0"/>
    </xf>
    <xf numFmtId="43" fontId="125" fillId="20" borderId="99" xfId="30" applyFont="1" applyFill="1" applyBorder="1" applyAlignment="1">
      <alignment horizontal="center" vertical="center"/>
    </xf>
    <xf numFmtId="43" fontId="125" fillId="0" borderId="99" xfId="30" applyFont="1" applyBorder="1" applyAlignment="1">
      <alignment vertical="center"/>
    </xf>
    <xf numFmtId="43" fontId="125" fillId="34" borderId="99" xfId="30" applyFont="1" applyFill="1" applyBorder="1" applyAlignment="1">
      <alignment vertical="center"/>
    </xf>
    <xf numFmtId="43" fontId="125" fillId="0" borderId="551" xfId="30" applyFont="1" applyBorder="1" applyAlignment="1">
      <alignment vertical="center"/>
    </xf>
    <xf numFmtId="190" fontId="53" fillId="0" borderId="0" xfId="28" applyNumberFormat="1" applyFont="1"/>
    <xf numFmtId="0" fontId="61" fillId="0" borderId="120" xfId="30" applyNumberFormat="1" applyFont="1" applyBorder="1" applyAlignment="1">
      <alignment horizontal="right"/>
    </xf>
    <xf numFmtId="43" fontId="217" fillId="0" borderId="549" xfId="30" applyFont="1" applyFill="1" applyBorder="1" applyAlignment="1" applyProtection="1">
      <alignment horizontal="right" vertical="center" wrapText="1"/>
      <protection locked="0"/>
    </xf>
    <xf numFmtId="43" fontId="125" fillId="0" borderId="99" xfId="30" applyFont="1" applyFill="1" applyBorder="1" applyAlignment="1" applyProtection="1">
      <alignment horizontal="left" vertical="center" wrapText="1"/>
      <protection locked="0"/>
    </xf>
    <xf numFmtId="43" fontId="125" fillId="34" borderId="543" xfId="30" applyFont="1" applyFill="1" applyBorder="1" applyAlignment="1">
      <alignment vertical="center"/>
    </xf>
    <xf numFmtId="43" fontId="217" fillId="0" borderId="547" xfId="30" applyFont="1" applyFill="1" applyBorder="1" applyAlignment="1" applyProtection="1">
      <alignment horizontal="left" vertical="center" wrapText="1"/>
      <protection locked="0"/>
    </xf>
    <xf numFmtId="43" fontId="125" fillId="34" borderId="545" xfId="24" applyFont="1" applyFill="1" applyBorder="1" applyAlignment="1">
      <alignment horizontal="center"/>
    </xf>
    <xf numFmtId="43" fontId="125" fillId="0" borderId="157" xfId="30" applyFont="1" applyFill="1" applyBorder="1" applyAlignment="1" applyProtection="1">
      <alignment horizontal="right" vertical="center"/>
      <protection locked="0"/>
    </xf>
    <xf numFmtId="43" fontId="125" fillId="0" borderId="545" xfId="30" applyFont="1" applyFill="1" applyBorder="1" applyAlignment="1" applyProtection="1">
      <alignment horizontal="left" vertical="center" wrapText="1"/>
      <protection locked="0"/>
    </xf>
    <xf numFmtId="43" fontId="125" fillId="20" borderId="545" xfId="30" applyFont="1" applyFill="1" applyBorder="1" applyAlignment="1" applyProtection="1">
      <alignment horizontal="center" vertical="center" wrapText="1"/>
      <protection locked="0"/>
    </xf>
    <xf numFmtId="43" fontId="217" fillId="0" borderId="556" xfId="30" applyFont="1" applyFill="1" applyBorder="1" applyAlignment="1" applyProtection="1">
      <alignment horizontal="right" vertical="center" wrapText="1"/>
      <protection locked="0"/>
    </xf>
    <xf numFmtId="43" fontId="217" fillId="0" borderId="557" xfId="30" applyFont="1" applyFill="1" applyBorder="1" applyAlignment="1" applyProtection="1">
      <alignment horizontal="left" vertical="center" wrapText="1"/>
      <protection locked="0"/>
    </xf>
    <xf numFmtId="43" fontId="125" fillId="0" borderId="557" xfId="30" applyFont="1" applyFill="1" applyBorder="1" applyAlignment="1" applyProtection="1">
      <alignment horizontal="center" vertical="center" wrapText="1"/>
      <protection locked="0"/>
    </xf>
    <xf numFmtId="43" fontId="125" fillId="20" borderId="557" xfId="30" applyFont="1" applyFill="1" applyBorder="1" applyAlignment="1" applyProtection="1">
      <alignment horizontal="center" vertical="center" wrapText="1"/>
      <protection locked="0"/>
    </xf>
    <xf numFmtId="43" fontId="125" fillId="0" borderId="557" xfId="30" applyFont="1" applyBorder="1" applyAlignment="1">
      <alignment horizontal="center" vertical="center"/>
    </xf>
    <xf numFmtId="43" fontId="125" fillId="0" borderId="557" xfId="30" applyFont="1" applyBorder="1"/>
    <xf numFmtId="43" fontId="125" fillId="34" borderId="557" xfId="30" applyFont="1" applyFill="1" applyBorder="1"/>
    <xf numFmtId="43" fontId="125" fillId="0" borderId="558" xfId="30" applyFont="1" applyBorder="1"/>
    <xf numFmtId="0" fontId="219" fillId="0" borderId="545" xfId="28" applyFont="1" applyFill="1" applyBorder="1" applyAlignment="1">
      <alignment horizontal="center" vertical="center"/>
    </xf>
    <xf numFmtId="170" fontId="220" fillId="0" borderId="545" xfId="28" applyNumberFormat="1" applyFont="1" applyFill="1" applyBorder="1" applyAlignment="1">
      <alignment horizontal="center" vertical="center"/>
    </xf>
    <xf numFmtId="0" fontId="219" fillId="0" borderId="547" xfId="28" applyFont="1" applyFill="1" applyBorder="1" applyAlignment="1">
      <alignment horizontal="center" vertical="center"/>
    </xf>
    <xf numFmtId="170" fontId="220" fillId="0" borderId="547" xfId="28" applyNumberFormat="1" applyFont="1" applyFill="1" applyBorder="1" applyAlignment="1">
      <alignment horizontal="center" vertical="center"/>
    </xf>
    <xf numFmtId="0" fontId="221" fillId="0" borderId="547" xfId="28" applyFont="1" applyFill="1" applyBorder="1" applyAlignment="1">
      <alignment horizontal="center" vertical="center"/>
    </xf>
    <xf numFmtId="170" fontId="222" fillId="0" borderId="547" xfId="28" applyNumberFormat="1" applyFont="1" applyFill="1" applyBorder="1" applyAlignment="1">
      <alignment horizontal="center" vertical="center"/>
    </xf>
    <xf numFmtId="0" fontId="223" fillId="0" borderId="547" xfId="28" applyFont="1" applyFill="1" applyBorder="1" applyAlignment="1">
      <alignment horizontal="center" vertical="center"/>
    </xf>
    <xf numFmtId="170" fontId="125" fillId="0" borderId="547" xfId="28" applyNumberFormat="1" applyFont="1" applyFill="1" applyBorder="1" applyAlignment="1">
      <alignment horizontal="center" vertical="center"/>
    </xf>
    <xf numFmtId="43" fontId="125" fillId="0" borderId="556" xfId="30" applyFont="1" applyFill="1" applyBorder="1" applyAlignment="1" applyProtection="1">
      <alignment horizontal="right" vertical="center" wrapText="1"/>
      <protection locked="0"/>
    </xf>
    <xf numFmtId="43" fontId="125" fillId="0" borderId="557" xfId="30" applyFont="1" applyFill="1" applyBorder="1" applyAlignment="1" applyProtection="1">
      <alignment horizontal="left" vertical="center" wrapText="1"/>
      <protection locked="0"/>
    </xf>
    <xf numFmtId="0" fontId="219" fillId="0" borderId="557" xfId="28" applyFont="1" applyFill="1" applyBorder="1" applyAlignment="1">
      <alignment horizontal="center" vertical="center"/>
    </xf>
    <xf numFmtId="170" fontId="220" fillId="0" borderId="557" xfId="28" applyNumberFormat="1" applyFont="1" applyFill="1" applyBorder="1" applyAlignment="1">
      <alignment horizontal="center" vertical="center"/>
    </xf>
    <xf numFmtId="43" fontId="125" fillId="34" borderId="557" xfId="30" applyFont="1" applyFill="1" applyBorder="1" applyAlignment="1">
      <alignment vertical="center"/>
    </xf>
    <xf numFmtId="186" fontId="125" fillId="0" borderId="120" xfId="30" applyNumberFormat="1" applyFont="1" applyFill="1" applyBorder="1" applyAlignment="1" applyProtection="1">
      <alignment horizontal="right" vertical="center" wrapText="1"/>
      <protection locked="0"/>
    </xf>
    <xf numFmtId="43" fontId="53" fillId="0" borderId="0" xfId="28" applyNumberFormat="1" applyFont="1"/>
    <xf numFmtId="0" fontId="219" fillId="0" borderId="99" xfId="28" applyFont="1" applyFill="1" applyBorder="1" applyAlignment="1">
      <alignment horizontal="center" vertical="center"/>
    </xf>
    <xf numFmtId="43" fontId="53" fillId="20" borderId="545" xfId="30" applyFont="1" applyFill="1" applyBorder="1" applyAlignment="1" applyProtection="1">
      <alignment horizontal="center" vertical="center" wrapText="1"/>
      <protection locked="0"/>
    </xf>
    <xf numFmtId="0" fontId="61" fillId="0" borderId="157" xfId="30" applyNumberFormat="1" applyFont="1" applyFill="1" applyBorder="1" applyAlignment="1" applyProtection="1">
      <alignment horizontal="right" vertical="center" wrapText="1"/>
      <protection locked="0"/>
    </xf>
    <xf numFmtId="43" fontId="61" fillId="0" borderId="547" xfId="30" applyFont="1" applyFill="1" applyBorder="1" applyAlignment="1" applyProtection="1">
      <alignment horizontal="left" vertical="center" wrapText="1"/>
      <protection locked="0"/>
    </xf>
    <xf numFmtId="43" fontId="53" fillId="0" borderId="547" xfId="30" applyFont="1" applyFill="1" applyBorder="1" applyAlignment="1" applyProtection="1">
      <alignment horizontal="center" vertical="center" wrapText="1"/>
      <protection locked="0"/>
    </xf>
    <xf numFmtId="43" fontId="53" fillId="20" borderId="547" xfId="30" applyFont="1" applyFill="1" applyBorder="1" applyAlignment="1" applyProtection="1">
      <alignment horizontal="center" vertical="center" wrapText="1"/>
      <protection locked="0"/>
    </xf>
    <xf numFmtId="43" fontId="53" fillId="0" borderId="547" xfId="30" applyFont="1" applyBorder="1" applyAlignment="1">
      <alignment horizontal="center" vertical="center"/>
    </xf>
    <xf numFmtId="43" fontId="53" fillId="0" borderId="547" xfId="30" applyFont="1" applyBorder="1"/>
    <xf numFmtId="43" fontId="53" fillId="34" borderId="547" xfId="30" applyFont="1" applyFill="1" applyBorder="1"/>
    <xf numFmtId="43" fontId="53" fillId="0" borderId="548" xfId="30" applyFont="1" applyBorder="1"/>
    <xf numFmtId="43" fontId="53" fillId="0" borderId="157" xfId="30" applyFont="1" applyFill="1" applyBorder="1" applyAlignment="1" applyProtection="1">
      <alignment horizontal="right" vertical="center" wrapText="1"/>
      <protection locked="0"/>
    </xf>
    <xf numFmtId="43" fontId="53" fillId="0" borderId="547" xfId="30" applyFont="1" applyFill="1" applyBorder="1" applyAlignment="1" applyProtection="1">
      <alignment vertical="center" wrapText="1"/>
      <protection locked="0"/>
    </xf>
    <xf numFmtId="43" fontId="61" fillId="0" borderId="157" xfId="30" applyFont="1" applyFill="1" applyBorder="1" applyAlignment="1" applyProtection="1">
      <alignment horizontal="right" vertical="center" wrapText="1"/>
      <protection locked="0"/>
    </xf>
    <xf numFmtId="43" fontId="53" fillId="0" borderId="157" xfId="30" applyFont="1" applyFill="1" applyBorder="1" applyAlignment="1" applyProtection="1">
      <alignment horizontal="right" vertical="top" wrapText="1"/>
      <protection locked="0"/>
    </xf>
    <xf numFmtId="43" fontId="53" fillId="0" borderId="547" xfId="30" applyFont="1" applyFill="1" applyBorder="1" applyAlignment="1" applyProtection="1">
      <alignment vertical="top" wrapText="1"/>
      <protection locked="0"/>
    </xf>
    <xf numFmtId="43" fontId="53" fillId="20" borderId="547" xfId="30" applyFont="1" applyFill="1" applyBorder="1" applyAlignment="1" applyProtection="1">
      <alignment horizontal="center" vertical="center"/>
      <protection locked="0"/>
    </xf>
    <xf numFmtId="43" fontId="53" fillId="0" borderId="548" xfId="30" applyFont="1" applyBorder="1" applyAlignment="1">
      <alignment horizontal="center" vertical="center"/>
    </xf>
    <xf numFmtId="43" fontId="53" fillId="0" borderId="547" xfId="30" applyFont="1" applyBorder="1" applyAlignment="1">
      <alignment vertical="center"/>
    </xf>
    <xf numFmtId="43" fontId="53" fillId="34" borderId="547" xfId="30" applyFont="1" applyFill="1" applyBorder="1" applyAlignment="1">
      <alignment vertical="center"/>
    </xf>
    <xf numFmtId="43" fontId="53" fillId="0" borderId="548" xfId="30" applyFont="1" applyBorder="1" applyAlignment="1">
      <alignment vertical="center"/>
    </xf>
    <xf numFmtId="43" fontId="53" fillId="0" borderId="549" xfId="30" applyFont="1" applyFill="1" applyBorder="1" applyAlignment="1" applyProtection="1">
      <alignment horizontal="right" vertical="top" wrapText="1"/>
      <protection locked="0"/>
    </xf>
    <xf numFmtId="43" fontId="53" fillId="0" borderId="99" xfId="30" applyFont="1" applyFill="1" applyBorder="1" applyAlignment="1" applyProtection="1">
      <alignment vertical="top" wrapText="1"/>
      <protection locked="0"/>
    </xf>
    <xf numFmtId="43" fontId="53" fillId="0" borderId="99" xfId="30" applyFont="1" applyFill="1" applyBorder="1" applyAlignment="1" applyProtection="1">
      <alignment horizontal="center" vertical="center" wrapText="1"/>
      <protection locked="0"/>
    </xf>
    <xf numFmtId="43" fontId="53" fillId="20" borderId="99" xfId="30" applyFont="1" applyFill="1" applyBorder="1" applyAlignment="1" applyProtection="1">
      <alignment horizontal="center" vertical="center" wrapText="1"/>
      <protection locked="0"/>
    </xf>
    <xf numFmtId="43" fontId="53" fillId="0" borderId="99" xfId="30" applyFont="1" applyBorder="1" applyAlignment="1">
      <alignment horizontal="center" vertical="center"/>
    </xf>
    <xf numFmtId="43" fontId="53" fillId="0" borderId="99" xfId="30" applyFont="1" applyBorder="1" applyAlignment="1">
      <alignment vertical="center"/>
    </xf>
    <xf numFmtId="43" fontId="53" fillId="34" borderId="547" xfId="30" applyFont="1" applyFill="1" applyBorder="1" applyAlignment="1">
      <alignment horizontal="center" vertical="center"/>
    </xf>
    <xf numFmtId="43" fontId="61" fillId="50" borderId="189" xfId="30" applyFont="1" applyFill="1" applyBorder="1" applyAlignment="1">
      <alignment horizontal="right" vertical="center"/>
    </xf>
    <xf numFmtId="43" fontId="61" fillId="50" borderId="190" xfId="30" applyFont="1" applyFill="1" applyBorder="1" applyAlignment="1">
      <alignment horizontal="center" vertical="center"/>
    </xf>
    <xf numFmtId="10" fontId="61" fillId="50" borderId="190" xfId="23" applyNumberFormat="1" applyFont="1" applyFill="1" applyBorder="1" applyAlignment="1">
      <alignment horizontal="center" vertical="center"/>
    </xf>
    <xf numFmtId="43" fontId="61" fillId="50" borderId="191" xfId="30" applyFont="1" applyFill="1" applyBorder="1" applyAlignment="1">
      <alignment horizontal="center" vertical="center"/>
    </xf>
    <xf numFmtId="0" fontId="53" fillId="0" borderId="0" xfId="28" applyFont="1" applyAlignment="1">
      <alignment horizontal="right"/>
    </xf>
    <xf numFmtId="2" fontId="53" fillId="0" borderId="0" xfId="28" applyNumberFormat="1" applyFont="1"/>
    <xf numFmtId="0" fontId="211" fillId="0" borderId="430" xfId="26" applyFont="1" applyBorder="1" applyAlignment="1">
      <alignment vertical="center"/>
    </xf>
    <xf numFmtId="0" fontId="211" fillId="0" borderId="431" xfId="26" applyFont="1" applyBorder="1" applyAlignment="1">
      <alignment vertical="center"/>
    </xf>
    <xf numFmtId="0" fontId="211" fillId="0" borderId="317" xfId="26" applyFont="1" applyBorder="1" applyAlignment="1">
      <alignment vertical="center"/>
    </xf>
    <xf numFmtId="0" fontId="211" fillId="0" borderId="318" xfId="26" applyFont="1" applyBorder="1" applyAlignment="1">
      <alignment vertical="center"/>
    </xf>
    <xf numFmtId="0" fontId="224" fillId="0" borderId="415" xfId="26" applyFont="1" applyBorder="1" applyAlignment="1">
      <alignment horizontal="center" vertical="center"/>
    </xf>
    <xf numFmtId="0" fontId="224" fillId="0" borderId="559" xfId="26" applyFont="1" applyBorder="1" applyAlignment="1">
      <alignment horizontal="center" vertical="center"/>
    </xf>
    <xf numFmtId="0" fontId="224" fillId="0" borderId="560" xfId="26" applyFont="1" applyBorder="1" applyAlignment="1">
      <alignment horizontal="center" vertical="center"/>
    </xf>
    <xf numFmtId="0" fontId="224" fillId="0" borderId="561" xfId="26" applyFont="1" applyBorder="1" applyAlignment="1">
      <alignment horizontal="center" vertical="center"/>
    </xf>
    <xf numFmtId="0" fontId="224" fillId="0" borderId="565" xfId="26" applyFont="1" applyBorder="1" applyAlignment="1">
      <alignment horizontal="center" vertical="center"/>
    </xf>
    <xf numFmtId="0" fontId="224" fillId="0" borderId="437" xfId="26" applyFont="1" applyBorder="1" applyAlignment="1">
      <alignment horizontal="center" vertical="center" shrinkToFit="1"/>
    </xf>
    <xf numFmtId="0" fontId="224" fillId="0" borderId="411" xfId="26" applyFont="1" applyBorder="1" applyAlignment="1">
      <alignment horizontal="center" vertical="center" shrinkToFit="1"/>
    </xf>
    <xf numFmtId="0" fontId="224" fillId="0" borderId="411" xfId="26" applyFont="1" applyBorder="1" applyAlignment="1">
      <alignment horizontal="center" vertical="center" shrinkToFit="1"/>
    </xf>
    <xf numFmtId="0" fontId="224" fillId="0" borderId="562" xfId="26" applyFont="1" applyBorder="1" applyAlignment="1">
      <alignment horizontal="center" vertical="center" shrinkToFit="1"/>
    </xf>
    <xf numFmtId="0" fontId="224" fillId="0" borderId="563" xfId="26" applyFont="1" applyBorder="1" applyAlignment="1">
      <alignment horizontal="center" vertical="center" shrinkToFit="1"/>
    </xf>
    <xf numFmtId="0" fontId="224" fillId="0" borderId="564" xfId="26" applyFont="1" applyBorder="1" applyAlignment="1">
      <alignment horizontal="center" vertical="center" shrinkToFit="1"/>
    </xf>
    <xf numFmtId="0" fontId="224" fillId="0" borderId="441" xfId="26" applyFont="1" applyBorder="1" applyAlignment="1">
      <alignment horizontal="center" vertical="center" shrinkToFit="1"/>
    </xf>
    <xf numFmtId="0" fontId="225" fillId="0" borderId="432" xfId="26" applyFont="1" applyBorder="1" applyAlignment="1">
      <alignment horizontal="center" vertical="center"/>
    </xf>
    <xf numFmtId="0" fontId="225" fillId="0" borderId="433" xfId="26" applyFont="1" applyBorder="1" applyAlignment="1">
      <alignment horizontal="center" vertical="center"/>
    </xf>
    <xf numFmtId="0" fontId="225" fillId="0" borderId="434" xfId="26" applyFont="1" applyBorder="1" applyAlignment="1">
      <alignment horizontal="center" vertical="center"/>
    </xf>
    <xf numFmtId="0" fontId="226" fillId="0" borderId="0" xfId="26" applyFont="1" applyBorder="1" applyAlignment="1">
      <alignment vertical="center"/>
    </xf>
    <xf numFmtId="0" fontId="226" fillId="0" borderId="446" xfId="26" applyFont="1" applyBorder="1" applyAlignment="1">
      <alignment vertical="center"/>
    </xf>
    <xf numFmtId="0" fontId="225" fillId="0" borderId="402" xfId="26" applyFont="1" applyFill="1" applyBorder="1" applyAlignment="1">
      <alignment horizontal="center" vertical="center"/>
    </xf>
    <xf numFmtId="0" fontId="225" fillId="0" borderId="319" xfId="26" applyFont="1" applyFill="1" applyBorder="1" applyAlignment="1">
      <alignment horizontal="center" vertical="center"/>
    </xf>
    <xf numFmtId="0" fontId="225" fillId="0" borderId="401" xfId="26" applyFont="1" applyFill="1" applyBorder="1" applyAlignment="1">
      <alignment horizontal="center" vertical="center"/>
    </xf>
    <xf numFmtId="0" fontId="225" fillId="0" borderId="447" xfId="26" applyFont="1" applyFill="1" applyBorder="1" applyAlignment="1">
      <alignment horizontal="center" vertical="center" shrinkToFit="1"/>
    </xf>
    <xf numFmtId="0" fontId="225" fillId="0" borderId="402" xfId="26" applyFont="1" applyFill="1" applyBorder="1" applyAlignment="1">
      <alignment horizontal="center" vertical="center" shrinkToFit="1"/>
    </xf>
    <xf numFmtId="0" fontId="225" fillId="0" borderId="319" xfId="26" applyFont="1" applyFill="1" applyBorder="1" applyAlignment="1">
      <alignment horizontal="center" vertical="center" shrinkToFit="1"/>
    </xf>
    <xf numFmtId="0" fontId="225" fillId="0" borderId="448" xfId="26" applyFont="1" applyFill="1" applyBorder="1" applyAlignment="1">
      <alignment horizontal="center" vertical="center" shrinkToFit="1"/>
    </xf>
    <xf numFmtId="0" fontId="225" fillId="0" borderId="449" xfId="26" applyFont="1" applyFill="1" applyBorder="1" applyAlignment="1">
      <alignment horizontal="center" vertical="center"/>
    </xf>
    <xf numFmtId="0" fontId="225" fillId="0" borderId="71" xfId="26" applyFont="1" applyFill="1" applyBorder="1" applyAlignment="1">
      <alignment horizontal="center" vertical="center"/>
    </xf>
    <xf numFmtId="0" fontId="225" fillId="0" borderId="450" xfId="26" applyFont="1" applyFill="1" applyBorder="1" applyAlignment="1">
      <alignment horizontal="center" vertical="center"/>
    </xf>
    <xf numFmtId="0" fontId="226" fillId="0" borderId="451" xfId="26" applyFont="1" applyFill="1" applyBorder="1" applyAlignment="1">
      <alignment horizontal="center" vertical="center" shrinkToFit="1"/>
    </xf>
    <xf numFmtId="0" fontId="226" fillId="0" borderId="452" xfId="26" applyFont="1" applyFill="1" applyBorder="1" applyAlignment="1">
      <alignment horizontal="center" vertical="center" shrinkToFit="1"/>
    </xf>
    <xf numFmtId="0" fontId="226" fillId="0" borderId="453" xfId="26" applyFont="1" applyFill="1" applyBorder="1" applyAlignment="1">
      <alignment horizontal="center" vertical="center" shrinkToFit="1"/>
    </xf>
    <xf numFmtId="0" fontId="225" fillId="0" borderId="449" xfId="26" applyFont="1" applyFill="1" applyBorder="1" applyAlignment="1">
      <alignment horizontal="center" vertical="center" shrinkToFit="1"/>
    </xf>
    <xf numFmtId="0" fontId="225" fillId="0" borderId="71" xfId="26" applyFont="1" applyFill="1" applyBorder="1" applyAlignment="1">
      <alignment horizontal="center" vertical="center" shrinkToFit="1"/>
    </xf>
    <xf numFmtId="0" fontId="225" fillId="0" borderId="454" xfId="26" applyFont="1" applyFill="1" applyBorder="1" applyAlignment="1">
      <alignment horizontal="center" vertical="center" shrinkToFit="1"/>
    </xf>
    <xf numFmtId="0" fontId="227" fillId="0" borderId="457" xfId="26" applyFont="1" applyFill="1" applyBorder="1" applyAlignment="1">
      <alignment horizontal="center" vertical="center"/>
    </xf>
    <xf numFmtId="0" fontId="227" fillId="0" borderId="458" xfId="26" applyFont="1" applyFill="1" applyBorder="1" applyAlignment="1">
      <alignment horizontal="center" vertical="center"/>
    </xf>
    <xf numFmtId="0" fontId="228" fillId="0" borderId="458" xfId="26" applyFont="1" applyFill="1" applyBorder="1" applyAlignment="1">
      <alignment vertical="center"/>
    </xf>
    <xf numFmtId="0" fontId="228" fillId="0" borderId="458" xfId="26" applyFont="1" applyFill="1" applyBorder="1" applyAlignment="1">
      <alignment horizontal="center" vertical="center" shrinkToFit="1"/>
    </xf>
    <xf numFmtId="0" fontId="228" fillId="0" borderId="458" xfId="26" applyFont="1" applyFill="1" applyBorder="1" applyAlignment="1">
      <alignment vertical="center" shrinkToFit="1"/>
    </xf>
    <xf numFmtId="0" fontId="228" fillId="0" borderId="459" xfId="26" applyFont="1" applyFill="1" applyBorder="1" applyAlignment="1">
      <alignment horizontal="center" vertical="center" shrinkToFit="1"/>
    </xf>
    <xf numFmtId="0" fontId="228" fillId="0" borderId="460" xfId="26" applyFont="1" applyFill="1" applyBorder="1" applyAlignment="1">
      <alignment horizontal="center" vertical="center" shrinkToFit="1"/>
    </xf>
    <xf numFmtId="0" fontId="228" fillId="0" borderId="461" xfId="26" applyFont="1" applyFill="1" applyBorder="1" applyAlignment="1">
      <alignment horizontal="center" vertical="center" shrinkToFit="1"/>
    </xf>
    <xf numFmtId="187" fontId="229" fillId="47" borderId="358" xfId="29" applyNumberFormat="1" applyFont="1" applyFill="1" applyBorder="1" applyAlignment="1" applyProtection="1">
      <alignment vertical="center" shrinkToFit="1"/>
      <protection locked="0"/>
    </xf>
    <xf numFmtId="2" fontId="230" fillId="50" borderId="534" xfId="28" applyNumberFormat="1" applyFont="1" applyFill="1" applyBorder="1" applyAlignment="1">
      <alignment horizontal="center" vertical="center"/>
    </xf>
    <xf numFmtId="0" fontId="230" fillId="50" borderId="535" xfId="28" applyFont="1" applyFill="1" applyBorder="1" applyAlignment="1">
      <alignment horizontal="center" vertical="center"/>
    </xf>
    <xf numFmtId="0" fontId="230" fillId="50" borderId="536" xfId="28" applyFont="1" applyFill="1" applyBorder="1" applyAlignment="1">
      <alignment horizontal="center" vertical="center"/>
    </xf>
    <xf numFmtId="0" fontId="230" fillId="50" borderId="537" xfId="28" applyFont="1" applyFill="1" applyBorder="1" applyAlignment="1">
      <alignment horizontal="center" vertical="center"/>
    </xf>
    <xf numFmtId="0" fontId="230" fillId="50" borderId="537" xfId="28" applyFont="1" applyFill="1" applyBorder="1" applyAlignment="1">
      <alignment horizontal="center" vertical="center"/>
    </xf>
    <xf numFmtId="0" fontId="230" fillId="50" borderId="538" xfId="28" applyFont="1" applyFill="1" applyBorder="1" applyAlignment="1">
      <alignment horizontal="center" vertical="center"/>
    </xf>
    <xf numFmtId="0" fontId="230" fillId="50" borderId="539" xfId="28" applyFont="1" applyFill="1" applyBorder="1" applyAlignment="1">
      <alignment horizontal="center" vertical="center"/>
    </xf>
    <xf numFmtId="2" fontId="230" fillId="50" borderId="542" xfId="28" applyNumberFormat="1" applyFont="1" applyFill="1" applyBorder="1" applyAlignment="1">
      <alignment horizontal="center" vertical="center"/>
    </xf>
    <xf numFmtId="2" fontId="230" fillId="50" borderId="543" xfId="28" applyNumberFormat="1" applyFont="1" applyFill="1" applyBorder="1" applyAlignment="1">
      <alignment horizontal="center" vertical="center" wrapText="1"/>
    </xf>
    <xf numFmtId="2" fontId="230" fillId="50" borderId="542" xfId="28" applyNumberFormat="1" applyFont="1" applyFill="1" applyBorder="1" applyAlignment="1">
      <alignment horizontal="center" vertical="center" wrapText="1"/>
    </xf>
    <xf numFmtId="2" fontId="230" fillId="50" borderId="544" xfId="28" applyNumberFormat="1" applyFont="1" applyFill="1" applyBorder="1" applyAlignment="1">
      <alignment horizontal="center" vertical="center" wrapText="1"/>
    </xf>
  </cellXfs>
  <cellStyles count="32">
    <cellStyle name="Comma" xfId="1" builtinId="3"/>
    <cellStyle name="Comma 2" xfId="7"/>
    <cellStyle name="Comma 2 11" xfId="29"/>
    <cellStyle name="Comma 2 2" xfId="9"/>
    <cellStyle name="Comma 2 3" xfId="11"/>
    <cellStyle name="Comma 2 4" xfId="13"/>
    <cellStyle name="Comma 2 5" xfId="15"/>
    <cellStyle name="Comma 2 6" xfId="17"/>
    <cellStyle name="Comma 2 7" xfId="19"/>
    <cellStyle name="Comma 2 8" xfId="21"/>
    <cellStyle name="Comma 2 9" xfId="30"/>
    <cellStyle name="Comma 3" xfId="24"/>
    <cellStyle name="Comma 9 3" xfId="25"/>
    <cellStyle name="Currency" xfId="2" builtinId="4"/>
    <cellStyle name="Normal" xfId="0" builtinId="0"/>
    <cellStyle name="Normal 2" xfId="6"/>
    <cellStyle name="Normal 2 2" xfId="8"/>
    <cellStyle name="Normal 2 2 2" xfId="26"/>
    <cellStyle name="Normal 2 2 2 2" xfId="28"/>
    <cellStyle name="Normal 2 3" xfId="10"/>
    <cellStyle name="Normal 2 4" xfId="12"/>
    <cellStyle name="Normal 2 5" xfId="14"/>
    <cellStyle name="Normal 2 6" xfId="16"/>
    <cellStyle name="Normal 2 7" xfId="18"/>
    <cellStyle name="Normal 2 8" xfId="20"/>
    <cellStyle name="Normal 3" xfId="22"/>
    <cellStyle name="Normal 4 2" xfId="5"/>
    <cellStyle name="Normal 4 2 2" xfId="31"/>
    <cellStyle name="Percent" xfId="3" builtinId="5"/>
    <cellStyle name="Percent 2" xfId="23"/>
    <cellStyle name="Percent 2 10" xfId="27"/>
    <cellStyle name="TableStyleLight1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0000"/>
      <rgbColor rgb="00008000"/>
      <rgbColor rgb="00000080"/>
      <rgbColor rgb="00809B49"/>
      <rgbColor rgb="00800080"/>
      <rgbColor rgb="0000B050"/>
      <rgbColor rgb="00C0C0C0"/>
      <rgbColor rgb="00808080"/>
      <rgbColor rgb="00A6A6A6"/>
      <rgbColor rgb="009F423F"/>
      <rgbColor rgb="00FFFFCC"/>
      <rgbColor rgb="00CCFFFF"/>
      <rgbColor rgb="006A5286"/>
      <rgbColor rgb="00CC7C3A"/>
      <rgbColor rgb="000066FF"/>
      <rgbColor rgb="00D9D9D9"/>
      <rgbColor rgb="000D0D0D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BFBFBF"/>
      <rgbColor rgb="00CCFFCC"/>
      <rgbColor rgb="009BBB59"/>
      <rgbColor rgb="00AABAD7"/>
      <rgbColor rgb="00D8AAA9"/>
      <rgbColor rgb="00B9AFC9"/>
      <rgbColor rgb="00C5D6AC"/>
      <rgbColor rgb="004F81BD"/>
      <rgbColor rgb="004BACC6"/>
      <rgbColor rgb="0092D050"/>
      <rgbColor rgb="00FFC000"/>
      <rgbColor rgb="00F79646"/>
      <rgbColor rgb="00FF6600"/>
      <rgbColor rgb="008064A2"/>
      <rgbColor rgb="00878787"/>
      <rgbColor rgb="004A452A"/>
      <rgbColor rgb="003E8EA4"/>
      <rgbColor rgb="00262626"/>
      <rgbColor rgb="00333300"/>
      <rgbColor rgb="00595959"/>
      <rgbColor rgb="00C0504D"/>
      <rgbColor rgb="00404040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9.xml"/><Relationship Id="rId21" Type="http://schemas.openxmlformats.org/officeDocument/2006/relationships/externalLink" Target="externalLinks/externalLink4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5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66" Type="http://schemas.openxmlformats.org/officeDocument/2006/relationships/externalLink" Target="externalLinks/externalLink49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4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56" Type="http://schemas.openxmlformats.org/officeDocument/2006/relationships/externalLink" Target="externalLinks/externalLink39.xml"/><Relationship Id="rId64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52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72" Type="http://schemas.openxmlformats.org/officeDocument/2006/relationships/externalLink" Target="externalLinks/externalLink5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42.xml"/><Relationship Id="rId67" Type="http://schemas.openxmlformats.org/officeDocument/2006/relationships/externalLink" Target="externalLinks/externalLink50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37.xml"/><Relationship Id="rId62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53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40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35.xml"/><Relationship Id="rId60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48.xml"/><Relationship Id="rId73" Type="http://schemas.openxmlformats.org/officeDocument/2006/relationships/externalLink" Target="externalLinks/externalLink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9" Type="http://schemas.openxmlformats.org/officeDocument/2006/relationships/externalLink" Target="externalLinks/externalLink22.xml"/><Relationship Id="rId34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476565661490472"/>
          <c:y val="3.0351412640972492E-3"/>
          <c:w val="0.84649130932936789"/>
          <c:h val="0.94031656844472356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'[10]summery(new)2'!$D$78:$E$78</c:f>
              <c:strCache>
                <c:ptCount val="1"/>
                <c:pt idx="0">
                  <c:v>INCOME Vs EXPENSE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'[10]summery(new)2'!$D$97:$E$97</c:f>
              <c:strCache>
                <c:ptCount val="2"/>
                <c:pt idx="0">
                  <c:v>INCOME</c:v>
                </c:pt>
                <c:pt idx="1">
                  <c:v>EXPENSE</c:v>
                </c:pt>
              </c:strCache>
            </c:strRef>
          </c:cat>
          <c:val>
            <c:numRef>
              <c:f>'[10]summery(new)2'!$D$98:$E$98</c:f>
              <c:numCache>
                <c:formatCode>General</c:formatCode>
                <c:ptCount val="2"/>
                <c:pt idx="0">
                  <c:v>3058571.1159992795</c:v>
                </c:pt>
                <c:pt idx="1">
                  <c:v>1590789.1825999999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-1923066080"/>
        <c:axId val="-1783666688"/>
        <c:axId val="0"/>
      </c:bar3DChart>
      <c:catAx>
        <c:axId val="-19230660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66688"/>
        <c:crosses val="autoZero"/>
        <c:auto val="1"/>
        <c:lblAlgn val="ctr"/>
        <c:lblOffset val="100"/>
        <c:noMultiLvlLbl val="0"/>
      </c:catAx>
      <c:valAx>
        <c:axId val="-178366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3066080"/>
        <c:crosses val="autoZero"/>
        <c:crossBetween val="between"/>
        <c:dispUnits>
          <c:builtInUnit val="hundred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5935710977304338"/>
          <c:y val="0.82644300954244698"/>
          <c:w val="0.48669717085254088"/>
          <c:h val="8.971905383560657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164368890095806"/>
          <c:y val="6.6467519685039389E-2"/>
          <c:w val="0.78234680905850662"/>
          <c:h val="0.865410263640621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Summary!$J$107</c:f>
              <c:strCache>
                <c:ptCount val="1"/>
                <c:pt idx="0">
                  <c:v>Plan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Summary!$J$107:$O$107</c:f>
              <c:strCache>
                <c:ptCount val="6"/>
                <c:pt idx="0">
                  <c:v>Plan Income</c:v>
                </c:pt>
                <c:pt idx="5">
                  <c:v>Actual Income</c:v>
                </c:pt>
              </c:strCache>
            </c:strRef>
          </c:cat>
          <c:val>
            <c:numRef>
              <c:f>Summary!$J$108</c:f>
              <c:numCache>
                <c:formatCode>_(* #,##0.00_);_(* \(#,##0.00\);_(* \-??_);_(@_)</c:formatCode>
                <c:ptCount val="1"/>
                <c:pt idx="0">
                  <c:v>2514309.1958500589</c:v>
                </c:pt>
              </c:numCache>
            </c:numRef>
          </c:val>
        </c:ser>
        <c:ser>
          <c:idx val="1"/>
          <c:order val="1"/>
          <c:tx>
            <c:strRef>
              <c:f>Summary!$O$107</c:f>
              <c:strCache>
                <c:ptCount val="1"/>
                <c:pt idx="0">
                  <c:v>Actual Income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Summary!$O$108</c:f>
              <c:numCache>
                <c:formatCode>_(* #,##0.00_);_(* \(#,##0.00\);_(* \-??_);_(@_)</c:formatCode>
                <c:ptCount val="1"/>
                <c:pt idx="0">
                  <c:v>1669120.7125276423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-1783665600"/>
        <c:axId val="-1783668864"/>
        <c:axId val="0"/>
      </c:bar3DChart>
      <c:catAx>
        <c:axId val="-17836656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68864"/>
        <c:crosses val="autoZero"/>
        <c:auto val="1"/>
        <c:lblAlgn val="ctr"/>
        <c:lblOffset val="100"/>
        <c:noMultiLvlLbl val="0"/>
      </c:catAx>
      <c:valAx>
        <c:axId val="-17836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\-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65600"/>
        <c:crosses val="autoZero"/>
        <c:crossBetween val="between"/>
        <c:dispUnits>
          <c:builtInUnit val="hundred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624636130315097"/>
          <c:y val="0.91326500984251957"/>
          <c:w val="0.53143646338949724"/>
          <c:h val="8.673494941400426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332" l="0.70000000000000062" r="0.70000000000000062" t="0.75000000000001332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567514200044134E-2"/>
          <c:y val="0"/>
          <c:w val="0.84649130932936789"/>
          <c:h val="0.94031656844472356"/>
        </c:manualLayout>
      </c:layout>
      <c:bar3D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-1783667776"/>
        <c:axId val="-1783669408"/>
        <c:axId val="0"/>
      </c:bar3DChart>
      <c:catAx>
        <c:axId val="-178366777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69408"/>
        <c:crosses val="autoZero"/>
        <c:auto val="1"/>
        <c:lblAlgn val="ctr"/>
        <c:lblOffset val="100"/>
        <c:noMultiLvlLbl val="0"/>
      </c:catAx>
      <c:valAx>
        <c:axId val="-17836694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67776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935710977304338"/>
          <c:y val="0.82644300954244698"/>
          <c:w val="0.36709763291972397"/>
          <c:h val="5.0752222899243291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164368890095806"/>
          <c:y val="6.6467519685039389E-2"/>
          <c:w val="0.78234680905850662"/>
          <c:h val="0.865410263640621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'Summary (new)2'!$J$106</c:f>
              <c:strCache>
                <c:ptCount val="1"/>
                <c:pt idx="0">
                  <c:v>Plan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'Summary (new)2'!$J$106:$O$106</c:f>
              <c:strCache>
                <c:ptCount val="2"/>
                <c:pt idx="0">
                  <c:v>Plan Income</c:v>
                </c:pt>
                <c:pt idx="1">
                  <c:v>Actual Income</c:v>
                </c:pt>
              </c:strCache>
            </c:strRef>
          </c:cat>
          <c:val>
            <c:numRef>
              <c:f>'Summary (new)2'!$J$107</c:f>
              <c:numCache>
                <c:formatCode>_(* #,##0.00_);_(* \(#,##0.00\);_(* \-??_);_(@_)</c:formatCode>
                <c:ptCount val="1"/>
                <c:pt idx="0">
                  <c:v>2514309.1958500589</c:v>
                </c:pt>
              </c:numCache>
            </c:numRef>
          </c:val>
        </c:ser>
        <c:ser>
          <c:idx val="1"/>
          <c:order val="1"/>
          <c:tx>
            <c:strRef>
              <c:f>'Summary (new)2'!$O$106</c:f>
              <c:strCache>
                <c:ptCount val="1"/>
                <c:pt idx="0">
                  <c:v>Actual Income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'Summary (new)2'!$O$107</c:f>
              <c:numCache>
                <c:formatCode>_(* #,##0.00_);_(* \(#,##0.00\);_(* \-??_);_(@_)</c:formatCode>
                <c:ptCount val="1"/>
                <c:pt idx="0">
                  <c:v>1669120.7125276423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-1783668320"/>
        <c:axId val="-1783671040"/>
        <c:axId val="0"/>
      </c:bar3DChart>
      <c:catAx>
        <c:axId val="-1783668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71040"/>
        <c:crosses val="autoZero"/>
        <c:auto val="1"/>
        <c:lblAlgn val="ctr"/>
        <c:lblOffset val="100"/>
        <c:noMultiLvlLbl val="0"/>
      </c:catAx>
      <c:valAx>
        <c:axId val="-17836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\-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3668320"/>
        <c:crosses val="autoZero"/>
        <c:crossBetween val="between"/>
        <c:dispUnits>
          <c:builtInUnit val="hundred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624636130315131"/>
          <c:y val="0.91326500984251957"/>
          <c:w val="0.53143646338949724"/>
          <c:h val="8.673494941400426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'summery(new)2'!$Q$10</c:f>
              <c:strCache>
                <c:ptCount val="1"/>
                <c:pt idx="0">
                  <c:v>Week 32 ((23-29)-08-07) EXPENSE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'summery(new)2'!$Q$11:$Q$21</c:f>
              <c:strCache>
                <c:ptCount val="11"/>
                <c:pt idx="0">
                  <c:v>                                                                            </c:v>
                </c:pt>
                <c:pt idx="1">
                  <c:v>OVERE TIME</c:v>
                </c:pt>
                <c:pt idx="2">
                  <c:v>TOTAL MANPOWER</c:v>
                </c:pt>
                <c:pt idx="3">
                  <c:v>OWEN EQUIPMENT</c:v>
                </c:pt>
                <c:pt idx="4">
                  <c:v>RENTAL EQUIPMENT</c:v>
                </c:pt>
                <c:pt idx="5">
                  <c:v>TOTAL EQUIPMENT</c:v>
                </c:pt>
                <c:pt idx="6">
                  <c:v>FUEL</c:v>
                </c:pt>
                <c:pt idx="7">
                  <c:v>LUBRICANT</c:v>
                </c:pt>
                <c:pt idx="8">
                  <c:v>SPARE PARTS</c:v>
                </c:pt>
                <c:pt idx="9">
                  <c:v>CONSTRUCTION MATERIAL</c:v>
                </c:pt>
                <c:pt idx="10">
                  <c:v>OTHERS</c:v>
                </c:pt>
              </c:strCache>
            </c:strRef>
          </c:cat>
          <c:val>
            <c:numRef>
              <c:f>'summery(new)2'!$R$11:$R$21</c:f>
              <c:numCache>
                <c:formatCode>_(* #,##0.00_);_(* \(#,##0.00\);_(* \-??_);_(@_)</c:formatCode>
                <c:ptCount val="11"/>
                <c:pt idx="0">
                  <c:v>196869.57</c:v>
                </c:pt>
                <c:pt idx="1">
                  <c:v>68806</c:v>
                </c:pt>
                <c:pt idx="2">
                  <c:v>265675.57</c:v>
                </c:pt>
                <c:pt idx="3">
                  <c:v>444704.69999999995</c:v>
                </c:pt>
                <c:pt idx="4">
                  <c:v>272035.03200000001</c:v>
                </c:pt>
                <c:pt idx="5">
                  <c:v>716739.73199999996</c:v>
                </c:pt>
                <c:pt idx="6">
                  <c:v>341481.67999999993</c:v>
                </c:pt>
                <c:pt idx="7">
                  <c:v>51352.12999999999</c:v>
                </c:pt>
                <c:pt idx="8">
                  <c:v>0</c:v>
                </c:pt>
                <c:pt idx="9">
                  <c:v>126223.92</c:v>
                </c:pt>
                <c:pt idx="10">
                  <c:v>13847.5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-1761688640"/>
        <c:axId val="-1761687552"/>
      </c:barChart>
      <c:catAx>
        <c:axId val="-17616886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1687552"/>
        <c:crosses val="autoZero"/>
        <c:auto val="1"/>
        <c:lblAlgn val="ctr"/>
        <c:lblOffset val="100"/>
        <c:noMultiLvlLbl val="0"/>
      </c:catAx>
      <c:valAx>
        <c:axId val="-1761687552"/>
        <c:scaling>
          <c:orientation val="minMax"/>
        </c:scaling>
        <c:delete val="0"/>
        <c:axPos val="l"/>
        <c:numFmt formatCode="_(* #,##0.00_);_(* \(#,##0.00\);_(* \-??_);_(@_)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6168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Week 32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((23-29)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-08-07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) INCOME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'summery(new)2'!$O$10</c:f>
              <c:strCache>
                <c:ptCount val="1"/>
                <c:pt idx="0">
                  <c:v>Week 32 ((23-29)-08-07) INCOME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'summery(new)2'!$O$11:$O$19</c:f>
              <c:strCache>
                <c:ptCount val="9"/>
                <c:pt idx="0">
                  <c:v>GENERAL &amp; PRELIMINARY</c:v>
                </c:pt>
                <c:pt idx="1">
                  <c:v>SITE CLEARANCE</c:v>
                </c:pt>
                <c:pt idx="2">
                  <c:v>DRAINAGE</c:v>
                </c:pt>
                <c:pt idx="3">
                  <c:v>EARTH WORK</c:v>
                </c:pt>
                <c:pt idx="4">
                  <c:v>SUB-BASE AND R. BASE</c:v>
                </c:pt>
                <c:pt idx="5">
                  <c:v>STRUCTURES</c:v>
                </c:pt>
                <c:pt idx="6">
                  <c:v>ANCILLARY WORKS</c:v>
                </c:pt>
                <c:pt idx="7">
                  <c:v>PRODUCTION</c:v>
                </c:pt>
                <c:pt idx="8">
                  <c:v>HAULING(Earth works)</c:v>
                </c:pt>
              </c:strCache>
            </c:strRef>
          </c:cat>
          <c:val>
            <c:numRef>
              <c:f>'summery(new)2'!$P$11:$P$19</c:f>
              <c:numCache>
                <c:formatCode>_(* #,##0.00_);_(* \(#,##0.00\);_(* \-??_);_(@_)</c:formatCode>
                <c:ptCount val="9"/>
                <c:pt idx="0">
                  <c:v>2750</c:v>
                </c:pt>
                <c:pt idx="1">
                  <c:v>0</c:v>
                </c:pt>
                <c:pt idx="2">
                  <c:v>53558.923880945076</c:v>
                </c:pt>
                <c:pt idx="3">
                  <c:v>1296414.28</c:v>
                </c:pt>
                <c:pt idx="4">
                  <c:v>0</c:v>
                </c:pt>
                <c:pt idx="5">
                  <c:v>180434.90949888449</c:v>
                </c:pt>
                <c:pt idx="6">
                  <c:v>0</c:v>
                </c:pt>
                <c:pt idx="7">
                  <c:v>52883.197705874132</c:v>
                </c:pt>
                <c:pt idx="8">
                  <c:v>83079.401441938244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1761682112"/>
        <c:axId val="-1761687008"/>
      </c:barChart>
      <c:catAx>
        <c:axId val="-17616821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61687008"/>
        <c:crosses val="autoZero"/>
        <c:auto val="1"/>
        <c:lblAlgn val="ctr"/>
        <c:lblOffset val="100"/>
        <c:noMultiLvlLbl val="0"/>
      </c:catAx>
      <c:valAx>
        <c:axId val="-17616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\-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76168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454" l="0.70000000000000062" r="0.70000000000000062" t="0.75000000000001454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3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730251</xdr:colOff>
      <xdr:row>6</xdr:row>
      <xdr:rowOff>21167</xdr:rowOff>
    </xdr:from>
    <xdr:to>
      <xdr:col>22</xdr:col>
      <xdr:colOff>276225</xdr:colOff>
      <xdr:row>9</xdr:row>
      <xdr:rowOff>1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932026" y="1992842"/>
          <a:ext cx="1203324" cy="6932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219075</xdr:colOff>
          <xdr:row>5</xdr:row>
          <xdr:rowOff>9525</xdr:rowOff>
        </xdr:from>
        <xdr:to>
          <xdr:col>21</xdr:col>
          <xdr:colOff>600075</xdr:colOff>
          <xdr:row>6</xdr:row>
          <xdr:rowOff>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1028700</xdr:colOff>
      <xdr:row>0</xdr:row>
      <xdr:rowOff>104775</xdr:rowOff>
    </xdr:from>
    <xdr:to>
      <xdr:col>3</xdr:col>
      <xdr:colOff>257175</xdr:colOff>
      <xdr:row>2</xdr:row>
      <xdr:rowOff>180975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38275" y="104775"/>
          <a:ext cx="20193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1219200</xdr:colOff>
      <xdr:row>0</xdr:row>
      <xdr:rowOff>161925</xdr:rowOff>
    </xdr:from>
    <xdr:to>
      <xdr:col>4</xdr:col>
      <xdr:colOff>323850</xdr:colOff>
      <xdr:row>2</xdr:row>
      <xdr:rowOff>95250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90800" y="161925"/>
          <a:ext cx="20193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1123950</xdr:colOff>
      <xdr:row>0</xdr:row>
      <xdr:rowOff>38100</xdr:rowOff>
    </xdr:from>
    <xdr:to>
      <xdr:col>3</xdr:col>
      <xdr:colOff>247650</xdr:colOff>
      <xdr:row>2</xdr:row>
      <xdr:rowOff>85725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24025" y="38100"/>
          <a:ext cx="20193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692727</xdr:colOff>
      <xdr:row>0</xdr:row>
      <xdr:rowOff>347340</xdr:rowOff>
    </xdr:from>
    <xdr:to>
      <xdr:col>5</xdr:col>
      <xdr:colOff>970973</xdr:colOff>
      <xdr:row>1</xdr:row>
      <xdr:rowOff>375227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45552" y="347340"/>
          <a:ext cx="2779280" cy="7232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504825</xdr:colOff>
      <xdr:row>0</xdr:row>
      <xdr:rowOff>282575</xdr:rowOff>
    </xdr:from>
    <xdr:to>
      <xdr:col>5</xdr:col>
      <xdr:colOff>241300</xdr:colOff>
      <xdr:row>2</xdr:row>
      <xdr:rowOff>57150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89450" y="282575"/>
          <a:ext cx="20224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816429</xdr:colOff>
      <xdr:row>184</xdr:row>
      <xdr:rowOff>136071</xdr:rowOff>
    </xdr:from>
    <xdr:to>
      <xdr:col>7</xdr:col>
      <xdr:colOff>862148</xdr:colOff>
      <xdr:row>184</xdr:row>
      <xdr:rowOff>181790</xdr:rowOff>
    </xdr:to>
    <xdr:sp macro="" textlink="">
      <xdr:nvSpPr>
        <xdr:cNvPr id="2" name="TextBox 1"/>
        <xdr:cNvSpPr txBox="1"/>
      </xdr:nvSpPr>
      <xdr:spPr>
        <a:xfrm>
          <a:off x="8858250" y="48509464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1905000</xdr:colOff>
      <xdr:row>0</xdr:row>
      <xdr:rowOff>111125</xdr:rowOff>
    </xdr:from>
    <xdr:to>
      <xdr:col>3</xdr:col>
      <xdr:colOff>1778000</xdr:colOff>
      <xdr:row>3</xdr:row>
      <xdr:rowOff>6350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0" y="111125"/>
          <a:ext cx="7604125" cy="1758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101</xdr:row>
      <xdr:rowOff>95250</xdr:rowOff>
    </xdr:from>
    <xdr:to>
      <xdr:col>5</xdr:col>
      <xdr:colOff>1127125</xdr:colOff>
      <xdr:row>116</xdr:row>
      <xdr:rowOff>79376</xdr:rowOff>
    </xdr:to>
    <xdr:graphicFrame macro="">
      <xdr:nvGraphicFramePr>
        <xdr:cNvPr id="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142876</xdr:colOff>
      <xdr:row>101</xdr:row>
      <xdr:rowOff>95250</xdr:rowOff>
    </xdr:from>
    <xdr:to>
      <xdr:col>3</xdr:col>
      <xdr:colOff>47625</xdr:colOff>
      <xdr:row>116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79374</xdr:colOff>
      <xdr:row>18</xdr:row>
      <xdr:rowOff>238125</xdr:rowOff>
    </xdr:from>
    <xdr:to>
      <xdr:col>2</xdr:col>
      <xdr:colOff>2143124</xdr:colOff>
      <xdr:row>20</xdr:row>
      <xdr:rowOff>330200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40124" y="7540625"/>
          <a:ext cx="477837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730250</xdr:colOff>
      <xdr:row>0</xdr:row>
      <xdr:rowOff>111125</xdr:rowOff>
    </xdr:from>
    <xdr:to>
      <xdr:col>3</xdr:col>
      <xdr:colOff>844550</xdr:colOff>
      <xdr:row>2</xdr:row>
      <xdr:rowOff>92075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02250" y="111125"/>
          <a:ext cx="20193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111125</xdr:colOff>
      <xdr:row>100</xdr:row>
      <xdr:rowOff>79375</xdr:rowOff>
    </xdr:from>
    <xdr:to>
      <xdr:col>5</xdr:col>
      <xdr:colOff>1238250</xdr:colOff>
      <xdr:row>115</xdr:row>
      <xdr:rowOff>63501</xdr:rowOff>
    </xdr:to>
    <xdr:graphicFrame macro="">
      <xdr:nvGraphicFramePr>
        <xdr:cNvPr id="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142876</xdr:colOff>
      <xdr:row>100</xdr:row>
      <xdr:rowOff>95250</xdr:rowOff>
    </xdr:from>
    <xdr:to>
      <xdr:col>3</xdr:col>
      <xdr:colOff>47625</xdr:colOff>
      <xdr:row>115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79375</xdr:colOff>
      <xdr:row>17</xdr:row>
      <xdr:rowOff>238125</xdr:rowOff>
    </xdr:from>
    <xdr:to>
      <xdr:col>1</xdr:col>
      <xdr:colOff>2587625</xdr:colOff>
      <xdr:row>19</xdr:row>
      <xdr:rowOff>361950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57375" y="6477000"/>
          <a:ext cx="2508250" cy="917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256760</xdr:colOff>
      <xdr:row>60</xdr:row>
      <xdr:rowOff>57977</xdr:rowOff>
    </xdr:from>
    <xdr:to>
      <xdr:col>14</xdr:col>
      <xdr:colOff>8281</xdr:colOff>
      <xdr:row>78</xdr:row>
      <xdr:rowOff>16563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33131</xdr:colOff>
      <xdr:row>60</xdr:row>
      <xdr:rowOff>24848</xdr:rowOff>
    </xdr:from>
    <xdr:to>
      <xdr:col>7</xdr:col>
      <xdr:colOff>248478</xdr:colOff>
      <xdr:row>77</xdr:row>
      <xdr:rowOff>140805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381000</xdr:colOff>
      <xdr:row>0</xdr:row>
      <xdr:rowOff>41413</xdr:rowOff>
    </xdr:from>
    <xdr:to>
      <xdr:col>3</xdr:col>
      <xdr:colOff>787822</xdr:colOff>
      <xdr:row>3</xdr:row>
      <xdr:rowOff>127162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9478" y="41413"/>
          <a:ext cx="1972235" cy="5827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526676</xdr:colOff>
      <xdr:row>0</xdr:row>
      <xdr:rowOff>145676</xdr:rowOff>
    </xdr:from>
    <xdr:to>
      <xdr:col>3</xdr:col>
      <xdr:colOff>918882</xdr:colOff>
      <xdr:row>2</xdr:row>
      <xdr:rowOff>145676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1647" y="145676"/>
          <a:ext cx="1972235" cy="5827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394920</xdr:colOff>
      <xdr:row>0</xdr:row>
      <xdr:rowOff>0</xdr:rowOff>
    </xdr:from>
    <xdr:to>
      <xdr:col>3</xdr:col>
      <xdr:colOff>509400</xdr:colOff>
      <xdr:row>0</xdr:row>
      <xdr:rowOff>0</xdr:rowOff>
    </xdr:to>
    <xdr:sp macro="" textlink="">
      <xdr:nvSpPr>
        <xdr:cNvPr id="2" name="Line 1"/>
        <xdr:cNvSpPr/>
      </xdr:nvSpPr>
      <xdr:spPr>
        <a:xfrm flipH="1">
          <a:off x="3085920" y="0"/>
          <a:ext cx="114480" cy="0"/>
        </a:xfrm>
        <a:prstGeom prst="line">
          <a:avLst/>
        </a:prstGeom>
        <a:ln w="9360">
          <a:solidFill>
            <a:srgbClr val="000000"/>
          </a:solidFill>
          <a:round/>
        </a:ln>
      </xdr:spPr>
    </xdr:sp>
    <xdr:clientData/>
  </xdr:twoCellAnchor>
  <xdr:twoCellAnchor editAs="oneCell">
    <xdr:from>
      <xdr:col>3</xdr:col>
      <xdr:colOff>385560</xdr:colOff>
      <xdr:row>0</xdr:row>
      <xdr:rowOff>0</xdr:rowOff>
    </xdr:from>
    <xdr:to>
      <xdr:col>3</xdr:col>
      <xdr:colOff>490320</xdr:colOff>
      <xdr:row>0</xdr:row>
      <xdr:rowOff>0</xdr:rowOff>
    </xdr:to>
    <xdr:sp macro="" textlink="">
      <xdr:nvSpPr>
        <xdr:cNvPr id="3" name="Line 1"/>
        <xdr:cNvSpPr/>
      </xdr:nvSpPr>
      <xdr:spPr>
        <a:xfrm flipH="1">
          <a:off x="3076560" y="0"/>
          <a:ext cx="104760" cy="0"/>
        </a:xfrm>
        <a:prstGeom prst="line">
          <a:avLst/>
        </a:prstGeom>
        <a:ln w="9360">
          <a:solidFill>
            <a:srgbClr val="000000"/>
          </a:solidFill>
          <a:round/>
        </a:ln>
      </xdr:spPr>
    </xdr:sp>
    <xdr:clientData/>
  </xdr:twoCellAnchor>
  <xdr:twoCellAnchor editAs="oneCell">
    <xdr:from>
      <xdr:col>3</xdr:col>
      <xdr:colOff>394920</xdr:colOff>
      <xdr:row>0</xdr:row>
      <xdr:rowOff>0</xdr:rowOff>
    </xdr:from>
    <xdr:to>
      <xdr:col>3</xdr:col>
      <xdr:colOff>509400</xdr:colOff>
      <xdr:row>0</xdr:row>
      <xdr:rowOff>0</xdr:rowOff>
    </xdr:to>
    <xdr:sp macro="" textlink="">
      <xdr:nvSpPr>
        <xdr:cNvPr id="4" name="Line 1"/>
        <xdr:cNvSpPr/>
      </xdr:nvSpPr>
      <xdr:spPr>
        <a:xfrm flipH="1">
          <a:off x="3085920" y="0"/>
          <a:ext cx="114480" cy="0"/>
        </a:xfrm>
        <a:prstGeom prst="line">
          <a:avLst/>
        </a:prstGeom>
        <a:ln w="9360">
          <a:solidFill>
            <a:srgbClr val="000000"/>
          </a:solidFill>
          <a:round/>
        </a:ln>
      </xdr:spPr>
    </xdr:sp>
    <xdr:clientData/>
  </xdr:twoCellAnchor>
  <xdr:twoCellAnchor editAs="oneCell">
    <xdr:from>
      <xdr:col>3</xdr:col>
      <xdr:colOff>385560</xdr:colOff>
      <xdr:row>0</xdr:row>
      <xdr:rowOff>0</xdr:rowOff>
    </xdr:from>
    <xdr:to>
      <xdr:col>3</xdr:col>
      <xdr:colOff>490320</xdr:colOff>
      <xdr:row>0</xdr:row>
      <xdr:rowOff>0</xdr:rowOff>
    </xdr:to>
    <xdr:sp macro="" textlink="">
      <xdr:nvSpPr>
        <xdr:cNvPr id="5" name="Line 1"/>
        <xdr:cNvSpPr/>
      </xdr:nvSpPr>
      <xdr:spPr>
        <a:xfrm flipH="1">
          <a:off x="3076560" y="0"/>
          <a:ext cx="104760" cy="0"/>
        </a:xfrm>
        <a:prstGeom prst="line">
          <a:avLst/>
        </a:prstGeom>
        <a:ln w="9360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112060</xdr:colOff>
      <xdr:row>0</xdr:row>
      <xdr:rowOff>44823</xdr:rowOff>
    </xdr:from>
    <xdr:to>
      <xdr:col>1</xdr:col>
      <xdr:colOff>1613648</xdr:colOff>
      <xdr:row>2</xdr:row>
      <xdr:rowOff>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60" y="44823"/>
          <a:ext cx="1714500" cy="504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0</xdr:row>
      <xdr:rowOff>28575</xdr:rowOff>
    </xdr:from>
    <xdr:to>
      <xdr:col>4</xdr:col>
      <xdr:colOff>542925</xdr:colOff>
      <xdr:row>2</xdr:row>
      <xdr:rowOff>180975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00225" y="28575"/>
          <a:ext cx="20193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562841</xdr:colOff>
      <xdr:row>0</xdr:row>
      <xdr:rowOff>0</xdr:rowOff>
    </xdr:from>
    <xdr:to>
      <xdr:col>4</xdr:col>
      <xdr:colOff>112569</xdr:colOff>
      <xdr:row>3</xdr:row>
      <xdr:rowOff>77933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72441" y="0"/>
          <a:ext cx="1378528" cy="5637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193306</xdr:colOff>
      <xdr:row>0</xdr:row>
      <xdr:rowOff>273624</xdr:rowOff>
    </xdr:from>
    <xdr:ext cx="1268782" cy="428845"/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50906" y="159324"/>
          <a:ext cx="1268782" cy="428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562841</xdr:colOff>
      <xdr:row>1</xdr:row>
      <xdr:rowOff>126421</xdr:rowOff>
    </xdr:from>
    <xdr:to>
      <xdr:col>3</xdr:col>
      <xdr:colOff>232368</xdr:colOff>
      <xdr:row>5</xdr:row>
      <xdr:rowOff>129886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2841" y="288346"/>
          <a:ext cx="1498327" cy="6511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1%20Day%20O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%20Day%20Tw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3%20Day%20Thre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4%20Day%20Fou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5%20Day%20F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6%20Day%20Six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7%20Day%20Seve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1%20Day%20On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4%20Day%20Fou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ARO%20SEBU-LELLO-KAKE%20ROAD%20PROJECT\REPORT\WEEKLY\Week%2022%20(13-06-07%20To%2019-06-07)\Week%2022(13-06-07%20To%2019-06-07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\Report\Old\Weekly%20Report%209+subcon%20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X%20Land\X%20Land%202008\Sept%20Repor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\&#49892;&#54665;\&#50521;&#49457;&#49328;&#52377;\KCAP7MAJ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EW%20REPORT\DOC\&#49892;&#54665;\&#50521;&#49457;&#49328;&#52377;\KCAP7MAJ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chini%20Project\Payments\IPCS%20With%20%20Input%20Data\IPC~10%20Draft\NEW%20REPORT\DOC\&#49892;&#54665;\&#50521;&#49457;&#49328;&#52377;\KCAP7MAJ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dis\Addis'\&#44608;&#53468;&#54788;\Civil2-2\&#49892;&#54665;&#50696;&#49328;\&#51456;&#44277;&#50696;&#49328;\&#54596;&#47532;&#54592;\ADB6\ADB6(&#54788;&#51109;-2&#52264;)\ADB6&#49892;&#54665;&#50696;&#49328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Monthly%20Report\Nehas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Preferred%20Customer\My%20Documents\Reports\Weekly%20Report\Week7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adera%20Negale\IPC-4\Aug.%202010%20%20IPC\Delbena-%20Jinka%20(Fele.)\Payment%20cirtifcate\IPC-%20(05)\01-Certificate%20No.0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dis\Addis'\&#44148;&#47784;\&#51077;&#52272;&#44204;&#51201;\&#44204;&#51201;(2001)\&#46020;&#47196;\&#54644;&#48120;-&#45909;&#49328;(1&#44277;&#44396;)\&#53804;&#52272;,&#49892;&#54665;\-0.1%25\&#44277;&#45236;&#50669;(&#54644;&#48120;1&#44277;&#44396;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Documents%20and%20Settings\muhammed\My%20Documents\Mebratu%20doc\progress%20report\Weekly%20Progress%20Report\Weekly%20(New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Weekly%20Report\Forma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Weekly%20Report\Week4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Weekly%20Report\new%20exp.%204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chini%20Project\Payments\IPCS%20With%20%20Input%20Data\IPC~10%20Draft\QS\IPC\HARAR%20-%20JIJIGA\SABAY\INTERIM%20PAYMENT%20CERTIFICATE\IPC%2011\Certificate%20No.1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Monthly%20Report\Meskerem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1652;&#49437;\C\WINDOWS\9605G\DS-LOAD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slel\Reports\Weekly%20Report\Week%203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yitagess\Micheta%20Direct%20cost\Reports\Monthly%20Report\Tir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Monthly%20Report\Tir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EW%20REPORT\DOC\&#49892;&#54665;\&#50521;&#49457;&#49328;&#52377;\KCAP7REF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chini%20Project\Payments\IPCS%20With%20%20Input%20Data\IPC~10%20Draft\NEW%20REPORT\DOC\&#49892;&#54665;\&#50521;&#49457;&#49328;&#52377;\KCAP7REF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8337;&#44508;\&#51109;&#54637;&#49440;4&#44277;&#44396;\&#44148;&#47784;\&#44204;&#51201;(2000)\&#51648;&#51088;&#52404;&#48156;&#51452;&#44277;&#49324;\&#46020;&#47196;\&#52649;&#52397;&#45224;&#46020;\&#50612;&#52380;-&#44277;&#51452;\&#44608;&#49437;&#44540;\xls\1\Documents\xls\&#50689;&#44148;&#52629;(&#45432;&#51064;&#51221;&#49888;&#52629;&#44277;&#49324;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Owner\Desktop\yitagess\Micheta%20Direct%20cost\Reports\Monthly%20Report\Tir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DIS\Addis'\Documents%20and%20Settings\Workaferahu\My%20Documents\Addis'\Report\04%2012\modifid%20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rmat%20and%20Sample%20Template\NEW%20REPORT\DOC\&#49892;&#54665;\&#50521;&#49457;&#49328;&#52377;\KCAP7MAJ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Weekly%20Report\Week%204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esfaye\AppData\Local\Microsoft\Windows\Temporary%20Internet%20Files\Low\Content.IE5\CE599944\NEW%20REPORT\DOC\&#49892;&#54665;\&#50521;&#49457;&#49328;&#52377;\KCAP7REF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comad-28d342\shareddocs\Endeto%20%20Project\Weekly%20Report\July\Mela%20File\yitagess\Micheta%20Direct%20cost\Reports\Master%20schedule\Annual%20report(rev.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WINDOWS\Personal\&#51060;&#48169;&#51648;&#44396;1\&#51060;&#48169;&#44277;&#49324;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45733;&#46041;&#53552;&#45328;\&#49328;&#52636;&#49436;\&#44221;&#48513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chini%20Project\Payments\IPCS%20With%20%20Input%20Data\IPC~10%20Draft\NEW%20REPORT\DOC\&#49892;&#54665;\&#49340;&#52377;&#44540;&#45909;\&#52488;&#44592;&#44160;&#53664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5224;&#51648;&#49324;&#50629;&#48708;(&#52280;&#44256;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8337;&#44508;\&#51109;&#54637;&#49440;4&#44277;&#44396;\WINDOWS\TEMP\&#50896;&#48376;\HIH\BATGIBAN\&#48173;&#44592;&#48152;9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JBH.DAT\SHEET\ETC\&#44592;&#53440;\BONG-X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sti99\&#47560;&#47532;&#49569;&#51221;\&#50629;&#52404;&#48708;&#44368;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chini%20Project\Payments\IPCS%20With%20%20Input%20Data\IPC~10%20Draft\&#45733;&#46041;&#53552;&#45328;\&#49328;&#52636;&#49436;\&#44221;&#48513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X%20Land\X%20Land%202008\ipc%2015\IPC%20No15%20Final%20(Autosaved)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XLand\A.P%20Weekly%20and%20Monthly\Excuted%20Nov.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rmat%20and%20Sample%20Template\DOC\&#49892;&#54665;\&#50521;&#49457;&#49328;&#52377;\KCAP7MAJ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rmat%20and%20Sample%20Template\QS\IPC\HARAR%20-%20JIJIGA\SABAY\INTERIM%20PAYMENT%20CERTIFICATE\IPC%2011\Certificate%20No.1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rmat%20and%20Sample%20Template\NEW%20REPORT\DOC\&#49892;&#54665;\&#50521;&#49457;&#49328;&#52377;\KCAP7REF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esfaye\AppData\Local\Microsoft\Windows\Temporary%20Internet%20Files\Low\Content.IE5\CE599944\NEW%20REPORT\DOC\&#49892;&#54665;\&#50521;&#49457;&#49328;&#52377;\KCAP7RE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rmat%20and%20Sample%20Template\&#45733;&#46041;&#53552;&#45328;\&#49328;&#52636;&#49436;\&#44221;&#48513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rmat%20and%20Sample%20Template\NEW%20REPORT\DOC\&#49892;&#54665;\&#49340;&#52377;&#44540;&#45909;\&#52488;&#44592;&#44160;&#53664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i/Desktop/Payments%20IPC/IPC%20No15%20Final%20(Autosav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</sheetNames>
    <sheetDataSet>
      <sheetData sheetId="0" refreshError="1">
        <row r="5">
          <cell r="F5" t="str">
            <v>Friday</v>
          </cell>
          <cell r="M5" t="str">
            <v>Day-1    11/07/07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0">
          <cell r="M30">
            <v>0</v>
          </cell>
        </row>
        <row r="53">
          <cell r="M53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5">
          <cell r="M65">
            <v>0</v>
          </cell>
        </row>
        <row r="66">
          <cell r="M66">
            <v>0</v>
          </cell>
        </row>
        <row r="67">
          <cell r="M67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3">
          <cell r="M73">
            <v>0</v>
          </cell>
        </row>
        <row r="74">
          <cell r="M74">
            <v>0</v>
          </cell>
        </row>
        <row r="75">
          <cell r="M75">
            <v>0</v>
          </cell>
        </row>
        <row r="76">
          <cell r="M76">
            <v>0</v>
          </cell>
        </row>
        <row r="77">
          <cell r="M77">
            <v>0</v>
          </cell>
        </row>
        <row r="78">
          <cell r="M78">
            <v>0</v>
          </cell>
        </row>
        <row r="79">
          <cell r="M79">
            <v>0</v>
          </cell>
        </row>
        <row r="80">
          <cell r="M80">
            <v>0</v>
          </cell>
        </row>
        <row r="81">
          <cell r="M81">
            <v>0</v>
          </cell>
        </row>
        <row r="82">
          <cell r="M82">
            <v>0</v>
          </cell>
        </row>
        <row r="83">
          <cell r="M83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78">
          <cell r="M178">
            <v>0</v>
          </cell>
        </row>
        <row r="179">
          <cell r="M179">
            <v>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7">
          <cell r="M187">
            <v>0</v>
          </cell>
        </row>
        <row r="188">
          <cell r="M188">
            <v>0</v>
          </cell>
        </row>
        <row r="191">
          <cell r="M191">
            <v>0</v>
          </cell>
        </row>
        <row r="192">
          <cell r="M192">
            <v>0</v>
          </cell>
        </row>
        <row r="203">
          <cell r="M203">
            <v>0</v>
          </cell>
        </row>
        <row r="204">
          <cell r="M204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8">
          <cell r="M238">
            <v>0</v>
          </cell>
        </row>
        <row r="240">
          <cell r="M240">
            <v>0</v>
          </cell>
        </row>
        <row r="241">
          <cell r="M241">
            <v>0</v>
          </cell>
        </row>
        <row r="242">
          <cell r="M242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8">
          <cell r="M248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70">
          <cell r="M270">
            <v>0</v>
          </cell>
        </row>
        <row r="271">
          <cell r="M271">
            <v>0</v>
          </cell>
        </row>
        <row r="273">
          <cell r="M273">
            <v>0</v>
          </cell>
        </row>
        <row r="274">
          <cell r="M274">
            <v>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4">
          <cell r="M294">
            <v>0</v>
          </cell>
        </row>
        <row r="295">
          <cell r="M295">
            <v>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3">
          <cell r="M303">
            <v>0</v>
          </cell>
        </row>
        <row r="304">
          <cell r="M304">
            <v>0</v>
          </cell>
        </row>
        <row r="306">
          <cell r="M306">
            <v>0</v>
          </cell>
        </row>
        <row r="307">
          <cell r="M307">
            <v>0</v>
          </cell>
        </row>
        <row r="314">
          <cell r="M314">
            <v>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0">
          <cell r="M410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1" refreshError="1"/>
      <sheetData sheetId="2" refreshError="1"/>
      <sheetData sheetId="3" refreshError="1">
        <row r="63">
          <cell r="S63">
            <v>0</v>
          </cell>
        </row>
        <row r="93">
          <cell r="S93">
            <v>0</v>
          </cell>
        </row>
        <row r="143">
          <cell r="S143">
            <v>0</v>
          </cell>
        </row>
      </sheetData>
      <sheetData sheetId="4" refreshError="1"/>
      <sheetData sheetId="5" refreshError="1"/>
      <sheetData sheetId="6" refreshError="1">
        <row r="9">
          <cell r="O9">
            <v>0</v>
          </cell>
        </row>
        <row r="19">
          <cell r="O19">
            <v>0</v>
          </cell>
        </row>
        <row r="23">
          <cell r="O23">
            <v>0</v>
          </cell>
        </row>
        <row r="24">
          <cell r="O24">
            <v>0</v>
          </cell>
        </row>
        <row r="26">
          <cell r="O26">
            <v>0</v>
          </cell>
        </row>
        <row r="27">
          <cell r="O27">
            <v>0</v>
          </cell>
        </row>
        <row r="40">
          <cell r="O40">
            <v>0</v>
          </cell>
        </row>
        <row r="41">
          <cell r="O41">
            <v>0</v>
          </cell>
        </row>
        <row r="56">
          <cell r="O56">
            <v>0</v>
          </cell>
        </row>
        <row r="57">
          <cell r="O57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118">
          <cell r="O118">
            <v>0</v>
          </cell>
        </row>
        <row r="119">
          <cell r="O119">
            <v>0</v>
          </cell>
        </row>
        <row r="165">
          <cell r="O165">
            <v>0</v>
          </cell>
        </row>
        <row r="166">
          <cell r="O16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>
        <row r="11">
          <cell r="F11">
            <v>0</v>
          </cell>
        </row>
        <row r="29">
          <cell r="E29">
            <v>18</v>
          </cell>
          <cell r="F29">
            <v>1022.976</v>
          </cell>
        </row>
      </sheetData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2"/>
    </sheetNames>
    <sheetDataSet>
      <sheetData sheetId="0">
        <row r="5">
          <cell r="G5" t="str">
            <v>Saturday</v>
          </cell>
          <cell r="M5" t="str">
            <v>Day-2   24/08/07</v>
          </cell>
        </row>
        <row r="7">
          <cell r="M7">
            <v>16.75</v>
          </cell>
        </row>
        <row r="8">
          <cell r="M8">
            <v>2.08</v>
          </cell>
        </row>
        <row r="9">
          <cell r="M9">
            <v>0</v>
          </cell>
        </row>
        <row r="10">
          <cell r="M10">
            <v>12</v>
          </cell>
        </row>
        <row r="11">
          <cell r="M11">
            <v>0.33</v>
          </cell>
        </row>
        <row r="12">
          <cell r="M12">
            <v>0</v>
          </cell>
        </row>
        <row r="13">
          <cell r="M13">
            <v>16.829999999999998</v>
          </cell>
        </row>
        <row r="14">
          <cell r="M14">
            <v>1.5</v>
          </cell>
        </row>
        <row r="15">
          <cell r="M15">
            <v>0</v>
          </cell>
        </row>
        <row r="16">
          <cell r="M16">
            <v>0</v>
          </cell>
        </row>
        <row r="17">
          <cell r="M17">
            <v>0</v>
          </cell>
        </row>
        <row r="18">
          <cell r="M18">
            <v>9.5</v>
          </cell>
        </row>
        <row r="19">
          <cell r="M19">
            <v>0.5</v>
          </cell>
        </row>
        <row r="20">
          <cell r="M20">
            <v>0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0">
          <cell r="M30">
            <v>0</v>
          </cell>
        </row>
        <row r="31">
          <cell r="M31">
            <v>0</v>
          </cell>
        </row>
        <row r="32">
          <cell r="M32">
            <v>2</v>
          </cell>
        </row>
        <row r="33">
          <cell r="M33">
            <v>6</v>
          </cell>
        </row>
        <row r="34">
          <cell r="M34">
            <v>0</v>
          </cell>
        </row>
        <row r="35">
          <cell r="M35">
            <v>3.5</v>
          </cell>
        </row>
        <row r="36">
          <cell r="M36">
            <v>4.5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13.67</v>
          </cell>
        </row>
        <row r="43">
          <cell r="M43">
            <v>0</v>
          </cell>
        </row>
        <row r="44">
          <cell r="M44">
            <v>0</v>
          </cell>
        </row>
        <row r="45">
          <cell r="M45">
            <v>0.25</v>
          </cell>
        </row>
        <row r="46">
          <cell r="M46">
            <v>9.75</v>
          </cell>
        </row>
        <row r="47">
          <cell r="M47">
            <v>0</v>
          </cell>
        </row>
        <row r="48">
          <cell r="M48">
            <v>12.9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0</v>
          </cell>
        </row>
        <row r="52">
          <cell r="M52">
            <v>0</v>
          </cell>
        </row>
        <row r="53">
          <cell r="M53">
            <v>0</v>
          </cell>
        </row>
        <row r="54">
          <cell r="M54">
            <v>0</v>
          </cell>
        </row>
        <row r="55">
          <cell r="M55">
            <v>8.1999999999999993</v>
          </cell>
        </row>
        <row r="56">
          <cell r="M56">
            <v>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1">
          <cell r="M61">
            <v>0</v>
          </cell>
        </row>
        <row r="62">
          <cell r="M62">
            <v>6</v>
          </cell>
        </row>
        <row r="63">
          <cell r="M63">
            <v>3</v>
          </cell>
        </row>
        <row r="64">
          <cell r="M64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2">
          <cell r="M72">
            <v>0</v>
          </cell>
        </row>
        <row r="73">
          <cell r="M73">
            <v>0</v>
          </cell>
        </row>
        <row r="74">
          <cell r="M74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29">
          <cell r="M129">
            <v>10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3">
          <cell r="M133">
            <v>0</v>
          </cell>
        </row>
        <row r="134">
          <cell r="M134">
            <v>8</v>
          </cell>
        </row>
        <row r="135">
          <cell r="M135">
            <v>10</v>
          </cell>
        </row>
        <row r="136">
          <cell r="M136">
            <v>0</v>
          </cell>
        </row>
        <row r="137">
          <cell r="M137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41">
          <cell r="M141">
            <v>10.17</v>
          </cell>
        </row>
        <row r="142">
          <cell r="M142">
            <v>0.17</v>
          </cell>
        </row>
        <row r="143">
          <cell r="M143">
            <v>0</v>
          </cell>
        </row>
        <row r="144">
          <cell r="M144">
            <v>11.83</v>
          </cell>
        </row>
        <row r="145">
          <cell r="M145">
            <v>0.56999999999999995</v>
          </cell>
        </row>
        <row r="146">
          <cell r="M146">
            <v>0</v>
          </cell>
        </row>
        <row r="147">
          <cell r="M147">
            <v>10.07</v>
          </cell>
        </row>
        <row r="148">
          <cell r="M148">
            <v>0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11.43</v>
          </cell>
        </row>
        <row r="154">
          <cell r="M154">
            <v>1.2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9.83</v>
          </cell>
        </row>
        <row r="160">
          <cell r="M160">
            <v>0</v>
          </cell>
        </row>
        <row r="161">
          <cell r="M161">
            <v>0</v>
          </cell>
        </row>
        <row r="162">
          <cell r="M162">
            <v>12.13</v>
          </cell>
        </row>
        <row r="163">
          <cell r="M163">
            <v>0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10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10.67</v>
          </cell>
        </row>
        <row r="175">
          <cell r="M175">
            <v>0</v>
          </cell>
        </row>
        <row r="176">
          <cell r="M176">
            <v>0</v>
          </cell>
        </row>
        <row r="177">
          <cell r="M177">
            <v>10</v>
          </cell>
        </row>
        <row r="178">
          <cell r="M178">
            <v>0</v>
          </cell>
        </row>
        <row r="179">
          <cell r="M179">
            <v>0</v>
          </cell>
        </row>
        <row r="180">
          <cell r="M180">
            <v>10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6">
          <cell r="M186">
            <v>10</v>
          </cell>
        </row>
        <row r="187">
          <cell r="M187">
            <v>0</v>
          </cell>
        </row>
        <row r="188">
          <cell r="M188">
            <v>0</v>
          </cell>
        </row>
        <row r="189">
          <cell r="M189">
            <v>0</v>
          </cell>
        </row>
        <row r="190">
          <cell r="M190">
            <v>8</v>
          </cell>
        </row>
        <row r="191">
          <cell r="M191">
            <v>0</v>
          </cell>
        </row>
        <row r="192">
          <cell r="M192">
            <v>0</v>
          </cell>
        </row>
        <row r="193">
          <cell r="M193">
            <v>6</v>
          </cell>
        </row>
        <row r="194">
          <cell r="M194">
            <v>0</v>
          </cell>
        </row>
        <row r="195">
          <cell r="M195">
            <v>0</v>
          </cell>
        </row>
        <row r="196">
          <cell r="M196">
            <v>6</v>
          </cell>
        </row>
        <row r="197">
          <cell r="M197">
            <v>0</v>
          </cell>
        </row>
        <row r="198">
          <cell r="M198">
            <v>0</v>
          </cell>
        </row>
        <row r="199">
          <cell r="M199">
            <v>8</v>
          </cell>
        </row>
        <row r="202">
          <cell r="M202">
            <v>8</v>
          </cell>
        </row>
        <row r="203">
          <cell r="M203">
            <v>0</v>
          </cell>
        </row>
        <row r="204">
          <cell r="M204">
            <v>0</v>
          </cell>
        </row>
        <row r="205">
          <cell r="M205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8">
          <cell r="M238">
            <v>0</v>
          </cell>
        </row>
        <row r="239">
          <cell r="M239">
            <v>10</v>
          </cell>
        </row>
        <row r="240">
          <cell r="M240">
            <v>0</v>
          </cell>
        </row>
        <row r="241">
          <cell r="M241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8">
          <cell r="M248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70">
          <cell r="M270">
            <v>0</v>
          </cell>
        </row>
        <row r="271">
          <cell r="M271">
            <v>0</v>
          </cell>
        </row>
        <row r="272">
          <cell r="M272">
            <v>10</v>
          </cell>
        </row>
        <row r="273">
          <cell r="M273">
            <v>0</v>
          </cell>
        </row>
        <row r="274">
          <cell r="M274">
            <v>0</v>
          </cell>
        </row>
        <row r="275">
          <cell r="M275">
            <v>10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3">
          <cell r="M293">
            <v>0</v>
          </cell>
        </row>
        <row r="294">
          <cell r="M294">
            <v>0</v>
          </cell>
        </row>
        <row r="295">
          <cell r="M295">
            <v>0</v>
          </cell>
        </row>
        <row r="296">
          <cell r="M296">
            <v>10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2">
          <cell r="M302">
            <v>0</v>
          </cell>
        </row>
        <row r="303">
          <cell r="M303">
            <v>0</v>
          </cell>
        </row>
        <row r="304">
          <cell r="M304">
            <v>0</v>
          </cell>
        </row>
        <row r="306">
          <cell r="M306">
            <v>0</v>
          </cell>
        </row>
        <row r="307">
          <cell r="M307">
            <v>0</v>
          </cell>
        </row>
        <row r="308">
          <cell r="M308">
            <v>10</v>
          </cell>
        </row>
        <row r="309">
          <cell r="M309">
            <v>0</v>
          </cell>
        </row>
        <row r="310">
          <cell r="M310">
            <v>0</v>
          </cell>
        </row>
        <row r="311">
          <cell r="M311">
            <v>10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7">
          <cell r="M387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3">
          <cell r="M393">
            <v>11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1"/>
      <sheetData sheetId="2"/>
      <sheetData sheetId="3">
        <row r="3">
          <cell r="P3" t="str">
            <v>Day-2   24/08/07</v>
          </cell>
        </row>
        <row r="8">
          <cell r="S8">
            <v>923</v>
          </cell>
        </row>
        <row r="9">
          <cell r="S9">
            <v>442</v>
          </cell>
        </row>
        <row r="10">
          <cell r="S10">
            <v>883</v>
          </cell>
        </row>
        <row r="13">
          <cell r="S13">
            <v>122</v>
          </cell>
        </row>
        <row r="18">
          <cell r="S18">
            <v>0</v>
          </cell>
        </row>
        <row r="21">
          <cell r="S21">
            <v>130</v>
          </cell>
        </row>
        <row r="23">
          <cell r="S23">
            <v>77</v>
          </cell>
        </row>
        <row r="27">
          <cell r="S27">
            <v>203</v>
          </cell>
        </row>
        <row r="31">
          <cell r="S31">
            <v>0</v>
          </cell>
        </row>
        <row r="61">
          <cell r="S61">
            <v>179</v>
          </cell>
        </row>
        <row r="63">
          <cell r="S63">
            <v>213</v>
          </cell>
        </row>
        <row r="83">
          <cell r="S83">
            <v>10</v>
          </cell>
        </row>
        <row r="84">
          <cell r="S84">
            <v>0</v>
          </cell>
        </row>
        <row r="93">
          <cell r="S93">
            <v>3182</v>
          </cell>
        </row>
        <row r="95">
          <cell r="S95">
            <v>108</v>
          </cell>
        </row>
        <row r="96">
          <cell r="S96">
            <v>203</v>
          </cell>
        </row>
        <row r="99">
          <cell r="S99">
            <v>138</v>
          </cell>
        </row>
        <row r="102">
          <cell r="S102">
            <v>200</v>
          </cell>
        </row>
        <row r="106">
          <cell r="S106">
            <v>171</v>
          </cell>
        </row>
        <row r="107">
          <cell r="S107">
            <v>232</v>
          </cell>
        </row>
        <row r="109">
          <cell r="S109">
            <v>196</v>
          </cell>
        </row>
        <row r="120">
          <cell r="S120">
            <v>65</v>
          </cell>
        </row>
        <row r="124">
          <cell r="S124">
            <v>0</v>
          </cell>
        </row>
        <row r="125">
          <cell r="S125">
            <v>0</v>
          </cell>
        </row>
        <row r="130">
          <cell r="S130">
            <v>55</v>
          </cell>
        </row>
        <row r="131">
          <cell r="S131">
            <v>70</v>
          </cell>
        </row>
        <row r="132">
          <cell r="S132">
            <v>0</v>
          </cell>
        </row>
        <row r="133">
          <cell r="S133">
            <v>0</v>
          </cell>
        </row>
        <row r="134">
          <cell r="S134">
            <v>0</v>
          </cell>
        </row>
        <row r="135">
          <cell r="S135">
            <v>0</v>
          </cell>
        </row>
        <row r="136">
          <cell r="S136">
            <v>0</v>
          </cell>
        </row>
        <row r="137">
          <cell r="S137">
            <v>0</v>
          </cell>
        </row>
        <row r="138">
          <cell r="S138">
            <v>0</v>
          </cell>
        </row>
        <row r="139">
          <cell r="S139">
            <v>0</v>
          </cell>
        </row>
        <row r="140">
          <cell r="S140">
            <v>0</v>
          </cell>
        </row>
        <row r="141">
          <cell r="S141">
            <v>0</v>
          </cell>
        </row>
        <row r="143">
          <cell r="S143">
            <v>1438</v>
          </cell>
        </row>
      </sheetData>
      <sheetData sheetId="4"/>
      <sheetData sheetId="5"/>
      <sheetData sheetId="6">
        <row r="9">
          <cell r="O9">
            <v>0</v>
          </cell>
        </row>
        <row r="10">
          <cell r="O10">
            <v>0</v>
          </cell>
        </row>
        <row r="11">
          <cell r="G11">
            <v>1125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2350</v>
          </cell>
        </row>
        <row r="21">
          <cell r="O21">
            <v>300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11.24</v>
          </cell>
        </row>
        <row r="39">
          <cell r="O39">
            <v>12.6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48.3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4.6399999999999997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2.5999999999999996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1.8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4.32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6.48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144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12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</sheetData>
      <sheetData sheetId="7"/>
      <sheetData sheetId="8"/>
      <sheetData sheetId="9"/>
      <sheetData sheetId="10"/>
      <sheetData sheetId="11">
        <row r="11">
          <cell r="F11">
            <v>0</v>
          </cell>
        </row>
        <row r="12">
          <cell r="E12">
            <v>95</v>
          </cell>
          <cell r="F12">
            <v>11.24</v>
          </cell>
        </row>
        <row r="16">
          <cell r="E16">
            <v>25</v>
          </cell>
          <cell r="F16">
            <v>12.6</v>
          </cell>
        </row>
        <row r="29">
          <cell r="E29">
            <v>20</v>
          </cell>
          <cell r="F29">
            <v>1294</v>
          </cell>
        </row>
      </sheetData>
      <sheetData sheetId="12">
        <row r="11">
          <cell r="F11">
            <v>14</v>
          </cell>
        </row>
        <row r="14">
          <cell r="F14">
            <v>2</v>
          </cell>
        </row>
        <row r="20">
          <cell r="F20">
            <v>16</v>
          </cell>
        </row>
        <row r="22">
          <cell r="D22">
            <v>12.52</v>
          </cell>
          <cell r="F22">
            <v>2</v>
          </cell>
        </row>
      </sheetData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2"/>
    </sheetNames>
    <sheetDataSet>
      <sheetData sheetId="0">
        <row r="5">
          <cell r="H5" t="str">
            <v>Sunday</v>
          </cell>
          <cell r="M5" t="str">
            <v>Day-3 25/08/07</v>
          </cell>
        </row>
        <row r="7">
          <cell r="M7">
            <v>0</v>
          </cell>
        </row>
        <row r="8">
          <cell r="M8">
            <v>0</v>
          </cell>
        </row>
        <row r="9">
          <cell r="M9">
            <v>0</v>
          </cell>
        </row>
        <row r="10">
          <cell r="M10">
            <v>0</v>
          </cell>
        </row>
        <row r="11">
          <cell r="M11">
            <v>0</v>
          </cell>
        </row>
        <row r="12">
          <cell r="M12">
            <v>0</v>
          </cell>
        </row>
        <row r="13">
          <cell r="M13">
            <v>0</v>
          </cell>
        </row>
        <row r="14">
          <cell r="M14">
            <v>0</v>
          </cell>
        </row>
        <row r="15">
          <cell r="M15">
            <v>0</v>
          </cell>
        </row>
        <row r="16">
          <cell r="M16">
            <v>0</v>
          </cell>
        </row>
        <row r="17">
          <cell r="M17">
            <v>0</v>
          </cell>
        </row>
        <row r="18">
          <cell r="M18">
            <v>0</v>
          </cell>
        </row>
        <row r="19">
          <cell r="M19">
            <v>0</v>
          </cell>
        </row>
        <row r="20">
          <cell r="M20">
            <v>0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0">
          <cell r="M30">
            <v>0</v>
          </cell>
        </row>
        <row r="31">
          <cell r="M31">
            <v>0</v>
          </cell>
        </row>
        <row r="32">
          <cell r="M32">
            <v>0</v>
          </cell>
        </row>
        <row r="33">
          <cell r="M33">
            <v>0</v>
          </cell>
        </row>
        <row r="34">
          <cell r="M34">
            <v>0</v>
          </cell>
        </row>
        <row r="35">
          <cell r="M35">
            <v>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0</v>
          </cell>
        </row>
        <row r="45">
          <cell r="M45">
            <v>0</v>
          </cell>
        </row>
        <row r="46">
          <cell r="M46">
            <v>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0</v>
          </cell>
        </row>
        <row r="52">
          <cell r="M52">
            <v>0</v>
          </cell>
        </row>
        <row r="53">
          <cell r="M53">
            <v>0</v>
          </cell>
        </row>
        <row r="54">
          <cell r="M54">
            <v>0</v>
          </cell>
        </row>
        <row r="55">
          <cell r="M55">
            <v>0</v>
          </cell>
        </row>
        <row r="56">
          <cell r="M56">
            <v>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1">
          <cell r="M61">
            <v>0</v>
          </cell>
        </row>
        <row r="62">
          <cell r="M62">
            <v>0</v>
          </cell>
        </row>
        <row r="63">
          <cell r="M63">
            <v>0</v>
          </cell>
        </row>
        <row r="64">
          <cell r="M64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2">
          <cell r="M72">
            <v>0</v>
          </cell>
        </row>
        <row r="73">
          <cell r="M73">
            <v>0</v>
          </cell>
        </row>
        <row r="74">
          <cell r="M74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29">
          <cell r="M129">
            <v>0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4">
          <cell r="M134">
            <v>0</v>
          </cell>
        </row>
        <row r="135">
          <cell r="M135">
            <v>0</v>
          </cell>
        </row>
        <row r="136">
          <cell r="M136">
            <v>0</v>
          </cell>
        </row>
        <row r="137">
          <cell r="M137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41">
          <cell r="M141">
            <v>0</v>
          </cell>
        </row>
        <row r="142">
          <cell r="M142">
            <v>0</v>
          </cell>
        </row>
        <row r="143">
          <cell r="M143">
            <v>0</v>
          </cell>
        </row>
        <row r="144">
          <cell r="M144">
            <v>0</v>
          </cell>
        </row>
        <row r="145">
          <cell r="M145">
            <v>0</v>
          </cell>
        </row>
        <row r="146">
          <cell r="M146">
            <v>0</v>
          </cell>
        </row>
        <row r="147">
          <cell r="M147">
            <v>0</v>
          </cell>
        </row>
        <row r="148">
          <cell r="M148">
            <v>0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0</v>
          </cell>
        </row>
        <row r="154">
          <cell r="M154">
            <v>0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0</v>
          </cell>
        </row>
        <row r="160">
          <cell r="M160">
            <v>0</v>
          </cell>
        </row>
        <row r="161">
          <cell r="M161">
            <v>0</v>
          </cell>
        </row>
        <row r="162">
          <cell r="M162">
            <v>0</v>
          </cell>
        </row>
        <row r="163">
          <cell r="M163">
            <v>0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0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0</v>
          </cell>
        </row>
        <row r="175">
          <cell r="M175">
            <v>0</v>
          </cell>
        </row>
        <row r="176">
          <cell r="M176">
            <v>0</v>
          </cell>
        </row>
        <row r="177">
          <cell r="M177">
            <v>0</v>
          </cell>
        </row>
        <row r="178">
          <cell r="M178">
            <v>0</v>
          </cell>
        </row>
        <row r="179">
          <cell r="M179">
            <v>0</v>
          </cell>
        </row>
        <row r="180">
          <cell r="M180">
            <v>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6">
          <cell r="M186">
            <v>0</v>
          </cell>
        </row>
        <row r="187">
          <cell r="M187">
            <v>0</v>
          </cell>
        </row>
        <row r="188">
          <cell r="M188">
            <v>0</v>
          </cell>
        </row>
        <row r="189">
          <cell r="M189">
            <v>0</v>
          </cell>
        </row>
        <row r="190">
          <cell r="M190">
            <v>0</v>
          </cell>
        </row>
        <row r="191">
          <cell r="M191">
            <v>0</v>
          </cell>
        </row>
        <row r="192">
          <cell r="M192">
            <v>0</v>
          </cell>
        </row>
        <row r="193">
          <cell r="M193">
            <v>0</v>
          </cell>
        </row>
        <row r="194">
          <cell r="M194">
            <v>0</v>
          </cell>
        </row>
        <row r="195">
          <cell r="M195">
            <v>0</v>
          </cell>
        </row>
        <row r="196">
          <cell r="M196">
            <v>0</v>
          </cell>
        </row>
        <row r="197">
          <cell r="M197">
            <v>0</v>
          </cell>
        </row>
        <row r="198">
          <cell r="M198">
            <v>0</v>
          </cell>
        </row>
        <row r="199">
          <cell r="M199">
            <v>0</v>
          </cell>
        </row>
        <row r="202">
          <cell r="M202">
            <v>0</v>
          </cell>
        </row>
        <row r="203">
          <cell r="M203">
            <v>0</v>
          </cell>
        </row>
        <row r="204">
          <cell r="M204">
            <v>0</v>
          </cell>
        </row>
        <row r="205">
          <cell r="M205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8">
          <cell r="M238">
            <v>0</v>
          </cell>
        </row>
        <row r="239">
          <cell r="M239">
            <v>10</v>
          </cell>
        </row>
        <row r="240">
          <cell r="M240">
            <v>0</v>
          </cell>
        </row>
        <row r="241">
          <cell r="M241">
            <v>0</v>
          </cell>
        </row>
        <row r="242">
          <cell r="M242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8">
          <cell r="M248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70">
          <cell r="M270">
            <v>0</v>
          </cell>
        </row>
        <row r="271">
          <cell r="M271">
            <v>0</v>
          </cell>
        </row>
        <row r="272">
          <cell r="M272">
            <v>10</v>
          </cell>
        </row>
        <row r="273">
          <cell r="M273">
            <v>0</v>
          </cell>
        </row>
        <row r="274">
          <cell r="M274">
            <v>0</v>
          </cell>
        </row>
        <row r="275">
          <cell r="M275">
            <v>10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3">
          <cell r="M293">
            <v>0</v>
          </cell>
        </row>
        <row r="294">
          <cell r="M294">
            <v>0</v>
          </cell>
        </row>
        <row r="295">
          <cell r="M295">
            <v>0</v>
          </cell>
        </row>
        <row r="296">
          <cell r="M296">
            <v>10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2">
          <cell r="M302">
            <v>0</v>
          </cell>
        </row>
        <row r="303">
          <cell r="M303">
            <v>0</v>
          </cell>
        </row>
        <row r="304">
          <cell r="M304">
            <v>0</v>
          </cell>
        </row>
        <row r="306">
          <cell r="M306">
            <v>0</v>
          </cell>
        </row>
        <row r="307">
          <cell r="M307">
            <v>0</v>
          </cell>
        </row>
        <row r="308">
          <cell r="M308">
            <v>10</v>
          </cell>
        </row>
        <row r="309">
          <cell r="M309">
            <v>0</v>
          </cell>
        </row>
        <row r="310">
          <cell r="M310">
            <v>0</v>
          </cell>
        </row>
        <row r="311">
          <cell r="M311">
            <v>10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7">
          <cell r="M387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3">
          <cell r="M393">
            <v>11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1"/>
      <sheetData sheetId="2"/>
      <sheetData sheetId="3">
        <row r="3">
          <cell r="P3" t="str">
            <v>Day-3 25/08/07</v>
          </cell>
        </row>
        <row r="31">
          <cell r="S31">
            <v>0</v>
          </cell>
        </row>
        <row r="84">
          <cell r="S84">
            <v>0</v>
          </cell>
        </row>
        <row r="93">
          <cell r="S93">
            <v>0</v>
          </cell>
        </row>
        <row r="143">
          <cell r="S143">
            <v>0</v>
          </cell>
        </row>
      </sheetData>
      <sheetData sheetId="4"/>
      <sheetData sheetId="5"/>
      <sheetData sheetId="6">
        <row r="9">
          <cell r="O9">
            <v>0</v>
          </cell>
        </row>
        <row r="10">
          <cell r="O10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</sheetData>
      <sheetData sheetId="7"/>
      <sheetData sheetId="8"/>
      <sheetData sheetId="9"/>
      <sheetData sheetId="10"/>
      <sheetData sheetId="11">
        <row r="11">
          <cell r="F11">
            <v>0</v>
          </cell>
        </row>
        <row r="12">
          <cell r="F12">
            <v>0</v>
          </cell>
        </row>
        <row r="16">
          <cell r="F16">
            <v>0</v>
          </cell>
        </row>
      </sheetData>
      <sheetData sheetId="12">
        <row r="20">
          <cell r="F20">
            <v>0</v>
          </cell>
        </row>
      </sheetData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2"/>
    </sheetNames>
    <sheetDataSet>
      <sheetData sheetId="0">
        <row r="5">
          <cell r="I5" t="str">
            <v>Monday</v>
          </cell>
          <cell r="M5" t="str">
            <v>Day-4 14/06/07</v>
          </cell>
        </row>
        <row r="17">
          <cell r="M17">
            <v>0</v>
          </cell>
        </row>
        <row r="30">
          <cell r="M30">
            <v>0</v>
          </cell>
        </row>
        <row r="31">
          <cell r="M31">
            <v>0</v>
          </cell>
        </row>
        <row r="54">
          <cell r="M54">
            <v>0</v>
          </cell>
        </row>
        <row r="61">
          <cell r="M61">
            <v>0</v>
          </cell>
        </row>
        <row r="65">
          <cell r="M65">
            <v>0</v>
          </cell>
        </row>
        <row r="66">
          <cell r="M66">
            <v>0</v>
          </cell>
        </row>
        <row r="67">
          <cell r="M67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2">
          <cell r="M72">
            <v>0</v>
          </cell>
        </row>
        <row r="73">
          <cell r="M73">
            <v>0</v>
          </cell>
        </row>
        <row r="74">
          <cell r="M74">
            <v>0</v>
          </cell>
        </row>
        <row r="75">
          <cell r="M75">
            <v>0</v>
          </cell>
        </row>
        <row r="76">
          <cell r="M76">
            <v>0</v>
          </cell>
        </row>
        <row r="77">
          <cell r="M77">
            <v>0</v>
          </cell>
        </row>
        <row r="78">
          <cell r="M78">
            <v>0</v>
          </cell>
        </row>
        <row r="79">
          <cell r="M79">
            <v>0</v>
          </cell>
        </row>
        <row r="80">
          <cell r="M80">
            <v>0</v>
          </cell>
        </row>
        <row r="81">
          <cell r="M81">
            <v>0</v>
          </cell>
        </row>
        <row r="82">
          <cell r="M82">
            <v>0</v>
          </cell>
        </row>
        <row r="83">
          <cell r="M83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89">
          <cell r="M189">
            <v>0</v>
          </cell>
        </row>
        <row r="238">
          <cell r="M238">
            <v>0</v>
          </cell>
        </row>
        <row r="240">
          <cell r="M240">
            <v>0</v>
          </cell>
        </row>
        <row r="241">
          <cell r="M241">
            <v>0</v>
          </cell>
        </row>
        <row r="242">
          <cell r="M242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8">
          <cell r="M248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70">
          <cell r="M270">
            <v>0</v>
          </cell>
        </row>
        <row r="271">
          <cell r="M271">
            <v>0</v>
          </cell>
        </row>
        <row r="273">
          <cell r="M273">
            <v>0</v>
          </cell>
        </row>
        <row r="274">
          <cell r="M274">
            <v>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3">
          <cell r="M293">
            <v>0</v>
          </cell>
        </row>
        <row r="294">
          <cell r="M294">
            <v>0</v>
          </cell>
        </row>
        <row r="295">
          <cell r="M295">
            <v>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3">
          <cell r="M303">
            <v>0</v>
          </cell>
        </row>
        <row r="304">
          <cell r="M304">
            <v>0</v>
          </cell>
        </row>
        <row r="306">
          <cell r="M306">
            <v>0</v>
          </cell>
        </row>
        <row r="307">
          <cell r="M307">
            <v>0</v>
          </cell>
        </row>
        <row r="309">
          <cell r="M309">
            <v>0</v>
          </cell>
        </row>
        <row r="310">
          <cell r="M310">
            <v>0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1" refreshError="1"/>
      <sheetData sheetId="2" refreshError="1"/>
      <sheetData sheetId="3">
        <row r="8">
          <cell r="S8">
            <v>733</v>
          </cell>
        </row>
        <row r="93">
          <cell r="S93">
            <v>2470</v>
          </cell>
        </row>
        <row r="143">
          <cell r="S143">
            <v>863</v>
          </cell>
        </row>
      </sheetData>
      <sheetData sheetId="4" refreshError="1"/>
      <sheetData sheetId="5" refreshError="1"/>
      <sheetData sheetId="6">
        <row r="9">
          <cell r="O9">
            <v>0</v>
          </cell>
        </row>
        <row r="23">
          <cell r="O23">
            <v>0</v>
          </cell>
        </row>
        <row r="24">
          <cell r="O24">
            <v>0</v>
          </cell>
        </row>
        <row r="26">
          <cell r="O26">
            <v>0</v>
          </cell>
        </row>
        <row r="27">
          <cell r="O27">
            <v>0</v>
          </cell>
        </row>
        <row r="40">
          <cell r="O40">
            <v>0</v>
          </cell>
        </row>
        <row r="41">
          <cell r="O41">
            <v>0</v>
          </cell>
        </row>
        <row r="56">
          <cell r="O56">
            <v>0</v>
          </cell>
        </row>
        <row r="57">
          <cell r="O57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118">
          <cell r="O118">
            <v>0</v>
          </cell>
        </row>
        <row r="119">
          <cell r="O11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>
        <row r="11">
          <cell r="E11">
            <v>80</v>
          </cell>
          <cell r="F11">
            <v>0</v>
          </cell>
        </row>
        <row r="29">
          <cell r="E29">
            <v>15</v>
          </cell>
          <cell r="F29">
            <v>402.56</v>
          </cell>
        </row>
      </sheetData>
      <sheetData sheetId="12">
        <row r="11">
          <cell r="D11">
            <v>0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2"/>
    </sheetNames>
    <sheetDataSet>
      <sheetData sheetId="0">
        <row r="5">
          <cell r="J5" t="str">
            <v>Tuesday</v>
          </cell>
          <cell r="M5" t="str">
            <v>Day-5 27/08/07</v>
          </cell>
        </row>
        <row r="7">
          <cell r="M7">
            <v>8</v>
          </cell>
        </row>
        <row r="8">
          <cell r="M8">
            <v>12</v>
          </cell>
        </row>
        <row r="9">
          <cell r="M9">
            <v>0</v>
          </cell>
        </row>
        <row r="10">
          <cell r="M10">
            <v>7.83</v>
          </cell>
        </row>
        <row r="11">
          <cell r="M11">
            <v>5.17</v>
          </cell>
        </row>
        <row r="12">
          <cell r="M12">
            <v>0</v>
          </cell>
        </row>
        <row r="13">
          <cell r="M13">
            <v>8</v>
          </cell>
        </row>
        <row r="14">
          <cell r="M14">
            <v>12</v>
          </cell>
        </row>
        <row r="15">
          <cell r="M15">
            <v>0</v>
          </cell>
        </row>
        <row r="16">
          <cell r="M16">
            <v>0</v>
          </cell>
        </row>
        <row r="17">
          <cell r="M17">
            <v>0</v>
          </cell>
        </row>
        <row r="18">
          <cell r="M18">
            <v>5.3</v>
          </cell>
        </row>
        <row r="19">
          <cell r="M19">
            <v>4.7</v>
          </cell>
        </row>
        <row r="20">
          <cell r="M20">
            <v>0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0">
          <cell r="M30">
            <v>0</v>
          </cell>
        </row>
        <row r="31">
          <cell r="M31">
            <v>0</v>
          </cell>
        </row>
        <row r="32">
          <cell r="M32">
            <v>2.5</v>
          </cell>
        </row>
        <row r="33">
          <cell r="M33">
            <v>5.5</v>
          </cell>
        </row>
        <row r="34">
          <cell r="M34">
            <v>0</v>
          </cell>
        </row>
        <row r="35">
          <cell r="M35">
            <v>7.33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5.17</v>
          </cell>
        </row>
        <row r="43">
          <cell r="M43">
            <v>4.83</v>
          </cell>
        </row>
        <row r="44">
          <cell r="M44">
            <v>0</v>
          </cell>
        </row>
        <row r="45">
          <cell r="M45">
            <v>8</v>
          </cell>
        </row>
        <row r="46">
          <cell r="M46">
            <v>2</v>
          </cell>
        </row>
        <row r="47">
          <cell r="M47">
            <v>0</v>
          </cell>
        </row>
        <row r="48">
          <cell r="M48">
            <v>6</v>
          </cell>
        </row>
        <row r="49">
          <cell r="M49">
            <v>4</v>
          </cell>
        </row>
        <row r="50">
          <cell r="M50">
            <v>0</v>
          </cell>
        </row>
        <row r="51">
          <cell r="M51">
            <v>0</v>
          </cell>
        </row>
        <row r="52">
          <cell r="M52">
            <v>0</v>
          </cell>
        </row>
        <row r="53">
          <cell r="M53">
            <v>0</v>
          </cell>
        </row>
        <row r="54">
          <cell r="M54">
            <v>0</v>
          </cell>
        </row>
        <row r="55">
          <cell r="M55">
            <v>4.2</v>
          </cell>
        </row>
        <row r="56">
          <cell r="M56">
            <v>5.8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1">
          <cell r="M61">
            <v>0</v>
          </cell>
        </row>
        <row r="62">
          <cell r="M62">
            <v>6.5</v>
          </cell>
        </row>
        <row r="63">
          <cell r="M63">
            <v>2.5</v>
          </cell>
        </row>
        <row r="64">
          <cell r="M64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2">
          <cell r="M72">
            <v>0</v>
          </cell>
        </row>
        <row r="73">
          <cell r="M73">
            <v>0</v>
          </cell>
        </row>
        <row r="74">
          <cell r="M74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29">
          <cell r="M129">
            <v>8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4">
          <cell r="M134">
            <v>8</v>
          </cell>
        </row>
        <row r="135">
          <cell r="M135">
            <v>8</v>
          </cell>
        </row>
        <row r="136">
          <cell r="M136">
            <v>0</v>
          </cell>
        </row>
        <row r="137">
          <cell r="M137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41">
          <cell r="M141">
            <v>5.4</v>
          </cell>
        </row>
        <row r="142">
          <cell r="M142">
            <v>0</v>
          </cell>
        </row>
        <row r="143">
          <cell r="M143">
            <v>0</v>
          </cell>
        </row>
        <row r="144">
          <cell r="M144">
            <v>5.8</v>
          </cell>
        </row>
        <row r="145">
          <cell r="M145">
            <v>0</v>
          </cell>
        </row>
        <row r="146">
          <cell r="M146">
            <v>0</v>
          </cell>
        </row>
        <row r="147">
          <cell r="M147">
            <v>5.33</v>
          </cell>
        </row>
        <row r="148">
          <cell r="M148">
            <v>0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5.83</v>
          </cell>
        </row>
        <row r="154">
          <cell r="M154">
            <v>0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5.25</v>
          </cell>
        </row>
        <row r="160">
          <cell r="M160">
            <v>0</v>
          </cell>
        </row>
        <row r="161">
          <cell r="M161">
            <v>0</v>
          </cell>
        </row>
        <row r="162">
          <cell r="M162">
            <v>5.13</v>
          </cell>
        </row>
        <row r="163">
          <cell r="M163">
            <v>0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10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6.5</v>
          </cell>
        </row>
        <row r="175">
          <cell r="M175">
            <v>0</v>
          </cell>
        </row>
        <row r="176">
          <cell r="M176">
            <v>0</v>
          </cell>
        </row>
        <row r="177">
          <cell r="M177">
            <v>10</v>
          </cell>
        </row>
        <row r="178">
          <cell r="M178">
            <v>0</v>
          </cell>
        </row>
        <row r="179">
          <cell r="M179">
            <v>0</v>
          </cell>
        </row>
        <row r="180">
          <cell r="M180">
            <v>10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6">
          <cell r="M186">
            <v>10</v>
          </cell>
        </row>
        <row r="187">
          <cell r="M187">
            <v>0</v>
          </cell>
        </row>
        <row r="188">
          <cell r="M188">
            <v>0</v>
          </cell>
        </row>
        <row r="189">
          <cell r="M189">
            <v>0</v>
          </cell>
        </row>
        <row r="190">
          <cell r="M190">
            <v>8</v>
          </cell>
        </row>
        <row r="191">
          <cell r="M191">
            <v>0</v>
          </cell>
        </row>
        <row r="192">
          <cell r="M192">
            <v>0</v>
          </cell>
        </row>
        <row r="193">
          <cell r="M193">
            <v>8</v>
          </cell>
        </row>
        <row r="194">
          <cell r="M194">
            <v>0</v>
          </cell>
        </row>
        <row r="195">
          <cell r="M195">
            <v>0</v>
          </cell>
        </row>
        <row r="196">
          <cell r="M196">
            <v>6</v>
          </cell>
        </row>
        <row r="197">
          <cell r="M197">
            <v>0</v>
          </cell>
        </row>
        <row r="198">
          <cell r="M198">
            <v>0</v>
          </cell>
        </row>
        <row r="203">
          <cell r="M203">
            <v>0</v>
          </cell>
        </row>
        <row r="204">
          <cell r="M204">
            <v>0</v>
          </cell>
        </row>
        <row r="205">
          <cell r="M205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8">
          <cell r="M238">
            <v>0</v>
          </cell>
        </row>
        <row r="239">
          <cell r="M239">
            <v>10</v>
          </cell>
        </row>
        <row r="240">
          <cell r="M240">
            <v>0</v>
          </cell>
        </row>
        <row r="241">
          <cell r="M241">
            <v>0</v>
          </cell>
        </row>
        <row r="242">
          <cell r="M242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70">
          <cell r="M270">
            <v>0</v>
          </cell>
        </row>
        <row r="271">
          <cell r="M271">
            <v>0</v>
          </cell>
        </row>
        <row r="272">
          <cell r="M272">
            <v>10</v>
          </cell>
        </row>
        <row r="273">
          <cell r="M273">
            <v>0</v>
          </cell>
        </row>
        <row r="274">
          <cell r="M274">
            <v>0</v>
          </cell>
        </row>
        <row r="275">
          <cell r="M275">
            <v>10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3">
          <cell r="M293">
            <v>0</v>
          </cell>
        </row>
        <row r="294">
          <cell r="M294">
            <v>0</v>
          </cell>
        </row>
        <row r="295">
          <cell r="M295">
            <v>0</v>
          </cell>
        </row>
        <row r="296">
          <cell r="M296">
            <v>10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2">
          <cell r="M302">
            <v>0</v>
          </cell>
        </row>
        <row r="303">
          <cell r="M303">
            <v>0</v>
          </cell>
        </row>
        <row r="304">
          <cell r="M304">
            <v>0</v>
          </cell>
        </row>
        <row r="305">
          <cell r="M305">
            <v>0</v>
          </cell>
        </row>
        <row r="306">
          <cell r="M306">
            <v>0</v>
          </cell>
        </row>
        <row r="307">
          <cell r="M307">
            <v>0</v>
          </cell>
        </row>
        <row r="308">
          <cell r="J308">
            <v>10</v>
          </cell>
        </row>
        <row r="309">
          <cell r="M309">
            <v>0</v>
          </cell>
        </row>
        <row r="310">
          <cell r="M310">
            <v>0</v>
          </cell>
        </row>
        <row r="311">
          <cell r="M311">
            <v>10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10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7">
          <cell r="M387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3">
          <cell r="M393">
            <v>14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1"/>
      <sheetData sheetId="2"/>
      <sheetData sheetId="3">
        <row r="3">
          <cell r="P3" t="str">
            <v>Day-5 27/08/07</v>
          </cell>
        </row>
        <row r="8">
          <cell r="S8">
            <v>526</v>
          </cell>
        </row>
        <row r="10">
          <cell r="S10">
            <v>456</v>
          </cell>
        </row>
        <row r="17">
          <cell r="S17">
            <v>161</v>
          </cell>
        </row>
        <row r="18">
          <cell r="S18">
            <v>124</v>
          </cell>
        </row>
        <row r="21">
          <cell r="S21">
            <v>123</v>
          </cell>
        </row>
        <row r="22">
          <cell r="S22">
            <v>200</v>
          </cell>
        </row>
        <row r="23">
          <cell r="S23">
            <v>131</v>
          </cell>
        </row>
        <row r="27">
          <cell r="S27">
            <v>236</v>
          </cell>
        </row>
        <row r="66">
          <cell r="S66">
            <v>91</v>
          </cell>
        </row>
        <row r="83">
          <cell r="S83">
            <v>10</v>
          </cell>
        </row>
        <row r="84">
          <cell r="S84">
            <v>0</v>
          </cell>
        </row>
        <row r="93">
          <cell r="S93">
            <v>2058</v>
          </cell>
        </row>
        <row r="95">
          <cell r="S95">
            <v>104</v>
          </cell>
        </row>
        <row r="99">
          <cell r="S99">
            <v>165</v>
          </cell>
        </row>
        <row r="106">
          <cell r="S106">
            <v>150</v>
          </cell>
        </row>
        <row r="107">
          <cell r="S107">
            <v>240</v>
          </cell>
        </row>
        <row r="109">
          <cell r="S109">
            <v>150</v>
          </cell>
        </row>
        <row r="112">
          <cell r="S112">
            <v>150</v>
          </cell>
        </row>
        <row r="125">
          <cell r="S125">
            <v>0</v>
          </cell>
        </row>
        <row r="130">
          <cell r="S130">
            <v>0</v>
          </cell>
        </row>
        <row r="131">
          <cell r="S131">
            <v>0</v>
          </cell>
        </row>
        <row r="132">
          <cell r="S132">
            <v>68</v>
          </cell>
        </row>
        <row r="133">
          <cell r="S133">
            <v>0</v>
          </cell>
        </row>
        <row r="134">
          <cell r="S134">
            <v>0</v>
          </cell>
        </row>
        <row r="135">
          <cell r="S135">
            <v>0</v>
          </cell>
        </row>
        <row r="136">
          <cell r="S136">
            <v>0</v>
          </cell>
        </row>
        <row r="137">
          <cell r="S137">
            <v>0</v>
          </cell>
        </row>
        <row r="138">
          <cell r="S138">
            <v>0</v>
          </cell>
        </row>
        <row r="139">
          <cell r="S139">
            <v>0</v>
          </cell>
        </row>
        <row r="140">
          <cell r="S140">
            <v>0</v>
          </cell>
        </row>
        <row r="141">
          <cell r="S141">
            <v>0</v>
          </cell>
        </row>
        <row r="143">
          <cell r="S143">
            <v>1027</v>
          </cell>
        </row>
      </sheetData>
      <sheetData sheetId="4"/>
      <sheetData sheetId="5"/>
      <sheetData sheetId="6">
        <row r="9">
          <cell r="O9">
            <v>0</v>
          </cell>
        </row>
        <row r="10">
          <cell r="O10">
            <v>0</v>
          </cell>
        </row>
        <row r="11">
          <cell r="J11">
            <v>200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297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1545</v>
          </cell>
        </row>
        <row r="21">
          <cell r="O21">
            <v>160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7.65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5.5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10.35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24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4.24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M62">
            <v>0</v>
          </cell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335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5.8079999999999998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32</v>
          </cell>
        </row>
        <row r="86">
          <cell r="O86">
            <v>4.952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4.08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7.2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276</v>
          </cell>
        </row>
        <row r="121">
          <cell r="O121">
            <v>480</v>
          </cell>
        </row>
        <row r="122">
          <cell r="O122">
            <v>60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12</v>
          </cell>
        </row>
        <row r="162">
          <cell r="O162">
            <v>0</v>
          </cell>
        </row>
        <row r="163">
          <cell r="O163">
            <v>24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</sheetData>
      <sheetData sheetId="7"/>
      <sheetData sheetId="8"/>
      <sheetData sheetId="9"/>
      <sheetData sheetId="10"/>
      <sheetData sheetId="11">
        <row r="11">
          <cell r="F11">
            <v>0</v>
          </cell>
        </row>
        <row r="12">
          <cell r="E12">
            <v>50</v>
          </cell>
          <cell r="F12">
            <v>5.5</v>
          </cell>
        </row>
        <row r="16">
          <cell r="F16">
            <v>0</v>
          </cell>
        </row>
        <row r="29">
          <cell r="E29">
            <v>20</v>
          </cell>
          <cell r="F29">
            <v>904</v>
          </cell>
        </row>
      </sheetData>
      <sheetData sheetId="12">
        <row r="11">
          <cell r="F11">
            <v>7</v>
          </cell>
        </row>
        <row r="12">
          <cell r="D12">
            <v>4.24</v>
          </cell>
          <cell r="F12">
            <v>11.5</v>
          </cell>
        </row>
        <row r="20">
          <cell r="F20">
            <v>18.5</v>
          </cell>
        </row>
      </sheetData>
      <sheetData sheetId="13"/>
      <sheetData sheetId="14"/>
      <sheetData sheetId="1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2"/>
    </sheetNames>
    <sheetDataSet>
      <sheetData sheetId="0">
        <row r="5">
          <cell r="K5" t="str">
            <v>Wednesday</v>
          </cell>
          <cell r="M5" t="str">
            <v>Day-6 28/08/07</v>
          </cell>
        </row>
        <row r="7">
          <cell r="M7">
            <v>12.5</v>
          </cell>
        </row>
        <row r="8">
          <cell r="M8">
            <v>7.5</v>
          </cell>
        </row>
        <row r="9">
          <cell r="M9">
            <v>0</v>
          </cell>
        </row>
        <row r="10">
          <cell r="M10">
            <v>4.92</v>
          </cell>
        </row>
        <row r="11">
          <cell r="M11">
            <v>8.08</v>
          </cell>
        </row>
        <row r="12">
          <cell r="M12">
            <v>0</v>
          </cell>
        </row>
        <row r="13">
          <cell r="M13">
            <v>12.66</v>
          </cell>
        </row>
        <row r="14">
          <cell r="M14">
            <v>7.33</v>
          </cell>
        </row>
        <row r="15">
          <cell r="M15">
            <v>0</v>
          </cell>
        </row>
        <row r="16">
          <cell r="M16">
            <v>0</v>
          </cell>
        </row>
        <row r="17">
          <cell r="M17">
            <v>0</v>
          </cell>
        </row>
        <row r="18">
          <cell r="M18">
            <v>6.5</v>
          </cell>
        </row>
        <row r="19">
          <cell r="M19">
            <v>3.5</v>
          </cell>
        </row>
        <row r="20">
          <cell r="M20">
            <v>0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0">
          <cell r="M30">
            <v>0</v>
          </cell>
        </row>
        <row r="31">
          <cell r="M31">
            <v>0</v>
          </cell>
        </row>
        <row r="32">
          <cell r="M32">
            <v>0</v>
          </cell>
        </row>
        <row r="33">
          <cell r="M33">
            <v>8</v>
          </cell>
        </row>
        <row r="34">
          <cell r="M34">
            <v>0</v>
          </cell>
        </row>
        <row r="35">
          <cell r="M35">
            <v>0</v>
          </cell>
        </row>
        <row r="36">
          <cell r="M36">
            <v>8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0</v>
          </cell>
        </row>
        <row r="43">
          <cell r="M43">
            <v>10</v>
          </cell>
        </row>
        <row r="44">
          <cell r="M44">
            <v>0</v>
          </cell>
        </row>
        <row r="45">
          <cell r="M45">
            <v>7</v>
          </cell>
        </row>
        <row r="46">
          <cell r="M46">
            <v>3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10</v>
          </cell>
        </row>
        <row r="51">
          <cell r="M51">
            <v>0</v>
          </cell>
        </row>
        <row r="52">
          <cell r="M52">
            <v>0</v>
          </cell>
        </row>
        <row r="54">
          <cell r="M54">
            <v>0</v>
          </cell>
        </row>
        <row r="55">
          <cell r="M55">
            <v>0</v>
          </cell>
        </row>
        <row r="56">
          <cell r="M56">
            <v>10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1">
          <cell r="M61">
            <v>0</v>
          </cell>
        </row>
        <row r="62">
          <cell r="M62">
            <v>6.5</v>
          </cell>
        </row>
        <row r="63">
          <cell r="M63">
            <v>2.5</v>
          </cell>
        </row>
        <row r="64">
          <cell r="M64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2">
          <cell r="M72">
            <v>0</v>
          </cell>
        </row>
        <row r="73">
          <cell r="M73">
            <v>0</v>
          </cell>
        </row>
        <row r="74">
          <cell r="M74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29">
          <cell r="M129">
            <v>6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4">
          <cell r="M134">
            <v>8</v>
          </cell>
        </row>
        <row r="135">
          <cell r="M135">
            <v>0</v>
          </cell>
        </row>
        <row r="136">
          <cell r="M136">
            <v>10</v>
          </cell>
        </row>
        <row r="137">
          <cell r="M137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41">
          <cell r="M141">
            <v>0</v>
          </cell>
        </row>
        <row r="142">
          <cell r="M142">
            <v>0</v>
          </cell>
        </row>
        <row r="143">
          <cell r="M143">
            <v>0</v>
          </cell>
        </row>
        <row r="144">
          <cell r="M144">
            <v>6</v>
          </cell>
        </row>
        <row r="145">
          <cell r="M145">
            <v>0</v>
          </cell>
        </row>
        <row r="146">
          <cell r="M146">
            <v>0</v>
          </cell>
        </row>
        <row r="147">
          <cell r="M147">
            <v>0</v>
          </cell>
        </row>
        <row r="148">
          <cell r="M148">
            <v>0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0</v>
          </cell>
        </row>
        <row r="154">
          <cell r="M154">
            <v>0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0</v>
          </cell>
        </row>
        <row r="160">
          <cell r="M160">
            <v>0</v>
          </cell>
        </row>
        <row r="161">
          <cell r="M161">
            <v>0</v>
          </cell>
        </row>
        <row r="162">
          <cell r="M162">
            <v>6</v>
          </cell>
        </row>
        <row r="163">
          <cell r="M163">
            <v>0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9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0</v>
          </cell>
        </row>
        <row r="175">
          <cell r="M175">
            <v>0</v>
          </cell>
        </row>
        <row r="176">
          <cell r="M176">
            <v>0</v>
          </cell>
        </row>
        <row r="177">
          <cell r="M177">
            <v>0</v>
          </cell>
        </row>
        <row r="178">
          <cell r="M178">
            <v>0</v>
          </cell>
        </row>
        <row r="179">
          <cell r="M179">
            <v>0</v>
          </cell>
        </row>
        <row r="180">
          <cell r="M180">
            <v>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6">
          <cell r="M186">
            <v>0</v>
          </cell>
        </row>
        <row r="187">
          <cell r="M187">
            <v>0</v>
          </cell>
        </row>
        <row r="188">
          <cell r="M188">
            <v>0</v>
          </cell>
        </row>
        <row r="189">
          <cell r="M189">
            <v>0</v>
          </cell>
        </row>
        <row r="190">
          <cell r="M190">
            <v>0</v>
          </cell>
        </row>
        <row r="191">
          <cell r="M191">
            <v>8</v>
          </cell>
        </row>
        <row r="192">
          <cell r="M192">
            <v>0</v>
          </cell>
        </row>
        <row r="193">
          <cell r="M193">
            <v>0</v>
          </cell>
        </row>
        <row r="194">
          <cell r="M194">
            <v>8</v>
          </cell>
        </row>
        <row r="195">
          <cell r="M195">
            <v>0</v>
          </cell>
        </row>
        <row r="196">
          <cell r="M196">
            <v>0</v>
          </cell>
        </row>
        <row r="197">
          <cell r="M197">
            <v>3</v>
          </cell>
        </row>
        <row r="199">
          <cell r="M199">
            <v>0</v>
          </cell>
        </row>
        <row r="202">
          <cell r="M202">
            <v>0</v>
          </cell>
        </row>
        <row r="203">
          <cell r="M203">
            <v>0</v>
          </cell>
        </row>
        <row r="204">
          <cell r="M204">
            <v>0</v>
          </cell>
        </row>
        <row r="205">
          <cell r="M205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8">
          <cell r="M238">
            <v>0</v>
          </cell>
        </row>
        <row r="239">
          <cell r="M239">
            <v>10</v>
          </cell>
        </row>
        <row r="240">
          <cell r="M240">
            <v>0</v>
          </cell>
        </row>
        <row r="241">
          <cell r="M241">
            <v>0</v>
          </cell>
        </row>
        <row r="242">
          <cell r="M242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8">
          <cell r="M248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70">
          <cell r="M270">
            <v>0</v>
          </cell>
        </row>
        <row r="271">
          <cell r="M271">
            <v>0</v>
          </cell>
        </row>
        <row r="272">
          <cell r="M272">
            <v>10</v>
          </cell>
        </row>
        <row r="273">
          <cell r="M273">
            <v>0</v>
          </cell>
        </row>
        <row r="274">
          <cell r="M274">
            <v>0</v>
          </cell>
        </row>
        <row r="275">
          <cell r="M275">
            <v>10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3">
          <cell r="M293">
            <v>0</v>
          </cell>
        </row>
        <row r="294">
          <cell r="M294">
            <v>0</v>
          </cell>
        </row>
        <row r="295">
          <cell r="M295">
            <v>0</v>
          </cell>
        </row>
        <row r="296">
          <cell r="M296">
            <v>10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2">
          <cell r="M302">
            <v>0</v>
          </cell>
        </row>
        <row r="303">
          <cell r="M303">
            <v>0</v>
          </cell>
        </row>
        <row r="304">
          <cell r="M304">
            <v>0</v>
          </cell>
        </row>
        <row r="305">
          <cell r="M305">
            <v>0</v>
          </cell>
        </row>
        <row r="306">
          <cell r="M306">
            <v>0</v>
          </cell>
        </row>
        <row r="307">
          <cell r="M307">
            <v>0</v>
          </cell>
        </row>
        <row r="308">
          <cell r="M308">
            <v>10</v>
          </cell>
        </row>
        <row r="309">
          <cell r="M309">
            <v>0</v>
          </cell>
        </row>
        <row r="310">
          <cell r="M310">
            <v>0</v>
          </cell>
        </row>
        <row r="311">
          <cell r="M311">
            <v>10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10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7">
          <cell r="M387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3">
          <cell r="M393">
            <v>14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1"/>
      <sheetData sheetId="2"/>
      <sheetData sheetId="3">
        <row r="3">
          <cell r="P3" t="str">
            <v>Day-6 28/08/07</v>
          </cell>
        </row>
        <row r="8">
          <cell r="S8">
            <v>460</v>
          </cell>
        </row>
        <row r="9">
          <cell r="S9">
            <v>430</v>
          </cell>
        </row>
        <row r="10">
          <cell r="S10">
            <v>462</v>
          </cell>
        </row>
        <row r="13">
          <cell r="S13">
            <v>120</v>
          </cell>
        </row>
        <row r="31">
          <cell r="S31">
            <v>0</v>
          </cell>
        </row>
        <row r="61">
          <cell r="S61">
            <v>95</v>
          </cell>
        </row>
        <row r="62">
          <cell r="S62">
            <v>0</v>
          </cell>
        </row>
        <row r="67">
          <cell r="S67">
            <v>130</v>
          </cell>
        </row>
        <row r="83">
          <cell r="S83">
            <v>10</v>
          </cell>
        </row>
        <row r="84">
          <cell r="S84">
            <v>0</v>
          </cell>
        </row>
        <row r="93">
          <cell r="S93">
            <v>1707</v>
          </cell>
        </row>
        <row r="97">
          <cell r="S97">
            <v>102</v>
          </cell>
        </row>
        <row r="100">
          <cell r="S100">
            <v>93</v>
          </cell>
        </row>
        <row r="105">
          <cell r="S105">
            <v>135</v>
          </cell>
        </row>
        <row r="121">
          <cell r="S121">
            <v>58</v>
          </cell>
        </row>
        <row r="122">
          <cell r="S122">
            <v>0</v>
          </cell>
        </row>
        <row r="132">
          <cell r="S132">
            <v>0</v>
          </cell>
        </row>
        <row r="133">
          <cell r="S133">
            <v>0</v>
          </cell>
        </row>
        <row r="134">
          <cell r="S134">
            <v>0</v>
          </cell>
        </row>
        <row r="135">
          <cell r="S135">
            <v>0</v>
          </cell>
        </row>
        <row r="136">
          <cell r="S136">
            <v>0</v>
          </cell>
        </row>
        <row r="137">
          <cell r="S137">
            <v>0</v>
          </cell>
        </row>
        <row r="138">
          <cell r="S138">
            <v>0</v>
          </cell>
        </row>
        <row r="139">
          <cell r="S139">
            <v>0</v>
          </cell>
        </row>
        <row r="140">
          <cell r="S140">
            <v>0</v>
          </cell>
        </row>
        <row r="141">
          <cell r="S141">
            <v>0</v>
          </cell>
        </row>
        <row r="143">
          <cell r="S143">
            <v>388</v>
          </cell>
        </row>
      </sheetData>
      <sheetData sheetId="4"/>
      <sheetData sheetId="5"/>
      <sheetData sheetId="6">
        <row r="9">
          <cell r="O9">
            <v>0</v>
          </cell>
        </row>
        <row r="10">
          <cell r="O10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1690</v>
          </cell>
        </row>
        <row r="21">
          <cell r="O21">
            <v>160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M62">
            <v>0</v>
          </cell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4.4640000000000004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24</v>
          </cell>
        </row>
        <row r="86">
          <cell r="O86">
            <v>4.056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3.6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</sheetData>
      <sheetData sheetId="7"/>
      <sheetData sheetId="8"/>
      <sheetData sheetId="9"/>
      <sheetData sheetId="10"/>
      <sheetData sheetId="11">
        <row r="11">
          <cell r="F11">
            <v>0</v>
          </cell>
        </row>
        <row r="12">
          <cell r="F12">
            <v>0</v>
          </cell>
        </row>
        <row r="14">
          <cell r="F14">
            <v>0</v>
          </cell>
        </row>
        <row r="16">
          <cell r="F16">
            <v>0</v>
          </cell>
        </row>
      </sheetData>
      <sheetData sheetId="12">
        <row r="20">
          <cell r="F20">
            <v>0</v>
          </cell>
        </row>
      </sheetData>
      <sheetData sheetId="13"/>
      <sheetData sheetId="14"/>
      <sheetData sheetId="1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2"/>
      <sheetName val="Chart1"/>
      <sheetName val="D M S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4"/>
      <sheetName val="Sheet2"/>
    </sheetNames>
    <sheetDataSet>
      <sheetData sheetId="0"/>
      <sheetData sheetId="1"/>
      <sheetData sheetId="2">
        <row r="5">
          <cell r="L5" t="str">
            <v>Tursday</v>
          </cell>
          <cell r="M5" t="str">
            <v>Day-7 29/08/07</v>
          </cell>
        </row>
        <row r="7">
          <cell r="M7">
            <v>11</v>
          </cell>
        </row>
        <row r="8">
          <cell r="M8">
            <v>9</v>
          </cell>
        </row>
        <row r="9">
          <cell r="M9">
            <v>0</v>
          </cell>
        </row>
        <row r="10">
          <cell r="M10">
            <v>12.33</v>
          </cell>
        </row>
        <row r="11">
          <cell r="M11">
            <v>0.17</v>
          </cell>
        </row>
        <row r="12">
          <cell r="M12">
            <v>0</v>
          </cell>
        </row>
        <row r="13">
          <cell r="M13">
            <v>11.5</v>
          </cell>
        </row>
        <row r="14">
          <cell r="M14">
            <v>8.5</v>
          </cell>
        </row>
        <row r="15">
          <cell r="M15">
            <v>0</v>
          </cell>
        </row>
        <row r="16">
          <cell r="M16">
            <v>0</v>
          </cell>
        </row>
        <row r="17">
          <cell r="M17">
            <v>0</v>
          </cell>
        </row>
        <row r="18">
          <cell r="M18">
            <v>9.6300000000000008</v>
          </cell>
        </row>
        <row r="19">
          <cell r="M19">
            <v>0</v>
          </cell>
        </row>
        <row r="20">
          <cell r="M20">
            <v>0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0">
          <cell r="M30">
            <v>0</v>
          </cell>
        </row>
        <row r="31">
          <cell r="M31">
            <v>0</v>
          </cell>
        </row>
        <row r="32">
          <cell r="M32">
            <v>3.08</v>
          </cell>
        </row>
        <row r="33">
          <cell r="M33">
            <v>4.92</v>
          </cell>
        </row>
        <row r="34">
          <cell r="M34">
            <v>0</v>
          </cell>
        </row>
        <row r="35">
          <cell r="M35">
            <v>2</v>
          </cell>
        </row>
        <row r="36">
          <cell r="M36">
            <v>6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10.199999999999999</v>
          </cell>
        </row>
        <row r="43">
          <cell r="M43">
            <v>0</v>
          </cell>
        </row>
        <row r="44">
          <cell r="M44">
            <v>0</v>
          </cell>
        </row>
        <row r="45">
          <cell r="M45">
            <v>0.5</v>
          </cell>
        </row>
        <row r="46">
          <cell r="M46">
            <v>9.5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10</v>
          </cell>
        </row>
        <row r="50">
          <cell r="M50">
            <v>0</v>
          </cell>
        </row>
        <row r="51">
          <cell r="M51">
            <v>0</v>
          </cell>
        </row>
        <row r="52">
          <cell r="M52">
            <v>0</v>
          </cell>
        </row>
        <row r="53">
          <cell r="M53">
            <v>0</v>
          </cell>
        </row>
        <row r="54">
          <cell r="M54">
            <v>0</v>
          </cell>
        </row>
        <row r="55">
          <cell r="M55">
            <v>9.1</v>
          </cell>
        </row>
        <row r="56">
          <cell r="M56">
            <v>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1">
          <cell r="M61">
            <v>0</v>
          </cell>
        </row>
        <row r="62">
          <cell r="M62">
            <v>7</v>
          </cell>
        </row>
        <row r="63">
          <cell r="M63">
            <v>3</v>
          </cell>
        </row>
        <row r="64">
          <cell r="M64">
            <v>0</v>
          </cell>
        </row>
        <row r="69">
          <cell r="M69">
            <v>0</v>
          </cell>
        </row>
        <row r="70">
          <cell r="M70">
            <v>0</v>
          </cell>
        </row>
        <row r="71">
          <cell r="M71">
            <v>0</v>
          </cell>
        </row>
        <row r="72">
          <cell r="M72">
            <v>0</v>
          </cell>
        </row>
        <row r="73">
          <cell r="M73">
            <v>0</v>
          </cell>
        </row>
        <row r="74">
          <cell r="M74">
            <v>0</v>
          </cell>
        </row>
        <row r="75">
          <cell r="M75">
            <v>0</v>
          </cell>
        </row>
        <row r="76">
          <cell r="M76">
            <v>0</v>
          </cell>
        </row>
        <row r="77">
          <cell r="M77">
            <v>0</v>
          </cell>
        </row>
        <row r="78">
          <cell r="M78">
            <v>0</v>
          </cell>
        </row>
        <row r="79">
          <cell r="M79">
            <v>0</v>
          </cell>
        </row>
        <row r="80">
          <cell r="M80">
            <v>0</v>
          </cell>
        </row>
        <row r="81">
          <cell r="M81">
            <v>0</v>
          </cell>
        </row>
        <row r="82">
          <cell r="M82">
            <v>0</v>
          </cell>
        </row>
        <row r="83">
          <cell r="M83">
            <v>0</v>
          </cell>
        </row>
        <row r="107">
          <cell r="M107">
            <v>0</v>
          </cell>
        </row>
        <row r="108">
          <cell r="M108">
            <v>0</v>
          </cell>
        </row>
        <row r="109">
          <cell r="M109">
            <v>0</v>
          </cell>
        </row>
        <row r="110">
          <cell r="M110">
            <v>0</v>
          </cell>
        </row>
        <row r="111">
          <cell r="M111">
            <v>0</v>
          </cell>
        </row>
        <row r="112">
          <cell r="M112">
            <v>0</v>
          </cell>
        </row>
        <row r="113">
          <cell r="M113">
            <v>0</v>
          </cell>
        </row>
        <row r="114">
          <cell r="M114">
            <v>0</v>
          </cell>
        </row>
        <row r="115">
          <cell r="M115">
            <v>0</v>
          </cell>
        </row>
        <row r="116">
          <cell r="M116">
            <v>0</v>
          </cell>
        </row>
        <row r="117">
          <cell r="M117">
            <v>0</v>
          </cell>
        </row>
        <row r="118">
          <cell r="M118">
            <v>0</v>
          </cell>
        </row>
        <row r="119">
          <cell r="M119">
            <v>0</v>
          </cell>
        </row>
        <row r="120">
          <cell r="M120">
            <v>0</v>
          </cell>
        </row>
        <row r="121">
          <cell r="M121">
            <v>0</v>
          </cell>
        </row>
        <row r="122">
          <cell r="M122">
            <v>0</v>
          </cell>
        </row>
        <row r="123">
          <cell r="M123">
            <v>0</v>
          </cell>
        </row>
        <row r="124">
          <cell r="M124">
            <v>0</v>
          </cell>
        </row>
        <row r="129">
          <cell r="M129">
            <v>10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4">
          <cell r="M134">
            <v>8</v>
          </cell>
        </row>
        <row r="135">
          <cell r="M135">
            <v>10</v>
          </cell>
        </row>
        <row r="136">
          <cell r="M136">
            <v>0</v>
          </cell>
        </row>
        <row r="137">
          <cell r="M137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41">
          <cell r="M141">
            <v>9.92</v>
          </cell>
        </row>
        <row r="142">
          <cell r="M142">
            <v>0.1</v>
          </cell>
        </row>
        <row r="143">
          <cell r="M143">
            <v>0</v>
          </cell>
        </row>
        <row r="144">
          <cell r="M144">
            <v>9.83</v>
          </cell>
        </row>
        <row r="145">
          <cell r="M145">
            <v>0</v>
          </cell>
        </row>
        <row r="146">
          <cell r="M146">
            <v>0</v>
          </cell>
        </row>
        <row r="147">
          <cell r="M147">
            <v>10</v>
          </cell>
        </row>
        <row r="148">
          <cell r="M148">
            <v>0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8.89</v>
          </cell>
        </row>
        <row r="154">
          <cell r="M154">
            <v>0.96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8.48</v>
          </cell>
        </row>
        <row r="160">
          <cell r="M160">
            <v>1.37</v>
          </cell>
        </row>
        <row r="161">
          <cell r="M161">
            <v>0</v>
          </cell>
        </row>
        <row r="162">
          <cell r="M162">
            <v>10</v>
          </cell>
        </row>
        <row r="163">
          <cell r="M163">
            <v>0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8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9.17</v>
          </cell>
        </row>
        <row r="175">
          <cell r="M175">
            <v>0</v>
          </cell>
        </row>
        <row r="176">
          <cell r="M176">
            <v>0</v>
          </cell>
        </row>
        <row r="177">
          <cell r="M177">
            <v>10</v>
          </cell>
        </row>
        <row r="178">
          <cell r="M178">
            <v>0</v>
          </cell>
        </row>
        <row r="179">
          <cell r="M179">
            <v>0</v>
          </cell>
        </row>
        <row r="180">
          <cell r="M180">
            <v>10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6">
          <cell r="M186">
            <v>10</v>
          </cell>
        </row>
        <row r="187">
          <cell r="M187">
            <v>0</v>
          </cell>
        </row>
        <row r="188">
          <cell r="M188">
            <v>0</v>
          </cell>
        </row>
        <row r="189">
          <cell r="M189">
            <v>0</v>
          </cell>
        </row>
        <row r="190">
          <cell r="M190">
            <v>8</v>
          </cell>
        </row>
        <row r="191">
          <cell r="M191">
            <v>0</v>
          </cell>
        </row>
        <row r="192">
          <cell r="M192">
            <v>0</v>
          </cell>
        </row>
        <row r="193">
          <cell r="M193">
            <v>6</v>
          </cell>
        </row>
        <row r="194">
          <cell r="M194">
            <v>0</v>
          </cell>
        </row>
        <row r="195">
          <cell r="M195">
            <v>0</v>
          </cell>
        </row>
        <row r="196">
          <cell r="M196">
            <v>6</v>
          </cell>
        </row>
        <row r="197">
          <cell r="M197">
            <v>0</v>
          </cell>
        </row>
        <row r="198">
          <cell r="M198">
            <v>0</v>
          </cell>
        </row>
        <row r="199">
          <cell r="M199">
            <v>8</v>
          </cell>
        </row>
        <row r="202">
          <cell r="M202">
            <v>8</v>
          </cell>
        </row>
        <row r="203">
          <cell r="M203">
            <v>0</v>
          </cell>
        </row>
        <row r="204">
          <cell r="M204">
            <v>0</v>
          </cell>
        </row>
        <row r="205">
          <cell r="M205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8">
          <cell r="M238">
            <v>0</v>
          </cell>
        </row>
        <row r="239">
          <cell r="M239">
            <v>10</v>
          </cell>
        </row>
        <row r="240">
          <cell r="M240">
            <v>0</v>
          </cell>
        </row>
        <row r="241">
          <cell r="M241">
            <v>0</v>
          </cell>
        </row>
        <row r="242">
          <cell r="M242">
            <v>0</v>
          </cell>
        </row>
        <row r="243">
          <cell r="M243">
            <v>0</v>
          </cell>
        </row>
        <row r="244">
          <cell r="M244">
            <v>0</v>
          </cell>
        </row>
        <row r="245">
          <cell r="M245">
            <v>0</v>
          </cell>
        </row>
        <row r="246">
          <cell r="M246">
            <v>0</v>
          </cell>
        </row>
        <row r="247">
          <cell r="M247">
            <v>0</v>
          </cell>
        </row>
        <row r="248">
          <cell r="M248">
            <v>0</v>
          </cell>
        </row>
        <row r="249">
          <cell r="M249">
            <v>0</v>
          </cell>
        </row>
        <row r="250">
          <cell r="M250">
            <v>0</v>
          </cell>
        </row>
        <row r="251">
          <cell r="M251">
            <v>0</v>
          </cell>
        </row>
        <row r="252">
          <cell r="M252">
            <v>0</v>
          </cell>
        </row>
        <row r="253">
          <cell r="M253">
            <v>0</v>
          </cell>
        </row>
        <row r="254">
          <cell r="M254">
            <v>0</v>
          </cell>
        </row>
        <row r="255">
          <cell r="M255">
            <v>0</v>
          </cell>
        </row>
        <row r="256">
          <cell r="M256">
            <v>0</v>
          </cell>
        </row>
        <row r="257">
          <cell r="M257">
            <v>0</v>
          </cell>
        </row>
        <row r="258">
          <cell r="M258">
            <v>0</v>
          </cell>
        </row>
        <row r="259">
          <cell r="M259">
            <v>0</v>
          </cell>
        </row>
        <row r="260">
          <cell r="M260">
            <v>0</v>
          </cell>
        </row>
        <row r="261">
          <cell r="M261">
            <v>0</v>
          </cell>
        </row>
        <row r="262">
          <cell r="M262">
            <v>0</v>
          </cell>
        </row>
        <row r="263">
          <cell r="M263">
            <v>0</v>
          </cell>
        </row>
        <row r="264">
          <cell r="M264">
            <v>0</v>
          </cell>
        </row>
        <row r="265">
          <cell r="M265">
            <v>0</v>
          </cell>
        </row>
        <row r="266">
          <cell r="M266">
            <v>0</v>
          </cell>
        </row>
        <row r="267">
          <cell r="M267">
            <v>0</v>
          </cell>
        </row>
        <row r="268">
          <cell r="M268">
            <v>0</v>
          </cell>
        </row>
        <row r="269">
          <cell r="M269">
            <v>0</v>
          </cell>
        </row>
        <row r="270">
          <cell r="M270">
            <v>0</v>
          </cell>
        </row>
        <row r="271">
          <cell r="M271">
            <v>0</v>
          </cell>
        </row>
        <row r="272">
          <cell r="M272">
            <v>10</v>
          </cell>
        </row>
        <row r="273">
          <cell r="M273">
            <v>0</v>
          </cell>
        </row>
        <row r="274">
          <cell r="M274">
            <v>0</v>
          </cell>
        </row>
        <row r="275">
          <cell r="M275">
            <v>10</v>
          </cell>
        </row>
        <row r="276">
          <cell r="M276">
            <v>0</v>
          </cell>
        </row>
        <row r="277">
          <cell r="M277">
            <v>0</v>
          </cell>
        </row>
        <row r="278">
          <cell r="M278">
            <v>0</v>
          </cell>
        </row>
        <row r="279">
          <cell r="M279">
            <v>0</v>
          </cell>
        </row>
        <row r="280">
          <cell r="M280">
            <v>0</v>
          </cell>
        </row>
        <row r="281">
          <cell r="M281">
            <v>0</v>
          </cell>
        </row>
        <row r="282">
          <cell r="M282">
            <v>0</v>
          </cell>
        </row>
        <row r="283">
          <cell r="M283">
            <v>0</v>
          </cell>
        </row>
        <row r="284">
          <cell r="M284">
            <v>0</v>
          </cell>
        </row>
        <row r="285">
          <cell r="M285">
            <v>0</v>
          </cell>
        </row>
        <row r="286">
          <cell r="M286">
            <v>0</v>
          </cell>
        </row>
        <row r="287">
          <cell r="M287">
            <v>0</v>
          </cell>
        </row>
        <row r="288">
          <cell r="M288">
            <v>0</v>
          </cell>
        </row>
        <row r="289">
          <cell r="M289">
            <v>0</v>
          </cell>
        </row>
        <row r="290">
          <cell r="M290">
            <v>0</v>
          </cell>
        </row>
        <row r="291">
          <cell r="M291">
            <v>0</v>
          </cell>
        </row>
        <row r="292">
          <cell r="M292">
            <v>0</v>
          </cell>
        </row>
        <row r="293">
          <cell r="M293">
            <v>0</v>
          </cell>
        </row>
        <row r="294">
          <cell r="M294">
            <v>0</v>
          </cell>
        </row>
        <row r="295">
          <cell r="M295">
            <v>0</v>
          </cell>
        </row>
        <row r="296">
          <cell r="M296">
            <v>10</v>
          </cell>
        </row>
        <row r="297">
          <cell r="M297">
            <v>0</v>
          </cell>
        </row>
        <row r="298">
          <cell r="M298">
            <v>0</v>
          </cell>
        </row>
        <row r="299">
          <cell r="M299">
            <v>0</v>
          </cell>
        </row>
        <row r="300">
          <cell r="M300">
            <v>0</v>
          </cell>
        </row>
        <row r="301">
          <cell r="M301">
            <v>0</v>
          </cell>
        </row>
        <row r="302">
          <cell r="M302">
            <v>0</v>
          </cell>
        </row>
        <row r="303">
          <cell r="M303">
            <v>0</v>
          </cell>
        </row>
        <row r="304">
          <cell r="M304">
            <v>0</v>
          </cell>
        </row>
        <row r="305">
          <cell r="M305">
            <v>0</v>
          </cell>
        </row>
        <row r="306">
          <cell r="M306">
            <v>0</v>
          </cell>
        </row>
        <row r="307">
          <cell r="M307">
            <v>0</v>
          </cell>
        </row>
        <row r="308">
          <cell r="M308">
            <v>10</v>
          </cell>
        </row>
        <row r="309">
          <cell r="M309">
            <v>0</v>
          </cell>
        </row>
        <row r="310">
          <cell r="M310">
            <v>0</v>
          </cell>
        </row>
        <row r="311">
          <cell r="M311">
            <v>10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10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0</v>
          </cell>
        </row>
        <row r="319">
          <cell r="M319">
            <v>0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0</v>
          </cell>
        </row>
        <row r="329">
          <cell r="M329">
            <v>0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38">
          <cell r="M338">
            <v>0</v>
          </cell>
        </row>
        <row r="339">
          <cell r="M339">
            <v>0</v>
          </cell>
        </row>
        <row r="340">
          <cell r="M340">
            <v>0</v>
          </cell>
        </row>
        <row r="341">
          <cell r="M341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0</v>
          </cell>
        </row>
        <row r="347">
          <cell r="M347">
            <v>0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  <row r="354">
          <cell r="M354">
            <v>0</v>
          </cell>
        </row>
        <row r="355">
          <cell r="M355">
            <v>0</v>
          </cell>
        </row>
        <row r="356">
          <cell r="M356">
            <v>0</v>
          </cell>
        </row>
        <row r="357">
          <cell r="M357">
            <v>0</v>
          </cell>
        </row>
        <row r="358">
          <cell r="M358">
            <v>0</v>
          </cell>
        </row>
        <row r="359">
          <cell r="M359">
            <v>0</v>
          </cell>
        </row>
        <row r="360">
          <cell r="M360">
            <v>0</v>
          </cell>
        </row>
        <row r="361">
          <cell r="M361">
            <v>0</v>
          </cell>
        </row>
        <row r="362">
          <cell r="M362">
            <v>0</v>
          </cell>
        </row>
        <row r="363">
          <cell r="M363">
            <v>0</v>
          </cell>
        </row>
        <row r="364">
          <cell r="M364">
            <v>0</v>
          </cell>
        </row>
        <row r="365">
          <cell r="M365">
            <v>0</v>
          </cell>
        </row>
        <row r="366">
          <cell r="M366">
            <v>0</v>
          </cell>
        </row>
        <row r="367">
          <cell r="M367">
            <v>0</v>
          </cell>
        </row>
        <row r="368">
          <cell r="M368">
            <v>0</v>
          </cell>
        </row>
        <row r="369">
          <cell r="M369">
            <v>0</v>
          </cell>
        </row>
        <row r="370">
          <cell r="M370">
            <v>0</v>
          </cell>
        </row>
        <row r="371">
          <cell r="M371">
            <v>0</v>
          </cell>
        </row>
        <row r="372">
          <cell r="M372">
            <v>0</v>
          </cell>
        </row>
        <row r="373">
          <cell r="M373">
            <v>0</v>
          </cell>
        </row>
        <row r="374">
          <cell r="M374">
            <v>0</v>
          </cell>
        </row>
        <row r="375">
          <cell r="M375">
            <v>0</v>
          </cell>
        </row>
        <row r="376">
          <cell r="M376">
            <v>0</v>
          </cell>
        </row>
        <row r="377">
          <cell r="M377">
            <v>0</v>
          </cell>
        </row>
        <row r="378">
          <cell r="M378">
            <v>0</v>
          </cell>
        </row>
        <row r="379">
          <cell r="M379">
            <v>0</v>
          </cell>
        </row>
        <row r="380">
          <cell r="M380">
            <v>0</v>
          </cell>
        </row>
        <row r="381">
          <cell r="M381">
            <v>0</v>
          </cell>
        </row>
        <row r="382">
          <cell r="M382">
            <v>0</v>
          </cell>
        </row>
        <row r="387">
          <cell r="M387">
            <v>0</v>
          </cell>
        </row>
        <row r="388">
          <cell r="M388">
            <v>0</v>
          </cell>
        </row>
        <row r="389">
          <cell r="M389">
            <v>0</v>
          </cell>
        </row>
        <row r="390">
          <cell r="M390">
            <v>0</v>
          </cell>
        </row>
        <row r="391">
          <cell r="M391">
            <v>0</v>
          </cell>
        </row>
        <row r="392">
          <cell r="M392">
            <v>0</v>
          </cell>
        </row>
        <row r="393">
          <cell r="M393">
            <v>14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  <row r="399">
          <cell r="M399">
            <v>0</v>
          </cell>
        </row>
        <row r="400">
          <cell r="M400">
            <v>0</v>
          </cell>
        </row>
        <row r="401">
          <cell r="M401">
            <v>0</v>
          </cell>
        </row>
        <row r="402">
          <cell r="M402">
            <v>0</v>
          </cell>
        </row>
        <row r="403">
          <cell r="M403">
            <v>0</v>
          </cell>
        </row>
        <row r="404">
          <cell r="M404">
            <v>0</v>
          </cell>
        </row>
        <row r="405">
          <cell r="M405">
            <v>0</v>
          </cell>
        </row>
        <row r="406">
          <cell r="M406">
            <v>0</v>
          </cell>
        </row>
        <row r="407">
          <cell r="M407">
            <v>0</v>
          </cell>
        </row>
        <row r="408">
          <cell r="M408">
            <v>0</v>
          </cell>
        </row>
        <row r="409">
          <cell r="M409">
            <v>0</v>
          </cell>
        </row>
        <row r="412">
          <cell r="M412">
            <v>0</v>
          </cell>
        </row>
        <row r="413">
          <cell r="M413">
            <v>0</v>
          </cell>
        </row>
        <row r="414">
          <cell r="M414">
            <v>0</v>
          </cell>
        </row>
        <row r="415">
          <cell r="M415">
            <v>0</v>
          </cell>
        </row>
        <row r="416">
          <cell r="M416">
            <v>0</v>
          </cell>
        </row>
        <row r="417">
          <cell r="M417">
            <v>0</v>
          </cell>
        </row>
        <row r="418">
          <cell r="M418">
            <v>0</v>
          </cell>
        </row>
        <row r="419">
          <cell r="M419">
            <v>0</v>
          </cell>
        </row>
        <row r="420">
          <cell r="M420">
            <v>0</v>
          </cell>
        </row>
        <row r="422">
          <cell r="M422">
            <v>0</v>
          </cell>
        </row>
        <row r="423">
          <cell r="M423">
            <v>0</v>
          </cell>
        </row>
        <row r="424">
          <cell r="M424">
            <v>0</v>
          </cell>
        </row>
        <row r="425">
          <cell r="M425">
            <v>0</v>
          </cell>
        </row>
        <row r="426">
          <cell r="M426">
            <v>0</v>
          </cell>
        </row>
      </sheetData>
      <sheetData sheetId="3">
        <row r="3">
          <cell r="P3" t="str">
            <v>Day-7 29/08/07</v>
          </cell>
        </row>
        <row r="8">
          <cell r="S8">
            <v>1000</v>
          </cell>
        </row>
        <row r="9">
          <cell r="S9">
            <v>221</v>
          </cell>
        </row>
        <row r="10">
          <cell r="S10">
            <v>983</v>
          </cell>
        </row>
        <row r="13">
          <cell r="S13">
            <v>133</v>
          </cell>
        </row>
        <row r="83">
          <cell r="S83">
            <v>10</v>
          </cell>
        </row>
        <row r="84">
          <cell r="S84">
            <v>0</v>
          </cell>
        </row>
        <row r="93">
          <cell r="S93">
            <v>2347</v>
          </cell>
        </row>
        <row r="95">
          <cell r="S95">
            <v>96</v>
          </cell>
        </row>
        <row r="99">
          <cell r="S99">
            <v>103</v>
          </cell>
        </row>
        <row r="120">
          <cell r="S120">
            <v>49</v>
          </cell>
        </row>
        <row r="126">
          <cell r="S126">
            <v>49</v>
          </cell>
        </row>
        <row r="129">
          <cell r="S129">
            <v>0</v>
          </cell>
        </row>
        <row r="130">
          <cell r="S130">
            <v>58</v>
          </cell>
        </row>
        <row r="131">
          <cell r="S131">
            <v>71</v>
          </cell>
        </row>
        <row r="132">
          <cell r="S132">
            <v>0</v>
          </cell>
        </row>
        <row r="133">
          <cell r="S133">
            <v>0</v>
          </cell>
        </row>
        <row r="134">
          <cell r="S134">
            <v>0</v>
          </cell>
        </row>
        <row r="135">
          <cell r="S135">
            <v>0</v>
          </cell>
        </row>
        <row r="136">
          <cell r="S136">
            <v>0</v>
          </cell>
        </row>
        <row r="137">
          <cell r="S137">
            <v>0</v>
          </cell>
        </row>
        <row r="138">
          <cell r="S138">
            <v>0</v>
          </cell>
        </row>
        <row r="139">
          <cell r="S139">
            <v>0</v>
          </cell>
        </row>
        <row r="140">
          <cell r="S140">
            <v>0</v>
          </cell>
        </row>
        <row r="141">
          <cell r="S141">
            <v>0</v>
          </cell>
        </row>
        <row r="143">
          <cell r="S143">
            <v>426</v>
          </cell>
        </row>
      </sheetData>
      <sheetData sheetId="4"/>
      <sheetData sheetId="5"/>
      <sheetData sheetId="6">
        <row r="9">
          <cell r="O9">
            <v>0</v>
          </cell>
        </row>
        <row r="10">
          <cell r="O10">
            <v>0</v>
          </cell>
        </row>
        <row r="11">
          <cell r="L11">
            <v>125</v>
          </cell>
        </row>
        <row r="12">
          <cell r="O12">
            <v>458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400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1585</v>
          </cell>
        </row>
        <row r="21">
          <cell r="O21">
            <v>100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18.36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5.5</v>
          </cell>
        </row>
        <row r="39">
          <cell r="O39">
            <v>57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78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1.56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M62">
            <v>0</v>
          </cell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375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7.68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5.6400000000000006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4.62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1.8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372</v>
          </cell>
        </row>
        <row r="121">
          <cell r="O121">
            <v>0</v>
          </cell>
        </row>
        <row r="122">
          <cell r="O122">
            <v>216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12</v>
          </cell>
        </row>
        <row r="138">
          <cell r="O138">
            <v>0</v>
          </cell>
        </row>
        <row r="139">
          <cell r="O139">
            <v>12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</sheetData>
      <sheetData sheetId="7"/>
      <sheetData sheetId="8"/>
      <sheetData sheetId="9"/>
      <sheetData sheetId="10"/>
      <sheetData sheetId="11">
        <row r="11">
          <cell r="F11">
            <v>0</v>
          </cell>
        </row>
        <row r="12">
          <cell r="E12">
            <v>70</v>
          </cell>
          <cell r="F12">
            <v>5.5</v>
          </cell>
        </row>
        <row r="14">
          <cell r="F14">
            <v>0</v>
          </cell>
        </row>
        <row r="16">
          <cell r="E16">
            <v>60</v>
          </cell>
          <cell r="F16">
            <v>57</v>
          </cell>
        </row>
      </sheetData>
      <sheetData sheetId="12">
        <row r="11">
          <cell r="F11">
            <v>8</v>
          </cell>
        </row>
        <row r="12">
          <cell r="D12">
            <v>1.56</v>
          </cell>
          <cell r="F12">
            <v>3.5</v>
          </cell>
        </row>
        <row r="13">
          <cell r="F13">
            <v>0</v>
          </cell>
        </row>
        <row r="20">
          <cell r="F20">
            <v>11.5</v>
          </cell>
        </row>
      </sheetData>
      <sheetData sheetId="13"/>
      <sheetData sheetId="14"/>
      <sheetData sheetId="15"/>
      <sheetData sheetId="1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 "/>
      <sheetName val="Summary"/>
      <sheetName val="summery(new)2"/>
      <sheetName val="weekly ms"/>
      <sheetName val="EquI.Eva(new)2"/>
      <sheetName val="Lab. Evalu."/>
      <sheetName val="Cons.Mat.Evalu."/>
    </sheetNames>
    <sheetDataSet>
      <sheetData sheetId="0">
        <row r="5">
          <cell r="M5" t="str">
            <v>Day-1    23/08/07</v>
          </cell>
        </row>
        <row r="7">
          <cell r="M7">
            <v>17.329999999999998</v>
          </cell>
        </row>
        <row r="8">
          <cell r="M8">
            <v>0.33</v>
          </cell>
        </row>
        <row r="9">
          <cell r="M9">
            <v>0</v>
          </cell>
        </row>
        <row r="10">
          <cell r="M10">
            <v>10.83</v>
          </cell>
        </row>
        <row r="11">
          <cell r="M11">
            <v>0.17</v>
          </cell>
        </row>
        <row r="12">
          <cell r="M12">
            <v>0</v>
          </cell>
        </row>
        <row r="13">
          <cell r="M13">
            <v>18</v>
          </cell>
        </row>
        <row r="14">
          <cell r="M14">
            <v>0.5</v>
          </cell>
        </row>
        <row r="15">
          <cell r="M15">
            <v>0</v>
          </cell>
        </row>
        <row r="18">
          <cell r="M18">
            <v>7.5</v>
          </cell>
        </row>
        <row r="19">
          <cell r="M19">
            <v>2.5</v>
          </cell>
        </row>
        <row r="20">
          <cell r="M20">
            <v>0</v>
          </cell>
        </row>
        <row r="32">
          <cell r="M32">
            <v>3.42</v>
          </cell>
        </row>
        <row r="33">
          <cell r="M33">
            <v>4.58</v>
          </cell>
        </row>
        <row r="34">
          <cell r="M34">
            <v>0</v>
          </cell>
        </row>
        <row r="35">
          <cell r="M35">
            <v>2.5</v>
          </cell>
        </row>
        <row r="36">
          <cell r="M36">
            <v>5.5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9.83</v>
          </cell>
        </row>
        <row r="43">
          <cell r="M43">
            <v>0</v>
          </cell>
        </row>
        <row r="44">
          <cell r="M44">
            <v>0</v>
          </cell>
        </row>
        <row r="45">
          <cell r="M45">
            <v>0</v>
          </cell>
        </row>
        <row r="46">
          <cell r="M46">
            <v>10</v>
          </cell>
        </row>
        <row r="47">
          <cell r="M47">
            <v>0</v>
          </cell>
        </row>
        <row r="48">
          <cell r="M48">
            <v>9.6999999999999993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0</v>
          </cell>
        </row>
        <row r="52">
          <cell r="M52">
            <v>0</v>
          </cell>
        </row>
        <row r="53">
          <cell r="M53">
            <v>0</v>
          </cell>
        </row>
        <row r="55">
          <cell r="M55">
            <v>8.3000000000000007</v>
          </cell>
        </row>
        <row r="56">
          <cell r="M56">
            <v>0</v>
          </cell>
        </row>
        <row r="57">
          <cell r="M57">
            <v>0</v>
          </cell>
        </row>
        <row r="62">
          <cell r="M62">
            <v>0</v>
          </cell>
        </row>
        <row r="63">
          <cell r="M63">
            <v>10</v>
          </cell>
        </row>
        <row r="64">
          <cell r="M64">
            <v>0</v>
          </cell>
        </row>
        <row r="129">
          <cell r="M129">
            <v>10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3">
          <cell r="M133">
            <v>0</v>
          </cell>
        </row>
        <row r="134">
          <cell r="M134">
            <v>8</v>
          </cell>
        </row>
        <row r="135">
          <cell r="M135">
            <v>10</v>
          </cell>
        </row>
        <row r="136">
          <cell r="M136">
            <v>0</v>
          </cell>
        </row>
        <row r="137">
          <cell r="M137">
            <v>0</v>
          </cell>
        </row>
        <row r="141">
          <cell r="M141">
            <v>10</v>
          </cell>
        </row>
        <row r="142">
          <cell r="M142">
            <v>0</v>
          </cell>
        </row>
        <row r="143">
          <cell r="M143">
            <v>0</v>
          </cell>
        </row>
        <row r="144">
          <cell r="M144">
            <v>8.67</v>
          </cell>
        </row>
        <row r="145">
          <cell r="M145">
            <v>0.47</v>
          </cell>
        </row>
        <row r="146">
          <cell r="M146">
            <v>0</v>
          </cell>
        </row>
        <row r="147">
          <cell r="M147">
            <v>9.27</v>
          </cell>
        </row>
        <row r="148">
          <cell r="M148">
            <v>0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8.77</v>
          </cell>
        </row>
        <row r="154">
          <cell r="M154">
            <v>0.47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8.8000000000000007</v>
          </cell>
        </row>
        <row r="160">
          <cell r="M160">
            <v>1.02</v>
          </cell>
        </row>
        <row r="161">
          <cell r="M161">
            <v>0</v>
          </cell>
        </row>
        <row r="162">
          <cell r="M162">
            <v>8.5500000000000007</v>
          </cell>
        </row>
        <row r="163">
          <cell r="M163">
            <v>0.78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8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6</v>
          </cell>
        </row>
        <row r="175">
          <cell r="M175">
            <v>2</v>
          </cell>
        </row>
        <row r="176">
          <cell r="M176">
            <v>0</v>
          </cell>
        </row>
        <row r="177">
          <cell r="M177">
            <v>10</v>
          </cell>
        </row>
        <row r="180">
          <cell r="M180">
            <v>10</v>
          </cell>
        </row>
        <row r="186">
          <cell r="M186">
            <v>10</v>
          </cell>
        </row>
        <row r="190">
          <cell r="M190">
            <v>8</v>
          </cell>
        </row>
        <row r="193">
          <cell r="M193">
            <v>6</v>
          </cell>
        </row>
        <row r="194">
          <cell r="M194">
            <v>0</v>
          </cell>
        </row>
        <row r="195">
          <cell r="M195">
            <v>0</v>
          </cell>
        </row>
        <row r="196">
          <cell r="M196">
            <v>6</v>
          </cell>
        </row>
        <row r="197">
          <cell r="M197">
            <v>0</v>
          </cell>
        </row>
        <row r="199">
          <cell r="M199">
            <v>8</v>
          </cell>
        </row>
        <row r="202">
          <cell r="M202">
            <v>8</v>
          </cell>
        </row>
        <row r="205">
          <cell r="M205">
            <v>0</v>
          </cell>
        </row>
        <row r="239">
          <cell r="M239">
            <v>10</v>
          </cell>
        </row>
        <row r="272">
          <cell r="M272">
            <v>10</v>
          </cell>
        </row>
        <row r="275">
          <cell r="M275">
            <v>10</v>
          </cell>
        </row>
        <row r="293">
          <cell r="M293">
            <v>0</v>
          </cell>
        </row>
        <row r="296">
          <cell r="M296">
            <v>10</v>
          </cell>
        </row>
        <row r="308">
          <cell r="F308">
            <v>10</v>
          </cell>
        </row>
        <row r="311">
          <cell r="M311">
            <v>10</v>
          </cell>
        </row>
        <row r="312">
          <cell r="M312">
            <v>0</v>
          </cell>
        </row>
        <row r="313">
          <cell r="M313">
            <v>0</v>
          </cell>
        </row>
        <row r="387">
          <cell r="M387">
            <v>0</v>
          </cell>
        </row>
        <row r="393">
          <cell r="M393">
            <v>14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</sheetData>
      <sheetData sheetId="1" refreshError="1"/>
      <sheetData sheetId="2" refreshError="1"/>
      <sheetData sheetId="3">
        <row r="3">
          <cell r="P3" t="str">
            <v>Day-1    23/08/07</v>
          </cell>
        </row>
        <row r="8">
          <cell r="S8">
            <v>752</v>
          </cell>
        </row>
        <row r="9">
          <cell r="S9">
            <v>260</v>
          </cell>
        </row>
        <row r="10">
          <cell r="S10">
            <v>894</v>
          </cell>
        </row>
        <row r="13">
          <cell r="S13">
            <v>130</v>
          </cell>
        </row>
        <row r="21">
          <cell r="S21">
            <v>171</v>
          </cell>
        </row>
        <row r="22">
          <cell r="S22">
            <v>181</v>
          </cell>
        </row>
        <row r="23">
          <cell r="S23">
            <v>150</v>
          </cell>
        </row>
        <row r="27">
          <cell r="S27">
            <v>147</v>
          </cell>
        </row>
        <row r="65">
          <cell r="S65">
            <v>175</v>
          </cell>
        </row>
        <row r="83">
          <cell r="S83">
            <v>10</v>
          </cell>
        </row>
        <row r="84">
          <cell r="S84">
            <v>0</v>
          </cell>
        </row>
        <row r="93">
          <cell r="S93">
            <v>2870</v>
          </cell>
        </row>
        <row r="95">
          <cell r="S95">
            <v>153</v>
          </cell>
        </row>
        <row r="97">
          <cell r="S97">
            <v>230</v>
          </cell>
        </row>
        <row r="99">
          <cell r="S99">
            <v>97</v>
          </cell>
        </row>
        <row r="104">
          <cell r="S104">
            <v>216</v>
          </cell>
        </row>
        <row r="105">
          <cell r="S105">
            <v>212</v>
          </cell>
        </row>
        <row r="111">
          <cell r="S111">
            <v>200</v>
          </cell>
        </row>
        <row r="121">
          <cell r="S121">
            <v>54</v>
          </cell>
        </row>
        <row r="125">
          <cell r="S125">
            <v>0</v>
          </cell>
        </row>
        <row r="126">
          <cell r="S126">
            <v>32</v>
          </cell>
        </row>
        <row r="127">
          <cell r="S127">
            <v>0</v>
          </cell>
        </row>
        <row r="131">
          <cell r="S131">
            <v>0</v>
          </cell>
        </row>
        <row r="132">
          <cell r="S132">
            <v>0</v>
          </cell>
        </row>
        <row r="133">
          <cell r="S133">
            <v>0</v>
          </cell>
        </row>
        <row r="134">
          <cell r="S134">
            <v>0</v>
          </cell>
        </row>
        <row r="135">
          <cell r="S135">
            <v>0</v>
          </cell>
        </row>
        <row r="136">
          <cell r="S136">
            <v>0</v>
          </cell>
        </row>
        <row r="137">
          <cell r="S137">
            <v>0</v>
          </cell>
        </row>
        <row r="138">
          <cell r="S138">
            <v>0</v>
          </cell>
        </row>
        <row r="139">
          <cell r="S139">
            <v>0</v>
          </cell>
        </row>
        <row r="140">
          <cell r="S140">
            <v>0</v>
          </cell>
        </row>
        <row r="141">
          <cell r="S141">
            <v>0</v>
          </cell>
        </row>
        <row r="143">
          <cell r="S143">
            <v>1194</v>
          </cell>
        </row>
      </sheetData>
      <sheetData sheetId="4" refreshError="1"/>
      <sheetData sheetId="5" refreshError="1"/>
      <sheetData sheetId="6">
        <row r="9">
          <cell r="O9">
            <v>0</v>
          </cell>
        </row>
        <row r="10">
          <cell r="O10">
            <v>0</v>
          </cell>
        </row>
        <row r="11">
          <cell r="O11">
            <v>220</v>
          </cell>
        </row>
        <row r="12">
          <cell r="O12">
            <v>650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20">
          <cell r="O20">
            <v>2755</v>
          </cell>
        </row>
        <row r="21">
          <cell r="O21">
            <v>0</v>
          </cell>
        </row>
        <row r="22">
          <cell r="O22">
            <v>0</v>
          </cell>
        </row>
        <row r="25">
          <cell r="O25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12.05</v>
          </cell>
        </row>
        <row r="39">
          <cell r="O39">
            <v>16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79.290000000000006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5.6899999999999995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20">
          <cell r="O120">
            <v>156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12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>
        <row r="12">
          <cell r="E12">
            <v>95</v>
          </cell>
          <cell r="F12">
            <v>12.05</v>
          </cell>
        </row>
        <row r="14">
          <cell r="F14">
            <v>0</v>
          </cell>
        </row>
        <row r="16">
          <cell r="E16">
            <v>25</v>
          </cell>
          <cell r="F16">
            <v>16</v>
          </cell>
        </row>
      </sheetData>
      <sheetData sheetId="12">
        <row r="11">
          <cell r="F11">
            <v>14</v>
          </cell>
        </row>
        <row r="14">
          <cell r="F14">
            <v>5</v>
          </cell>
        </row>
        <row r="20">
          <cell r="F20">
            <v>19</v>
          </cell>
        </row>
        <row r="22">
          <cell r="D22">
            <v>76</v>
          </cell>
          <cell r="F22">
            <v>12.5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M S"/>
      <sheetName val="Chart2"/>
      <sheetName val="Chart1"/>
      <sheetName val="w Machinery Ex"/>
      <sheetName val="plan &amp; Unit price &amp; Direct cost"/>
      <sheetName val="Direct cost summary "/>
      <sheetName val="Daily Progress Report"/>
      <sheetName val="Summary"/>
      <sheetName val="summery(new)2"/>
      <sheetName val="weekly ms"/>
      <sheetName val="EquI.Eva(new)2"/>
      <sheetName val="Lab. Evalu."/>
      <sheetName val="Cons.Mat.Evalu."/>
      <sheetName val="Sheet1"/>
      <sheetName val="Sheet3"/>
      <sheetName val="Sheet2"/>
    </sheetNames>
    <sheetDataSet>
      <sheetData sheetId="0">
        <row r="5">
          <cell r="M5" t="str">
            <v>Day-4 26/08/07</v>
          </cell>
        </row>
        <row r="7">
          <cell r="M7">
            <v>18.670000000000002</v>
          </cell>
        </row>
        <row r="8">
          <cell r="M8">
            <v>0</v>
          </cell>
        </row>
        <row r="9">
          <cell r="M9">
            <v>0.33</v>
          </cell>
        </row>
        <row r="10">
          <cell r="M10">
            <v>11.33</v>
          </cell>
        </row>
        <row r="11">
          <cell r="M11">
            <v>0</v>
          </cell>
        </row>
        <row r="12">
          <cell r="M12">
            <v>0</v>
          </cell>
        </row>
        <row r="13">
          <cell r="M13">
            <v>20</v>
          </cell>
        </row>
        <row r="14">
          <cell r="M14">
            <v>0</v>
          </cell>
        </row>
        <row r="15">
          <cell r="M15">
            <v>0</v>
          </cell>
        </row>
        <row r="16">
          <cell r="M16">
            <v>0</v>
          </cell>
        </row>
        <row r="18">
          <cell r="M18">
            <v>9.4</v>
          </cell>
        </row>
        <row r="19">
          <cell r="M19">
            <v>0</v>
          </cell>
        </row>
        <row r="20">
          <cell r="M20">
            <v>0</v>
          </cell>
        </row>
        <row r="21">
          <cell r="M21">
            <v>0</v>
          </cell>
        </row>
        <row r="22">
          <cell r="M22">
            <v>0</v>
          </cell>
        </row>
        <row r="23">
          <cell r="M23">
            <v>0</v>
          </cell>
        </row>
        <row r="24">
          <cell r="M24">
            <v>0</v>
          </cell>
        </row>
        <row r="25">
          <cell r="M25">
            <v>0</v>
          </cell>
        </row>
        <row r="26">
          <cell r="M26">
            <v>0</v>
          </cell>
        </row>
        <row r="27">
          <cell r="M27">
            <v>0</v>
          </cell>
        </row>
        <row r="28">
          <cell r="M28">
            <v>0</v>
          </cell>
        </row>
        <row r="29">
          <cell r="M29">
            <v>0</v>
          </cell>
        </row>
        <row r="32">
          <cell r="M32">
            <v>1.5</v>
          </cell>
        </row>
        <row r="33">
          <cell r="M33">
            <v>6.5</v>
          </cell>
        </row>
        <row r="34">
          <cell r="M34">
            <v>0</v>
          </cell>
        </row>
        <row r="35">
          <cell r="M35">
            <v>6.5</v>
          </cell>
        </row>
        <row r="36">
          <cell r="M36">
            <v>1.5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2">
          <cell r="M42">
            <v>10</v>
          </cell>
        </row>
        <row r="43">
          <cell r="M43">
            <v>0</v>
          </cell>
        </row>
        <row r="44">
          <cell r="M44">
            <v>0</v>
          </cell>
        </row>
        <row r="45">
          <cell r="M45">
            <v>10</v>
          </cell>
        </row>
        <row r="46">
          <cell r="M46">
            <v>0</v>
          </cell>
        </row>
        <row r="47">
          <cell r="M47">
            <v>0</v>
          </cell>
        </row>
        <row r="48">
          <cell r="M48">
            <v>12.6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0</v>
          </cell>
        </row>
        <row r="52">
          <cell r="M52">
            <v>0</v>
          </cell>
        </row>
        <row r="53">
          <cell r="M53">
            <v>0</v>
          </cell>
        </row>
        <row r="55">
          <cell r="M55">
            <v>8.6999999999999993</v>
          </cell>
        </row>
        <row r="56">
          <cell r="M56">
            <v>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>
            <v>0</v>
          </cell>
        </row>
        <row r="60">
          <cell r="M60">
            <v>0</v>
          </cell>
        </row>
        <row r="62">
          <cell r="M62">
            <v>6.5</v>
          </cell>
        </row>
        <row r="63">
          <cell r="M63">
            <v>3.5</v>
          </cell>
        </row>
        <row r="64">
          <cell r="M64">
            <v>0</v>
          </cell>
        </row>
        <row r="129">
          <cell r="M129">
            <v>10</v>
          </cell>
        </row>
        <row r="130">
          <cell r="M130">
            <v>0</v>
          </cell>
        </row>
        <row r="131">
          <cell r="M131">
            <v>0</v>
          </cell>
        </row>
        <row r="132">
          <cell r="M132">
            <v>0</v>
          </cell>
        </row>
        <row r="133">
          <cell r="M133">
            <v>0</v>
          </cell>
        </row>
        <row r="134">
          <cell r="M134">
            <v>8</v>
          </cell>
        </row>
        <row r="135">
          <cell r="M135">
            <v>10</v>
          </cell>
        </row>
        <row r="136">
          <cell r="M136">
            <v>0</v>
          </cell>
        </row>
        <row r="137">
          <cell r="M137">
            <v>0</v>
          </cell>
        </row>
        <row r="138">
          <cell r="M138">
            <v>0</v>
          </cell>
        </row>
        <row r="139">
          <cell r="M139">
            <v>0</v>
          </cell>
        </row>
        <row r="140">
          <cell r="M140">
            <v>0</v>
          </cell>
        </row>
        <row r="141">
          <cell r="M141">
            <v>10</v>
          </cell>
        </row>
        <row r="142">
          <cell r="M142">
            <v>0</v>
          </cell>
        </row>
        <row r="143">
          <cell r="M143">
            <v>0</v>
          </cell>
        </row>
        <row r="144">
          <cell r="M144">
            <v>9.8699999999999992</v>
          </cell>
        </row>
        <row r="145">
          <cell r="M145">
            <v>0.3</v>
          </cell>
        </row>
        <row r="146">
          <cell r="M146">
            <v>0</v>
          </cell>
        </row>
        <row r="147">
          <cell r="M147">
            <v>9.6199999999999992</v>
          </cell>
        </row>
        <row r="148">
          <cell r="M148">
            <v>0.72</v>
          </cell>
        </row>
        <row r="149">
          <cell r="M149">
            <v>0</v>
          </cell>
        </row>
        <row r="150">
          <cell r="M150">
            <v>0</v>
          </cell>
        </row>
        <row r="151">
          <cell r="M151">
            <v>0</v>
          </cell>
        </row>
        <row r="152">
          <cell r="M152">
            <v>0</v>
          </cell>
        </row>
        <row r="153">
          <cell r="M153">
            <v>9.75</v>
          </cell>
        </row>
        <row r="154">
          <cell r="M154">
            <v>0.5</v>
          </cell>
        </row>
        <row r="155">
          <cell r="M155">
            <v>0</v>
          </cell>
        </row>
        <row r="156">
          <cell r="M156">
            <v>0</v>
          </cell>
        </row>
        <row r="157">
          <cell r="M157">
            <v>0</v>
          </cell>
        </row>
        <row r="158">
          <cell r="M158">
            <v>0</v>
          </cell>
        </row>
        <row r="159">
          <cell r="M159">
            <v>12.55</v>
          </cell>
        </row>
        <row r="160">
          <cell r="M160">
            <v>0</v>
          </cell>
        </row>
        <row r="161">
          <cell r="M161">
            <v>0</v>
          </cell>
        </row>
        <row r="162">
          <cell r="M162">
            <v>12.12</v>
          </cell>
        </row>
        <row r="163">
          <cell r="M163">
            <v>0</v>
          </cell>
        </row>
        <row r="164">
          <cell r="M164">
            <v>0</v>
          </cell>
        </row>
        <row r="165">
          <cell r="M165">
            <v>0</v>
          </cell>
        </row>
        <row r="166">
          <cell r="M166">
            <v>0</v>
          </cell>
        </row>
        <row r="167">
          <cell r="M167">
            <v>0</v>
          </cell>
        </row>
        <row r="168">
          <cell r="M168">
            <v>10</v>
          </cell>
        </row>
        <row r="169">
          <cell r="M169">
            <v>0</v>
          </cell>
        </row>
        <row r="170">
          <cell r="M170">
            <v>0</v>
          </cell>
        </row>
        <row r="171">
          <cell r="M171">
            <v>0</v>
          </cell>
        </row>
        <row r="172">
          <cell r="M172">
            <v>0</v>
          </cell>
        </row>
        <row r="173">
          <cell r="M173">
            <v>0</v>
          </cell>
        </row>
        <row r="174">
          <cell r="M174">
            <v>10</v>
          </cell>
        </row>
        <row r="175">
          <cell r="M175">
            <v>0</v>
          </cell>
        </row>
        <row r="176">
          <cell r="M176">
            <v>0</v>
          </cell>
        </row>
        <row r="177">
          <cell r="M177">
            <v>10</v>
          </cell>
        </row>
        <row r="178">
          <cell r="M178">
            <v>0</v>
          </cell>
        </row>
        <row r="179">
          <cell r="M179">
            <v>0</v>
          </cell>
        </row>
        <row r="180">
          <cell r="M180">
            <v>10</v>
          </cell>
        </row>
        <row r="181">
          <cell r="M181">
            <v>0</v>
          </cell>
        </row>
        <row r="182">
          <cell r="M182">
            <v>0</v>
          </cell>
        </row>
        <row r="183">
          <cell r="M183">
            <v>0</v>
          </cell>
        </row>
        <row r="184">
          <cell r="M184">
            <v>0</v>
          </cell>
        </row>
        <row r="185">
          <cell r="M185">
            <v>0</v>
          </cell>
        </row>
        <row r="186">
          <cell r="M186">
            <v>10</v>
          </cell>
        </row>
        <row r="187">
          <cell r="M187">
            <v>0</v>
          </cell>
        </row>
        <row r="188">
          <cell r="M188">
            <v>0</v>
          </cell>
        </row>
        <row r="190">
          <cell r="M190">
            <v>8</v>
          </cell>
        </row>
        <row r="191">
          <cell r="M191">
            <v>0</v>
          </cell>
        </row>
        <row r="192">
          <cell r="M192">
            <v>0</v>
          </cell>
        </row>
        <row r="193">
          <cell r="M193">
            <v>8</v>
          </cell>
        </row>
        <row r="194">
          <cell r="M194">
            <v>0</v>
          </cell>
        </row>
        <row r="195">
          <cell r="M195">
            <v>0</v>
          </cell>
        </row>
        <row r="196">
          <cell r="M196">
            <v>6</v>
          </cell>
        </row>
        <row r="198">
          <cell r="M198">
            <v>0</v>
          </cell>
        </row>
        <row r="200">
          <cell r="M200">
            <v>0</v>
          </cell>
        </row>
        <row r="201">
          <cell r="M201">
            <v>0</v>
          </cell>
        </row>
        <row r="203">
          <cell r="M203">
            <v>0</v>
          </cell>
        </row>
        <row r="204">
          <cell r="M204">
            <v>0</v>
          </cell>
        </row>
        <row r="205">
          <cell r="M205">
            <v>0</v>
          </cell>
        </row>
        <row r="206">
          <cell r="M206">
            <v>0</v>
          </cell>
        </row>
        <row r="207">
          <cell r="M207">
            <v>0</v>
          </cell>
        </row>
        <row r="208">
          <cell r="M208">
            <v>0</v>
          </cell>
        </row>
        <row r="209">
          <cell r="M209">
            <v>0</v>
          </cell>
        </row>
        <row r="210">
          <cell r="M210">
            <v>0</v>
          </cell>
        </row>
        <row r="211">
          <cell r="M211">
            <v>0</v>
          </cell>
        </row>
        <row r="212">
          <cell r="M212">
            <v>0</v>
          </cell>
        </row>
        <row r="213">
          <cell r="M213">
            <v>0</v>
          </cell>
        </row>
        <row r="214">
          <cell r="M214">
            <v>0</v>
          </cell>
        </row>
        <row r="215">
          <cell r="M215">
            <v>0</v>
          </cell>
        </row>
        <row r="216">
          <cell r="M216">
            <v>0</v>
          </cell>
        </row>
        <row r="217">
          <cell r="M217">
            <v>0</v>
          </cell>
        </row>
        <row r="218">
          <cell r="M218">
            <v>0</v>
          </cell>
        </row>
        <row r="219">
          <cell r="M219">
            <v>0</v>
          </cell>
        </row>
        <row r="220">
          <cell r="M220">
            <v>0</v>
          </cell>
        </row>
        <row r="221">
          <cell r="M221">
            <v>0</v>
          </cell>
        </row>
        <row r="222">
          <cell r="M222">
            <v>0</v>
          </cell>
        </row>
        <row r="223">
          <cell r="M223">
            <v>0</v>
          </cell>
        </row>
        <row r="224">
          <cell r="M224">
            <v>0</v>
          </cell>
        </row>
        <row r="225">
          <cell r="M225">
            <v>0</v>
          </cell>
        </row>
        <row r="226">
          <cell r="M226">
            <v>0</v>
          </cell>
        </row>
        <row r="227">
          <cell r="M227">
            <v>0</v>
          </cell>
        </row>
        <row r="228">
          <cell r="M228">
            <v>0</v>
          </cell>
        </row>
        <row r="229">
          <cell r="M229">
            <v>0</v>
          </cell>
        </row>
        <row r="230">
          <cell r="M230">
            <v>0</v>
          </cell>
        </row>
        <row r="231">
          <cell r="M231">
            <v>0</v>
          </cell>
        </row>
        <row r="232">
          <cell r="M232">
            <v>0</v>
          </cell>
        </row>
        <row r="233">
          <cell r="M233">
            <v>0</v>
          </cell>
        </row>
        <row r="234">
          <cell r="M234">
            <v>0</v>
          </cell>
        </row>
        <row r="235">
          <cell r="M235">
            <v>0</v>
          </cell>
        </row>
        <row r="236">
          <cell r="M236">
            <v>0</v>
          </cell>
        </row>
        <row r="237">
          <cell r="M237">
            <v>0</v>
          </cell>
        </row>
        <row r="239">
          <cell r="M239">
            <v>10</v>
          </cell>
        </row>
        <row r="272">
          <cell r="M272">
            <v>10</v>
          </cell>
        </row>
        <row r="275">
          <cell r="M275">
            <v>10</v>
          </cell>
        </row>
        <row r="296">
          <cell r="M296">
            <v>10</v>
          </cell>
        </row>
        <row r="302">
          <cell r="M302">
            <v>0</v>
          </cell>
        </row>
        <row r="308">
          <cell r="I308">
            <v>10</v>
          </cell>
        </row>
        <row r="311">
          <cell r="M311">
            <v>10</v>
          </cell>
        </row>
        <row r="387">
          <cell r="M387">
            <v>0</v>
          </cell>
        </row>
        <row r="393">
          <cell r="M393">
            <v>14</v>
          </cell>
        </row>
        <row r="394">
          <cell r="M394">
            <v>0</v>
          </cell>
        </row>
        <row r="395">
          <cell r="M395">
            <v>0</v>
          </cell>
        </row>
        <row r="396">
          <cell r="M396">
            <v>0</v>
          </cell>
        </row>
        <row r="397">
          <cell r="M397">
            <v>0</v>
          </cell>
        </row>
        <row r="398">
          <cell r="M398">
            <v>0</v>
          </cell>
        </row>
      </sheetData>
      <sheetData sheetId="1"/>
      <sheetData sheetId="2"/>
      <sheetData sheetId="3">
        <row r="3">
          <cell r="P3" t="str">
            <v>Day-4 26/08/07</v>
          </cell>
        </row>
        <row r="8">
          <cell r="S8">
            <v>865</v>
          </cell>
        </row>
        <row r="9">
          <cell r="S9">
            <v>692</v>
          </cell>
        </row>
        <row r="10">
          <cell r="S10">
            <v>852</v>
          </cell>
        </row>
        <row r="13">
          <cell r="S13">
            <v>119</v>
          </cell>
        </row>
        <row r="21">
          <cell r="S21">
            <v>135</v>
          </cell>
        </row>
        <row r="23">
          <cell r="S23">
            <v>152</v>
          </cell>
        </row>
        <row r="31">
          <cell r="S31">
            <v>21</v>
          </cell>
        </row>
        <row r="61">
          <cell r="S61">
            <v>158</v>
          </cell>
        </row>
        <row r="83">
          <cell r="S83">
            <v>20</v>
          </cell>
        </row>
        <row r="84">
          <cell r="S84">
            <v>0</v>
          </cell>
        </row>
        <row r="93">
          <cell r="S93">
            <v>3014</v>
          </cell>
        </row>
        <row r="95">
          <cell r="S95">
            <v>130</v>
          </cell>
        </row>
        <row r="97">
          <cell r="S97">
            <v>180</v>
          </cell>
        </row>
        <row r="99">
          <cell r="S99">
            <v>123</v>
          </cell>
        </row>
        <row r="100">
          <cell r="S100">
            <v>91</v>
          </cell>
        </row>
        <row r="101">
          <cell r="S101">
            <v>0</v>
          </cell>
        </row>
        <row r="104">
          <cell r="S104">
            <v>180</v>
          </cell>
        </row>
        <row r="105">
          <cell r="S105">
            <v>195</v>
          </cell>
        </row>
        <row r="125">
          <cell r="S125">
            <v>0</v>
          </cell>
        </row>
        <row r="126">
          <cell r="S126">
            <v>46</v>
          </cell>
        </row>
        <row r="127">
          <cell r="S127">
            <v>0</v>
          </cell>
        </row>
        <row r="131">
          <cell r="S131">
            <v>0</v>
          </cell>
        </row>
        <row r="132">
          <cell r="S132">
            <v>0</v>
          </cell>
        </row>
        <row r="133">
          <cell r="S133">
            <v>0</v>
          </cell>
        </row>
        <row r="134">
          <cell r="S134">
            <v>0</v>
          </cell>
        </row>
        <row r="135">
          <cell r="S135">
            <v>0</v>
          </cell>
        </row>
        <row r="136">
          <cell r="S136">
            <v>0</v>
          </cell>
        </row>
        <row r="137">
          <cell r="S137">
            <v>0</v>
          </cell>
        </row>
        <row r="138">
          <cell r="S138">
            <v>0</v>
          </cell>
        </row>
        <row r="139">
          <cell r="S139">
            <v>0</v>
          </cell>
        </row>
        <row r="140">
          <cell r="S140">
            <v>0</v>
          </cell>
        </row>
        <row r="141">
          <cell r="S141">
            <v>0</v>
          </cell>
        </row>
        <row r="143">
          <cell r="S143">
            <v>945</v>
          </cell>
        </row>
      </sheetData>
      <sheetData sheetId="4"/>
      <sheetData sheetId="5"/>
      <sheetData sheetId="6">
        <row r="9">
          <cell r="O9">
            <v>0</v>
          </cell>
        </row>
        <row r="10">
          <cell r="O10">
            <v>0</v>
          </cell>
        </row>
        <row r="11">
          <cell r="O11">
            <v>545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2352</v>
          </cell>
        </row>
        <row r="21">
          <cell r="O21">
            <v>300</v>
          </cell>
        </row>
        <row r="22">
          <cell r="O22">
            <v>0</v>
          </cell>
        </row>
        <row r="25">
          <cell r="O25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12.49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11.22</v>
          </cell>
        </row>
        <row r="39">
          <cell r="O39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80.5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120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4">
          <cell r="O64">
            <v>0</v>
          </cell>
        </row>
        <row r="65">
          <cell r="O65">
            <v>250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5.04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32</v>
          </cell>
        </row>
        <row r="86">
          <cell r="O86">
            <v>4.26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3.9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5.76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10.8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204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96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120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</sheetData>
      <sheetData sheetId="7"/>
      <sheetData sheetId="8"/>
      <sheetData sheetId="9"/>
      <sheetData sheetId="10"/>
      <sheetData sheetId="11">
        <row r="12">
          <cell r="E12">
            <v>80</v>
          </cell>
          <cell r="F12">
            <v>11.22</v>
          </cell>
        </row>
        <row r="16">
          <cell r="F16">
            <v>0</v>
          </cell>
        </row>
      </sheetData>
      <sheetData sheetId="12">
        <row r="11">
          <cell r="F11">
            <v>14</v>
          </cell>
        </row>
        <row r="20">
          <cell r="F20">
            <v>14</v>
          </cell>
        </row>
      </sheetData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2"/>
      <sheetName val="Chart1"/>
      <sheetName val="Sheet4"/>
      <sheetName val="D M S"/>
      <sheetName val="plan &amp; Unit price &amp; Direct cost"/>
      <sheetName val="Direct cost summary "/>
      <sheetName val="Weekly Machinery Ex"/>
      <sheetName val="Weekly Progress Report"/>
      <sheetName val="summery(new)2"/>
      <sheetName val="Weekly Ms"/>
      <sheetName val="Lab. Evalu."/>
      <sheetName val="Cons.Mat.Evalu."/>
    </sheetNames>
    <sheetDataSet>
      <sheetData sheetId="0"/>
      <sheetData sheetId="1"/>
      <sheetData sheetId="2"/>
      <sheetData sheetId="3"/>
      <sheetData sheetId="4">
        <row r="97">
          <cell r="K97" t="e">
            <v>#REF!</v>
          </cell>
          <cell r="L97" t="e">
            <v>#REF!</v>
          </cell>
        </row>
      </sheetData>
      <sheetData sheetId="5"/>
      <sheetData sheetId="6">
        <row r="3">
          <cell r="P3" t="str">
            <v>Week  23 ((20-26)/06/07)</v>
          </cell>
        </row>
      </sheetData>
      <sheetData sheetId="7">
        <row r="2">
          <cell r="A2" t="str">
            <v>Project: Haro sebu-Lelo-Qaqe</v>
          </cell>
        </row>
      </sheetData>
      <sheetData sheetId="8">
        <row r="78">
          <cell r="D78" t="str">
            <v>INCOME Vs EXPENSE</v>
          </cell>
        </row>
        <row r="97">
          <cell r="D97" t="str">
            <v>INCOME</v>
          </cell>
          <cell r="E97" t="str">
            <v>EXPENSE</v>
          </cell>
        </row>
        <row r="98">
          <cell r="D98">
            <v>3058571.1159992795</v>
          </cell>
          <cell r="E98">
            <v>1590789.1825999999</v>
          </cell>
        </row>
      </sheetData>
      <sheetData sheetId="9"/>
      <sheetData sheetId="10"/>
      <sheetData sheetId="11">
        <row r="1">
          <cell r="A1" t="str">
            <v>Cross-land Construction Company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1"/>
      <sheetName val="Tabe of content "/>
      <sheetName val="Week -6"/>
      <sheetName val="Week 6 WM"/>
      <sheetName val="Production"/>
      <sheetName val="INCOME VS EXPENSE"/>
      <sheetName val="DOZER"/>
      <sheetName val="DOZER (2)"/>
      <sheetName val="DOZER (EW)"/>
      <sheetName val="DOZER (EW2)"/>
      <sheetName val="Grader"/>
      <sheetName val="Grader(2)"/>
      <sheetName val="Gr1(EW) "/>
      <sheetName val="Gr1(EW2)"/>
      <sheetName val="EXC "/>
      <sheetName val="EXC  (2)"/>
      <sheetName val="EXC  (EW)"/>
      <sheetName val="EXC (EW2)"/>
      <sheetName val="Loader"/>
      <sheetName val="Loader (2)"/>
      <sheetName val="Loader (EW)"/>
      <sheetName val="Loader (EW2)"/>
      <sheetName val="Crusher"/>
      <sheetName val="Crusher (2)"/>
      <sheetName val="DT"/>
      <sheetName val="DT (2)"/>
      <sheetName val="DT (EW)"/>
      <sheetName val="DT (EW2) "/>
      <sheetName val="W.tr (EW)"/>
      <sheetName val="W.tr (EW2) "/>
      <sheetName val="M I(W 5)"/>
      <sheetName val="Eq't HR sup(rental)"/>
      <sheetName val="Eq't HR sup(EW) "/>
      <sheetName val="Eq't HR sup(Own)"/>
      <sheetName val="Per Emp (Sum)"/>
      <sheetName val="Permanent"/>
      <sheetName val="Summary D.L"/>
      <sheetName val="Mat Cem"/>
      <sheetName val="Sum fuel"/>
      <sheetName val="Mat Rebar"/>
      <sheetName val="Consultant"/>
      <sheetName val="Finance weekly"/>
      <sheetName val="Finance monthly"/>
      <sheetName val="Con. Mat.  "/>
      <sheetName val="Spare  "/>
      <sheetName val="Fuel &amp; Lub "/>
      <sheetName val="Summary HO"/>
      <sheetName val="Total Machineries  Evaluation"/>
      <sheetName val="Total Machineries  Evaluati (2)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305">
          <cell r="F305">
            <v>72661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 of content "/>
      <sheetName val="Agreed performance rate"/>
      <sheetName val="fuel Cons rate"/>
      <sheetName val="Performance(Effeciency) (2)"/>
      <sheetName val="Eq rental rate"/>
      <sheetName val="Form One"/>
      <sheetName val="Summary"/>
      <sheetName val="Work Measurement"/>
      <sheetName val=" BOQ Rev"/>
      <sheetName val=" Action Plan 2"/>
      <sheetName val="Action plan "/>
      <sheetName val="Cons. Material Requirement"/>
      <sheetName val="Rental Eqt expence with Fuel"/>
      <sheetName val="Own Eqt. Expence with fuel "/>
      <sheetName val="Others Expense"/>
      <sheetName val="Cement Consumption Evaluation"/>
      <sheetName val="Class B Masonry&amp;PWW Evaluation"/>
      <sheetName val="Quantity"/>
      <sheetName val="Grader Utilization Summary"/>
      <sheetName val="Excavator Utilization Summary"/>
      <sheetName val="Detail Dozer Utli Record"/>
      <sheetName val="Salary Expense Permaent emp."/>
      <sheetName val="Salary Expense Daily Lab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1">
          <cell r="N11">
            <v>789</v>
          </cell>
        </row>
      </sheetData>
      <sheetData sheetId="6">
        <row r="8">
          <cell r="F8">
            <v>0.2</v>
          </cell>
        </row>
        <row r="9">
          <cell r="B9" t="str">
            <v>Month One</v>
          </cell>
          <cell r="F9">
            <v>0.05</v>
          </cell>
        </row>
        <row r="10">
          <cell r="F10">
            <v>0</v>
          </cell>
        </row>
        <row r="11">
          <cell r="B11">
            <v>42248</v>
          </cell>
          <cell r="C11">
            <v>42278</v>
          </cell>
          <cell r="F11">
            <v>0</v>
          </cell>
        </row>
        <row r="29">
          <cell r="D29">
            <v>564334.88433500007</v>
          </cell>
          <cell r="E29">
            <v>312638.06</v>
          </cell>
        </row>
        <row r="30">
          <cell r="E30">
            <v>15150</v>
          </cell>
        </row>
        <row r="31">
          <cell r="E31">
            <v>109160</v>
          </cell>
        </row>
        <row r="32">
          <cell r="D32">
            <v>0</v>
          </cell>
          <cell r="E32">
            <v>2964.7403846153848</v>
          </cell>
        </row>
        <row r="33">
          <cell r="D33">
            <v>0</v>
          </cell>
          <cell r="E33">
            <v>34390.186600000001</v>
          </cell>
        </row>
        <row r="34">
          <cell r="D34">
            <v>0</v>
          </cell>
          <cell r="E34">
            <v>66419</v>
          </cell>
        </row>
        <row r="35">
          <cell r="D35">
            <v>0</v>
          </cell>
          <cell r="E35">
            <v>1317.81</v>
          </cell>
        </row>
        <row r="36">
          <cell r="D36">
            <v>1180449.108605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448196.34853171371</v>
          </cell>
        </row>
        <row r="40">
          <cell r="D40">
            <v>44819.634853171374</v>
          </cell>
        </row>
        <row r="41">
          <cell r="D41">
            <v>118044.91086050001</v>
          </cell>
        </row>
        <row r="42">
          <cell r="E42">
            <v>35765</v>
          </cell>
        </row>
        <row r="43">
          <cell r="D43">
            <v>11500</v>
          </cell>
          <cell r="E43">
            <v>10000</v>
          </cell>
        </row>
      </sheetData>
      <sheetData sheetId="7" refreshError="1"/>
      <sheetData sheetId="8">
        <row r="28">
          <cell r="L28">
            <v>11500</v>
          </cell>
          <cell r="M28">
            <v>11500</v>
          </cell>
        </row>
        <row r="31">
          <cell r="L31">
            <v>0</v>
          </cell>
          <cell r="M31">
            <v>0</v>
          </cell>
        </row>
        <row r="82">
          <cell r="L82">
            <v>0</v>
          </cell>
          <cell r="M82">
            <v>297438</v>
          </cell>
        </row>
        <row r="99">
          <cell r="L99">
            <v>2064330.1890000002</v>
          </cell>
          <cell r="M99">
            <v>134221.80000000002</v>
          </cell>
        </row>
        <row r="102">
          <cell r="L102">
            <v>0</v>
          </cell>
          <cell r="M102">
            <v>0</v>
          </cell>
        </row>
        <row r="163">
          <cell r="L163">
            <v>0</v>
          </cell>
          <cell r="M163">
            <v>0</v>
          </cell>
        </row>
        <row r="174">
          <cell r="L174">
            <v>0</v>
          </cell>
          <cell r="M174">
            <v>0</v>
          </cell>
        </row>
      </sheetData>
      <sheetData sheetId="9">
        <row r="22">
          <cell r="E22">
            <v>21288.080000000002</v>
          </cell>
        </row>
        <row r="30">
          <cell r="E30">
            <v>870181.99999999988</v>
          </cell>
        </row>
        <row r="39">
          <cell r="E39">
            <v>1061642.7899999998</v>
          </cell>
        </row>
        <row r="51">
          <cell r="E51">
            <v>1860480</v>
          </cell>
        </row>
        <row r="54">
          <cell r="E54">
            <v>82908.000000000015</v>
          </cell>
        </row>
        <row r="55">
          <cell r="E55">
            <v>289183.3</v>
          </cell>
        </row>
        <row r="56">
          <cell r="E56">
            <v>449722</v>
          </cell>
        </row>
        <row r="60">
          <cell r="E60">
            <v>92610</v>
          </cell>
        </row>
        <row r="61">
          <cell r="E61">
            <v>382396</v>
          </cell>
        </row>
        <row r="62">
          <cell r="E62">
            <v>462070</v>
          </cell>
        </row>
        <row r="71">
          <cell r="E71">
            <v>8913746.0499999989</v>
          </cell>
        </row>
      </sheetData>
      <sheetData sheetId="10" refreshError="1"/>
      <sheetData sheetId="11">
        <row r="20">
          <cell r="E20">
            <v>0</v>
          </cell>
          <cell r="G20">
            <v>35765</v>
          </cell>
        </row>
      </sheetData>
      <sheetData sheetId="12">
        <row r="22">
          <cell r="F22">
            <v>0</v>
          </cell>
          <cell r="H22">
            <v>0</v>
          </cell>
          <cell r="L22">
            <v>14527</v>
          </cell>
          <cell r="N22">
            <v>57300</v>
          </cell>
        </row>
      </sheetData>
      <sheetData sheetId="13">
        <row r="22">
          <cell r="F22">
            <v>0</v>
          </cell>
          <cell r="H22">
            <v>0</v>
          </cell>
          <cell r="M22">
            <v>188351.19</v>
          </cell>
          <cell r="O22">
            <v>306107.66666666669</v>
          </cell>
        </row>
      </sheetData>
      <sheetData sheetId="14">
        <row r="11">
          <cell r="B11">
            <v>0</v>
          </cell>
          <cell r="C11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X81">
            <v>312638.06</v>
          </cell>
          <cell r="Y81">
            <v>15150</v>
          </cell>
          <cell r="AB81">
            <v>109160</v>
          </cell>
          <cell r="AD81">
            <v>2964.7403846153848</v>
          </cell>
          <cell r="AE81">
            <v>34390.186600000001</v>
          </cell>
        </row>
      </sheetData>
      <sheetData sheetId="22">
        <row r="28">
          <cell r="H28">
            <v>0</v>
          </cell>
          <cell r="I28">
            <v>0</v>
          </cell>
          <cell r="T28">
            <v>66419</v>
          </cell>
          <cell r="U28">
            <v>1317.81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"/>
      <sheetName val="장비"/>
      <sheetName val="자재"/>
      <sheetName val="산집"/>
      <sheetName val="산근1"/>
      <sheetName val="산근2"/>
    </sheetNames>
    <sheetDataSet>
      <sheetData sheetId="0" refreshError="1"/>
      <sheetData sheetId="1" refreshError="1">
        <row r="16">
          <cell r="M16">
            <v>20000</v>
          </cell>
        </row>
        <row r="17">
          <cell r="M17">
            <v>9570</v>
          </cell>
        </row>
        <row r="20">
          <cell r="M20">
            <v>25000</v>
          </cell>
        </row>
        <row r="21">
          <cell r="M21">
            <v>4134</v>
          </cell>
        </row>
        <row r="32">
          <cell r="M32">
            <v>17000</v>
          </cell>
        </row>
        <row r="33">
          <cell r="M33">
            <v>6593</v>
          </cell>
        </row>
        <row r="36">
          <cell r="M36">
            <v>25000</v>
          </cell>
        </row>
        <row r="37">
          <cell r="M37">
            <v>8052</v>
          </cell>
        </row>
        <row r="40">
          <cell r="M40">
            <v>20000</v>
          </cell>
        </row>
        <row r="41">
          <cell r="M41">
            <v>3855</v>
          </cell>
        </row>
        <row r="44">
          <cell r="M44">
            <v>18000</v>
          </cell>
        </row>
        <row r="45">
          <cell r="M45">
            <v>3175</v>
          </cell>
        </row>
        <row r="48">
          <cell r="M48">
            <v>20000</v>
          </cell>
        </row>
        <row r="49">
          <cell r="M49">
            <v>3477</v>
          </cell>
        </row>
        <row r="52">
          <cell r="M52">
            <v>20000</v>
          </cell>
        </row>
        <row r="53">
          <cell r="M53">
            <v>5343</v>
          </cell>
        </row>
        <row r="56">
          <cell r="M56">
            <v>20000</v>
          </cell>
        </row>
        <row r="57">
          <cell r="M57">
            <v>4422</v>
          </cell>
        </row>
        <row r="84">
          <cell r="M84">
            <v>40000</v>
          </cell>
        </row>
        <row r="85">
          <cell r="M85">
            <v>4216</v>
          </cell>
        </row>
        <row r="124">
          <cell r="M124">
            <v>1500</v>
          </cell>
        </row>
        <row r="125">
          <cell r="M125">
            <v>2305</v>
          </cell>
        </row>
        <row r="132">
          <cell r="M132">
            <v>4500</v>
          </cell>
        </row>
        <row r="133">
          <cell r="M133">
            <v>5254</v>
          </cell>
        </row>
        <row r="144">
          <cell r="M144">
            <v>500</v>
          </cell>
        </row>
        <row r="160">
          <cell r="M160">
            <v>9000</v>
          </cell>
        </row>
        <row r="161">
          <cell r="M161">
            <v>4273</v>
          </cell>
        </row>
        <row r="164">
          <cell r="M164">
            <v>9000</v>
          </cell>
        </row>
        <row r="165">
          <cell r="M165">
            <v>7541</v>
          </cell>
        </row>
        <row r="176">
          <cell r="M176">
            <v>3000</v>
          </cell>
        </row>
        <row r="177">
          <cell r="M177">
            <v>4989</v>
          </cell>
        </row>
        <row r="188">
          <cell r="M188">
            <v>50</v>
          </cell>
        </row>
        <row r="220">
          <cell r="M220">
            <v>2202</v>
          </cell>
        </row>
        <row r="221">
          <cell r="M221">
            <v>1113</v>
          </cell>
        </row>
        <row r="236">
          <cell r="M236">
            <v>1500</v>
          </cell>
        </row>
        <row r="237">
          <cell r="M237">
            <v>0</v>
          </cell>
        </row>
        <row r="240">
          <cell r="M240">
            <v>4000</v>
          </cell>
        </row>
        <row r="241">
          <cell r="M241">
            <v>1723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"/>
      <sheetName val="장비"/>
      <sheetName val="자재"/>
      <sheetName val="산집"/>
      <sheetName val="산근1"/>
      <sheetName val="산근2"/>
    </sheetNames>
    <sheetDataSet>
      <sheetData sheetId="0" refreshError="1">
        <row r="3">
          <cell r="D3">
            <v>70000</v>
          </cell>
        </row>
        <row r="6">
          <cell r="H6">
            <v>80000</v>
          </cell>
        </row>
        <row r="7">
          <cell r="H7">
            <v>70000</v>
          </cell>
        </row>
        <row r="8">
          <cell r="D8">
            <v>50000</v>
          </cell>
          <cell r="H8">
            <v>100000</v>
          </cell>
        </row>
        <row r="10">
          <cell r="D10">
            <v>100000</v>
          </cell>
        </row>
        <row r="11">
          <cell r="D11">
            <v>80000</v>
          </cell>
        </row>
      </sheetData>
      <sheetData sheetId="1" refreshError="1">
        <row r="16">
          <cell r="M16">
            <v>20000</v>
          </cell>
        </row>
        <row r="17">
          <cell r="M17">
            <v>9570</v>
          </cell>
        </row>
        <row r="84">
          <cell r="M84">
            <v>40000</v>
          </cell>
        </row>
        <row r="85">
          <cell r="M85">
            <v>4216</v>
          </cell>
        </row>
        <row r="104">
          <cell r="M104">
            <v>11000</v>
          </cell>
        </row>
        <row r="105">
          <cell r="M105">
            <v>4838</v>
          </cell>
        </row>
        <row r="124">
          <cell r="M124">
            <v>1500</v>
          </cell>
        </row>
        <row r="125">
          <cell r="M125">
            <v>2305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"/>
      <sheetName val="장비"/>
      <sheetName val="자재"/>
      <sheetName val="산집"/>
      <sheetName val="산근1"/>
      <sheetName val="산근2"/>
    </sheetNames>
    <sheetDataSet>
      <sheetData sheetId="0" refreshError="1">
        <row r="9">
          <cell r="D9">
            <v>90000</v>
          </cell>
        </row>
      </sheetData>
      <sheetData sheetId="1" refreshError="1">
        <row r="20">
          <cell r="M20">
            <v>25000</v>
          </cell>
        </row>
        <row r="21">
          <cell r="M21">
            <v>4134</v>
          </cell>
        </row>
        <row r="32">
          <cell r="M32">
            <v>17000</v>
          </cell>
        </row>
        <row r="33">
          <cell r="M33">
            <v>6593</v>
          </cell>
        </row>
        <row r="36">
          <cell r="M36">
            <v>25000</v>
          </cell>
        </row>
        <row r="37">
          <cell r="M37">
            <v>8052</v>
          </cell>
        </row>
        <row r="40">
          <cell r="M40">
            <v>20000</v>
          </cell>
        </row>
        <row r="41">
          <cell r="M41">
            <v>3855</v>
          </cell>
        </row>
        <row r="44">
          <cell r="M44">
            <v>18000</v>
          </cell>
        </row>
        <row r="45">
          <cell r="M45">
            <v>3175</v>
          </cell>
        </row>
        <row r="48">
          <cell r="M48">
            <v>20000</v>
          </cell>
        </row>
        <row r="49">
          <cell r="M49">
            <v>3477</v>
          </cell>
        </row>
        <row r="52">
          <cell r="M52">
            <v>20000</v>
          </cell>
        </row>
        <row r="53">
          <cell r="M53">
            <v>5343</v>
          </cell>
        </row>
        <row r="56">
          <cell r="M56">
            <v>20000</v>
          </cell>
        </row>
        <row r="57">
          <cell r="M57">
            <v>4422</v>
          </cell>
        </row>
        <row r="100">
          <cell r="M100">
            <v>23000</v>
          </cell>
        </row>
        <row r="101">
          <cell r="M101">
            <v>3024</v>
          </cell>
        </row>
        <row r="132">
          <cell r="M132">
            <v>4500</v>
          </cell>
        </row>
        <row r="133">
          <cell r="M133">
            <v>5254</v>
          </cell>
        </row>
        <row r="144">
          <cell r="M144">
            <v>500</v>
          </cell>
        </row>
        <row r="160">
          <cell r="M160">
            <v>9000</v>
          </cell>
        </row>
        <row r="161">
          <cell r="M161">
            <v>4273</v>
          </cell>
        </row>
        <row r="164">
          <cell r="M164">
            <v>9000</v>
          </cell>
        </row>
        <row r="165">
          <cell r="M165">
            <v>7541</v>
          </cell>
        </row>
        <row r="176">
          <cell r="M176">
            <v>3000</v>
          </cell>
        </row>
        <row r="177">
          <cell r="M177">
            <v>4989</v>
          </cell>
        </row>
        <row r="188">
          <cell r="M188">
            <v>50</v>
          </cell>
        </row>
        <row r="220">
          <cell r="M220">
            <v>2202</v>
          </cell>
        </row>
        <row r="221">
          <cell r="M221">
            <v>1113</v>
          </cell>
        </row>
        <row r="236">
          <cell r="M236">
            <v>1500</v>
          </cell>
        </row>
        <row r="237">
          <cell r="M237">
            <v>0</v>
          </cell>
        </row>
        <row r="240">
          <cell r="M240">
            <v>4000</v>
          </cell>
        </row>
        <row r="241">
          <cell r="M241">
            <v>1723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기구조직"/>
      <sheetName val="견적기준"/>
      <sheetName val="공사개요"/>
      <sheetName val="실행집계"/>
      <sheetName val="노"/>
      <sheetName val="재"/>
      <sheetName val="장1"/>
      <sheetName val="장2"/>
      <sheetName val="공종별집계"/>
      <sheetName val="비목별집계"/>
      <sheetName val="외주비집계"/>
      <sheetName val="장비-인원"/>
      <sheetName val="간접비집계"/>
      <sheetName val="간접비내역"/>
      <sheetName val="일반경비집계"/>
      <sheetName val="일반경비내역"/>
      <sheetName val="예정공정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S"/>
      <sheetName val="IS  "/>
      <sheetName val="I&amp;ES"/>
      <sheetName val="PvsAC "/>
      <sheetName val="mtl"/>
      <sheetName val="man "/>
      <sheetName val="sum eq't "/>
      <sheetName val="Equ Uti"/>
      <sheetName val="spare"/>
      <sheetName val="fuel"/>
      <sheetName val="fuel Eva. (2)"/>
      <sheetName val="fuel Eva."/>
      <sheetName val="man (sh.)"/>
      <sheetName val="eq't (sh.)"/>
      <sheetName val="O.STANDING PRO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Exp Eva"/>
      <sheetName val="Prog Eva."/>
      <sheetName val="MTL"/>
      <sheetName val="man p sum."/>
      <sheetName val="fuel "/>
      <sheetName val="spare"/>
      <sheetName val="eq't "/>
      <sheetName val="Summary"/>
      <sheetName val="Fuel Eva."/>
      <sheetName val="Eqt Eva."/>
      <sheetName val="Mat Eva."/>
      <sheetName val="Lab Eva."/>
      <sheetName val="Claim"/>
      <sheetName val="Prob."/>
      <sheetName val="Office Eng'g"/>
      <sheetName val="Beza"/>
      <sheetName val="Dozer"/>
      <sheetName val="Grad, Rol &amp; WT"/>
      <sheetName val="Ex,Load &amp; DT"/>
      <sheetName val="Prod."/>
    </sheetNames>
    <sheetDataSet>
      <sheetData sheetId="0">
        <row r="2">
          <cell r="B2" t="str">
            <v>Reporting Date: Ginbot 9</v>
          </cell>
        </row>
        <row r="3">
          <cell r="B3" t="str">
            <v>Week No.76</v>
          </cell>
        </row>
        <row r="4">
          <cell r="B4" t="str">
            <v>Duration:  Miazia 30-Ginbot 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"/>
      <sheetName val="1-PAGE"/>
      <sheetName val="1-IPC"/>
      <sheetName val="P.adjust Factor"/>
      <sheetName val="P.adjustment"/>
      <sheetName val="5-Material Credit"/>
      <sheetName val="6-Late Pay.&amp;Intr."/>
      <sheetName val="7-Summary"/>
      <sheetName val="8-Bill-1"/>
      <sheetName val="9-Bill-2"/>
      <sheetName val="10-Bill-3"/>
      <sheetName val="11-Bill-4"/>
      <sheetName val="12-Bill-5"/>
      <sheetName val="13-Bill-6"/>
      <sheetName val="14-Bill-7"/>
      <sheetName val="15-Bill-8.1 (Weito)"/>
      <sheetName val="16-Bill-8.2 (Kako)"/>
      <sheetName val="17-Bill-9 (Ancillary)"/>
      <sheetName val="B-1-1"/>
      <sheetName val="B-1-2"/>
      <sheetName val="B-1-3"/>
      <sheetName val="B-1-4"/>
      <sheetName val="B-1-5"/>
      <sheetName val="B-1-6"/>
      <sheetName val="B-1-7"/>
      <sheetName val="B-1-8"/>
      <sheetName val="B-1-9"/>
      <sheetName val="B-1-10"/>
      <sheetName val="B-1-11"/>
      <sheetName val="B-2-1"/>
      <sheetName val="B-2-2"/>
      <sheetName val="B-2-3"/>
      <sheetName val="B-4-1"/>
      <sheetName val="B-4-2"/>
      <sheetName val="B-4-3"/>
      <sheetName val="B-4-4"/>
      <sheetName val="B-4-5"/>
      <sheetName val="B-4-6"/>
      <sheetName val="B-4-7"/>
      <sheetName val="Summary of Measure"/>
    </sheetNames>
    <sheetDataSet>
      <sheetData sheetId="0">
        <row r="8">
          <cell r="B8">
            <v>343970955</v>
          </cell>
        </row>
        <row r="9">
          <cell r="B9" t="str">
            <v>1094 Days</v>
          </cell>
        </row>
        <row r="10">
          <cell r="B10" t="str">
            <v>May 16, 2006</v>
          </cell>
        </row>
        <row r="11">
          <cell r="B11" t="str">
            <v>May 14, 2009</v>
          </cell>
        </row>
        <row r="13">
          <cell r="B13">
            <v>3.2599999999999997E-2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"/>
      <sheetName val="공량산출서"/>
      <sheetName val="공내역"/>
      <sheetName val="#REF"/>
      <sheetName val="집계표"/>
      <sheetName val="실행철강하도"/>
      <sheetName val="일반공사"/>
      <sheetName val="갑지"/>
      <sheetName val="입찰안"/>
      <sheetName val="차액보증"/>
      <sheetName val="노임"/>
      <sheetName val="저"/>
      <sheetName val="SG"/>
      <sheetName val="토공"/>
      <sheetName val="배수공"/>
      <sheetName val="구조물공"/>
      <sheetName val="포장공"/>
      <sheetName val="부대공"/>
      <sheetName val="실행대비"/>
      <sheetName val="공내역(해미1공구)"/>
      <sheetName val="진짜설계"/>
      <sheetName val="JUCKEYK"/>
      <sheetName val="조건표"/>
      <sheetName val="결과조달"/>
      <sheetName val="내역"/>
      <sheetName val="일위대가"/>
      <sheetName val="도급"/>
      <sheetName val="PreviousCurrentAccum(Weekly)"/>
      <sheetName val="장비"/>
      <sheetName val="노무"/>
      <sheetName val="자재"/>
      <sheetName val="산근1"/>
    </sheetNames>
    <sheetDataSet>
      <sheetData sheetId="0" refreshError="1">
        <row r="1">
          <cell r="A1" t="str">
            <v>명 칭</v>
          </cell>
          <cell r="C1" t="str">
            <v>수 량</v>
          </cell>
          <cell r="D1" t="str">
            <v>단 위</v>
          </cell>
          <cell r="E1" t="str">
            <v>단 가</v>
          </cell>
          <cell r="F1" t="str">
            <v>금 액</v>
          </cell>
          <cell r="G1" t="str">
            <v>비 고</v>
          </cell>
        </row>
        <row r="2">
          <cell r="A2" t="str">
            <v>해미-덕산(제1공구)간도로확장 및 포장공사</v>
          </cell>
          <cell r="E2">
            <v>0</v>
          </cell>
          <cell r="F2">
            <v>0</v>
          </cell>
        </row>
        <row r="3">
          <cell r="A3" t="str">
            <v>1.토          공</v>
          </cell>
          <cell r="E3">
            <v>0</v>
          </cell>
          <cell r="F3">
            <v>0</v>
          </cell>
        </row>
        <row r="4">
          <cell r="A4" t="str">
            <v>1.01기존구조물철거공</v>
          </cell>
          <cell r="E4">
            <v>0</v>
          </cell>
          <cell r="F4">
            <v>0</v>
          </cell>
        </row>
        <row r="5">
          <cell r="A5" t="str">
            <v>a.무근콘크리트깨기</v>
          </cell>
          <cell r="E5">
            <v>0</v>
          </cell>
          <cell r="F5">
            <v>0</v>
          </cell>
        </row>
        <row r="6">
          <cell r="A6" t="str">
            <v>-1.무근콘크리트깨기</v>
          </cell>
          <cell r="C6">
            <v>609</v>
          </cell>
          <cell r="D6" t="str">
            <v>M3</v>
          </cell>
          <cell r="E6">
            <v>0</v>
          </cell>
          <cell r="F6">
            <v>0</v>
          </cell>
        </row>
        <row r="7">
          <cell r="A7" t="str">
            <v>-2.무근콘크리트깨기</v>
          </cell>
          <cell r="C7">
            <v>25</v>
          </cell>
          <cell r="D7" t="str">
            <v>M3</v>
          </cell>
          <cell r="E7">
            <v>0</v>
          </cell>
          <cell r="F7">
            <v>0</v>
          </cell>
        </row>
        <row r="8">
          <cell r="A8" t="str">
            <v>b.철근콘크리트깨기</v>
          </cell>
          <cell r="E8">
            <v>0</v>
          </cell>
          <cell r="F8">
            <v>0</v>
          </cell>
        </row>
        <row r="9">
          <cell r="A9" t="str">
            <v>-1.철근콘크리트깨기</v>
          </cell>
          <cell r="C9">
            <v>537</v>
          </cell>
          <cell r="D9" t="str">
            <v>M3</v>
          </cell>
          <cell r="E9">
            <v>0</v>
          </cell>
          <cell r="F9">
            <v>0</v>
          </cell>
        </row>
        <row r="10">
          <cell r="A10" t="str">
            <v>c.석축헐기</v>
          </cell>
          <cell r="C10">
            <v>1555</v>
          </cell>
          <cell r="D10" t="str">
            <v>M2</v>
          </cell>
          <cell r="E10">
            <v>0</v>
          </cell>
          <cell r="F10">
            <v>0</v>
          </cell>
        </row>
        <row r="11">
          <cell r="A11" t="str">
            <v>d.기존포장깨기</v>
          </cell>
          <cell r="E11">
            <v>0</v>
          </cell>
          <cell r="F11">
            <v>0</v>
          </cell>
        </row>
        <row r="12">
          <cell r="A12" t="str">
            <v>-1.콘크리트포장깨기</v>
          </cell>
          <cell r="C12">
            <v>981</v>
          </cell>
          <cell r="D12" t="str">
            <v>M3</v>
          </cell>
          <cell r="E12">
            <v>0</v>
          </cell>
          <cell r="F12">
            <v>0</v>
          </cell>
        </row>
        <row r="13">
          <cell r="A13" t="str">
            <v>-2.아스팔트포장깨기</v>
          </cell>
          <cell r="C13">
            <v>8494</v>
          </cell>
          <cell r="D13" t="str">
            <v>M3</v>
          </cell>
          <cell r="E13">
            <v>0</v>
          </cell>
          <cell r="F13">
            <v>0</v>
          </cell>
        </row>
        <row r="14">
          <cell r="A14" t="str">
            <v>e.보도블럭포장헐기</v>
          </cell>
          <cell r="C14">
            <v>469</v>
          </cell>
          <cell r="D14" t="str">
            <v>M2</v>
          </cell>
          <cell r="E14">
            <v>0</v>
          </cell>
          <cell r="F14">
            <v>0</v>
          </cell>
        </row>
        <row r="15">
          <cell r="A15" t="str">
            <v>f.기계절단</v>
          </cell>
          <cell r="E15">
            <v>0</v>
          </cell>
          <cell r="F15">
            <v>0</v>
          </cell>
        </row>
        <row r="16">
          <cell r="A16" t="str">
            <v>-1.콘크리트절단</v>
          </cell>
          <cell r="C16">
            <v>1219</v>
          </cell>
          <cell r="D16" t="str">
            <v>M</v>
          </cell>
          <cell r="E16">
            <v>0</v>
          </cell>
          <cell r="F16">
            <v>0</v>
          </cell>
        </row>
        <row r="17">
          <cell r="A17" t="str">
            <v>-2.아스팔트포장절단</v>
          </cell>
          <cell r="C17">
            <v>1444</v>
          </cell>
          <cell r="D17" t="str">
            <v>M</v>
          </cell>
          <cell r="E17">
            <v>0</v>
          </cell>
          <cell r="F17">
            <v>0</v>
          </cell>
        </row>
        <row r="18">
          <cell r="A18" t="str">
            <v>1.02.측구 뚝쌓기</v>
          </cell>
          <cell r="C18">
            <v>82</v>
          </cell>
          <cell r="D18" t="str">
            <v>M3</v>
          </cell>
          <cell r="E18">
            <v>0</v>
          </cell>
          <cell r="F18">
            <v>0</v>
          </cell>
        </row>
        <row r="19">
          <cell r="A19" t="str">
            <v>1.03.표토제거</v>
          </cell>
          <cell r="E19">
            <v>0</v>
          </cell>
          <cell r="F19">
            <v>0</v>
          </cell>
        </row>
        <row r="20">
          <cell r="A20" t="str">
            <v>a.답구간</v>
          </cell>
          <cell r="C20">
            <v>2630</v>
          </cell>
          <cell r="D20" t="str">
            <v>M2</v>
          </cell>
          <cell r="E20">
            <v>0</v>
          </cell>
          <cell r="F20">
            <v>0</v>
          </cell>
        </row>
        <row r="21">
          <cell r="A21" t="str">
            <v>b.답외구간</v>
          </cell>
          <cell r="C21">
            <v>26530</v>
          </cell>
          <cell r="D21" t="str">
            <v>M2</v>
          </cell>
          <cell r="E21">
            <v>0</v>
          </cell>
          <cell r="F21">
            <v>0</v>
          </cell>
        </row>
        <row r="22">
          <cell r="A22" t="str">
            <v>1.04.벌개 제근</v>
          </cell>
          <cell r="C22">
            <v>108210</v>
          </cell>
          <cell r="D22" t="str">
            <v>M2</v>
          </cell>
          <cell r="E22">
            <v>0</v>
          </cell>
          <cell r="F22">
            <v>0</v>
          </cell>
        </row>
        <row r="23">
          <cell r="A23" t="str">
            <v>1.05 흙깍기공</v>
          </cell>
          <cell r="E23">
            <v>0</v>
          </cell>
          <cell r="F23">
            <v>0</v>
          </cell>
        </row>
        <row r="24">
          <cell r="A24" t="str">
            <v>a.토사깍기</v>
          </cell>
          <cell r="C24">
            <v>255500</v>
          </cell>
          <cell r="D24" t="str">
            <v>M3</v>
          </cell>
          <cell r="E24">
            <v>0</v>
          </cell>
          <cell r="F24">
            <v>0</v>
          </cell>
        </row>
        <row r="25">
          <cell r="A25" t="str">
            <v>b.리핑암깍기</v>
          </cell>
          <cell r="C25">
            <v>100450</v>
          </cell>
          <cell r="D25" t="str">
            <v>M3</v>
          </cell>
          <cell r="E25">
            <v>0</v>
          </cell>
          <cell r="F25">
            <v>0</v>
          </cell>
        </row>
        <row r="26">
          <cell r="A26" t="str">
            <v>c.발파암깍기</v>
          </cell>
          <cell r="E26">
            <v>0</v>
          </cell>
          <cell r="F26">
            <v>0</v>
          </cell>
        </row>
        <row r="27">
          <cell r="A27" t="str">
            <v>-1.편절암</v>
          </cell>
          <cell r="C27">
            <v>1940</v>
          </cell>
          <cell r="D27" t="str">
            <v>M3</v>
          </cell>
          <cell r="E27">
            <v>0</v>
          </cell>
          <cell r="F27">
            <v>0</v>
          </cell>
        </row>
        <row r="28">
          <cell r="A28" t="str">
            <v>-2.리퍼병행</v>
          </cell>
          <cell r="C28">
            <v>91780</v>
          </cell>
          <cell r="D28" t="str">
            <v>M3</v>
          </cell>
          <cell r="E28">
            <v>0</v>
          </cell>
          <cell r="F28">
            <v>0</v>
          </cell>
        </row>
        <row r="29">
          <cell r="A29" t="str">
            <v>-3.브레이카</v>
          </cell>
          <cell r="C29">
            <v>660</v>
          </cell>
          <cell r="D29" t="str">
            <v>M3</v>
          </cell>
          <cell r="E29">
            <v>0</v>
          </cell>
          <cell r="F29">
            <v>0</v>
          </cell>
        </row>
        <row r="30">
          <cell r="A30" t="str">
            <v>-4.크롤러드릴</v>
          </cell>
          <cell r="C30">
            <v>180140</v>
          </cell>
          <cell r="D30" t="str">
            <v>M3</v>
          </cell>
          <cell r="E30">
            <v>0</v>
          </cell>
          <cell r="F30">
            <v>0</v>
          </cell>
        </row>
        <row r="31">
          <cell r="A31" t="str">
            <v>1.06 흙운반공</v>
          </cell>
          <cell r="E31">
            <v>0</v>
          </cell>
          <cell r="F31">
            <v>0</v>
          </cell>
        </row>
        <row r="32">
          <cell r="A32" t="str">
            <v>a.무    대</v>
          </cell>
          <cell r="E32">
            <v>0</v>
          </cell>
          <cell r="F32">
            <v>0</v>
          </cell>
        </row>
        <row r="33">
          <cell r="A33" t="str">
            <v>-1.토    사</v>
          </cell>
          <cell r="C33">
            <v>58020</v>
          </cell>
          <cell r="E33">
            <v>0</v>
          </cell>
          <cell r="F33">
            <v>0</v>
          </cell>
        </row>
        <row r="34">
          <cell r="A34" t="str">
            <v>-2.리 핑 암</v>
          </cell>
          <cell r="C34">
            <v>2680</v>
          </cell>
          <cell r="E34">
            <v>0</v>
          </cell>
          <cell r="F34">
            <v>0</v>
          </cell>
        </row>
        <row r="35">
          <cell r="A35" t="str">
            <v>-3.발 파 암</v>
          </cell>
          <cell r="C35">
            <v>4220</v>
          </cell>
          <cell r="E35">
            <v>0</v>
          </cell>
          <cell r="F35">
            <v>0</v>
          </cell>
        </row>
        <row r="36">
          <cell r="A36" t="str">
            <v>b.도    쟈</v>
          </cell>
          <cell r="E36">
            <v>0</v>
          </cell>
          <cell r="F36">
            <v>0</v>
          </cell>
        </row>
        <row r="37">
          <cell r="A37" t="str">
            <v>-1.토    사</v>
          </cell>
          <cell r="C37">
            <v>21890</v>
          </cell>
          <cell r="D37" t="str">
            <v>M3</v>
          </cell>
          <cell r="E37">
            <v>0</v>
          </cell>
          <cell r="F37">
            <v>0</v>
          </cell>
        </row>
        <row r="38">
          <cell r="A38" t="str">
            <v>-2.리 핑 암</v>
          </cell>
          <cell r="C38">
            <v>5550</v>
          </cell>
          <cell r="D38" t="str">
            <v>M3</v>
          </cell>
          <cell r="E38">
            <v>0</v>
          </cell>
          <cell r="F38">
            <v>0</v>
          </cell>
        </row>
        <row r="39">
          <cell r="A39" t="str">
            <v>-3.발 파 암</v>
          </cell>
          <cell r="C39">
            <v>13150</v>
          </cell>
          <cell r="D39" t="str">
            <v>M3</v>
          </cell>
          <cell r="E39">
            <v>0</v>
          </cell>
          <cell r="F39">
            <v>0</v>
          </cell>
        </row>
        <row r="40">
          <cell r="A40" t="str">
            <v>c.덤    프</v>
          </cell>
          <cell r="E40">
            <v>0</v>
          </cell>
          <cell r="F40">
            <v>0</v>
          </cell>
        </row>
        <row r="41">
          <cell r="A41" t="str">
            <v>-1.토    사</v>
          </cell>
          <cell r="C41">
            <v>402610</v>
          </cell>
          <cell r="D41" t="str">
            <v>M3</v>
          </cell>
          <cell r="E41">
            <v>0</v>
          </cell>
          <cell r="F41">
            <v>0</v>
          </cell>
        </row>
        <row r="42">
          <cell r="A42" t="str">
            <v>-2.리 핑 암</v>
          </cell>
          <cell r="C42">
            <v>94130</v>
          </cell>
          <cell r="D42" t="str">
            <v>M3</v>
          </cell>
          <cell r="E42">
            <v>0</v>
          </cell>
          <cell r="F42">
            <v>0</v>
          </cell>
        </row>
        <row r="43">
          <cell r="A43" t="str">
            <v>-3.발 파 암</v>
          </cell>
          <cell r="C43">
            <v>259050</v>
          </cell>
          <cell r="D43" t="str">
            <v>M3</v>
          </cell>
          <cell r="E43">
            <v>0</v>
          </cell>
          <cell r="F43">
            <v>0</v>
          </cell>
        </row>
        <row r="44">
          <cell r="A44" t="str">
            <v>d.사토운반</v>
          </cell>
          <cell r="E44">
            <v>0</v>
          </cell>
          <cell r="F44">
            <v>0</v>
          </cell>
        </row>
        <row r="45">
          <cell r="A45" t="str">
            <v>-1.토    사</v>
          </cell>
          <cell r="C45">
            <v>67280</v>
          </cell>
          <cell r="D45" t="str">
            <v>M3</v>
          </cell>
          <cell r="E45">
            <v>0</v>
          </cell>
          <cell r="F45">
            <v>0</v>
          </cell>
        </row>
        <row r="46">
          <cell r="A46" t="str">
            <v>1.07 흙쌓기공</v>
          </cell>
          <cell r="E46">
            <v>0</v>
          </cell>
          <cell r="F46">
            <v>0</v>
          </cell>
        </row>
        <row r="47">
          <cell r="A47" t="str">
            <v>a.노    체</v>
          </cell>
          <cell r="C47">
            <v>630110</v>
          </cell>
          <cell r="D47" t="str">
            <v>M3</v>
          </cell>
          <cell r="E47">
            <v>0</v>
          </cell>
          <cell r="F47">
            <v>0</v>
          </cell>
        </row>
        <row r="48">
          <cell r="A48" t="str">
            <v>b.노    상</v>
          </cell>
          <cell r="C48">
            <v>48850</v>
          </cell>
          <cell r="D48" t="str">
            <v>M3</v>
          </cell>
          <cell r="E48">
            <v>0</v>
          </cell>
          <cell r="F48">
            <v>0</v>
          </cell>
        </row>
        <row r="49">
          <cell r="A49" t="str">
            <v>c.녹 지 대</v>
          </cell>
          <cell r="C49">
            <v>15490</v>
          </cell>
          <cell r="D49" t="str">
            <v>M3</v>
          </cell>
          <cell r="E49">
            <v>0</v>
          </cell>
          <cell r="F49">
            <v>0</v>
          </cell>
        </row>
        <row r="50">
          <cell r="A50" t="str">
            <v>1.08.층따기</v>
          </cell>
          <cell r="C50">
            <v>8590</v>
          </cell>
          <cell r="D50" t="str">
            <v>M3</v>
          </cell>
          <cell r="E50">
            <v>0</v>
          </cell>
          <cell r="F50">
            <v>0</v>
          </cell>
        </row>
        <row r="51">
          <cell r="A51" t="str">
            <v>1.09.노상준비공</v>
          </cell>
          <cell r="E51">
            <v>0</v>
          </cell>
          <cell r="F51">
            <v>0</v>
          </cell>
        </row>
        <row r="52">
          <cell r="A52" t="str">
            <v>a.기존도로부</v>
          </cell>
          <cell r="C52">
            <v>850</v>
          </cell>
          <cell r="D52" t="str">
            <v>M2</v>
          </cell>
          <cell r="E52">
            <v>0</v>
          </cell>
          <cell r="F52">
            <v>0</v>
          </cell>
        </row>
        <row r="53">
          <cell r="A53" t="str">
            <v>b.절토부</v>
          </cell>
          <cell r="C53">
            <v>57250</v>
          </cell>
          <cell r="D53" t="str">
            <v>M2</v>
          </cell>
          <cell r="E53">
            <v>0</v>
          </cell>
          <cell r="F53">
            <v>0</v>
          </cell>
        </row>
        <row r="54">
          <cell r="A54" t="str">
            <v>1.10 비탈면보호공</v>
          </cell>
          <cell r="E54">
            <v>0</v>
          </cell>
          <cell r="F54">
            <v>0</v>
          </cell>
        </row>
        <row r="55">
          <cell r="A55" t="str">
            <v>a.절토부</v>
          </cell>
          <cell r="E55">
            <v>0</v>
          </cell>
          <cell r="F55">
            <v>0</v>
          </cell>
        </row>
        <row r="56">
          <cell r="A56" t="str">
            <v>-1.거적덮기</v>
          </cell>
          <cell r="C56">
            <v>28500</v>
          </cell>
          <cell r="D56" t="str">
            <v>M2</v>
          </cell>
          <cell r="E56">
            <v>0</v>
          </cell>
          <cell r="F56">
            <v>0</v>
          </cell>
        </row>
        <row r="57">
          <cell r="A57" t="str">
            <v>-2.암절개면 보호식재공</v>
          </cell>
          <cell r="C57">
            <v>1160</v>
          </cell>
          <cell r="D57" t="str">
            <v>M2</v>
          </cell>
          <cell r="E57">
            <v>0</v>
          </cell>
          <cell r="F57">
            <v>0</v>
          </cell>
        </row>
        <row r="58">
          <cell r="A58" t="str">
            <v>-3.암절개면 보호식재공</v>
          </cell>
          <cell r="C58">
            <v>2900</v>
          </cell>
          <cell r="D58" t="str">
            <v>M2</v>
          </cell>
          <cell r="E58">
            <v>0</v>
          </cell>
          <cell r="F58">
            <v>0</v>
          </cell>
        </row>
        <row r="59">
          <cell r="A59" t="str">
            <v>b.성토부</v>
          </cell>
          <cell r="E59">
            <v>0</v>
          </cell>
          <cell r="F59">
            <v>0</v>
          </cell>
        </row>
        <row r="60">
          <cell r="A60" t="str">
            <v>-1.성토비탈면 다짐</v>
          </cell>
          <cell r="C60">
            <v>76240</v>
          </cell>
          <cell r="D60" t="str">
            <v>M2</v>
          </cell>
          <cell r="E60">
            <v>0</v>
          </cell>
          <cell r="F60">
            <v>0</v>
          </cell>
        </row>
        <row r="61">
          <cell r="A61" t="str">
            <v>-2.거적덮기</v>
          </cell>
          <cell r="C61">
            <v>76240</v>
          </cell>
          <cell r="D61" t="str">
            <v>M2</v>
          </cell>
          <cell r="E61">
            <v>0</v>
          </cell>
          <cell r="F61">
            <v>0</v>
          </cell>
        </row>
        <row r="62">
          <cell r="A62" t="str">
            <v>c.면고르기</v>
          </cell>
          <cell r="E62">
            <v>0</v>
          </cell>
          <cell r="F62">
            <v>0</v>
          </cell>
        </row>
        <row r="63">
          <cell r="A63" t="str">
            <v>-1.리핑암</v>
          </cell>
          <cell r="C63">
            <v>8530</v>
          </cell>
          <cell r="D63" t="str">
            <v>M2</v>
          </cell>
          <cell r="E63">
            <v>0</v>
          </cell>
          <cell r="F63">
            <v>0</v>
          </cell>
        </row>
        <row r="64">
          <cell r="A64" t="str">
            <v>-2.발파암</v>
          </cell>
          <cell r="C64">
            <v>19420</v>
          </cell>
          <cell r="D64" t="str">
            <v>M2</v>
          </cell>
          <cell r="E64">
            <v>0</v>
          </cell>
          <cell r="F64">
            <v>0</v>
          </cell>
        </row>
        <row r="65">
          <cell r="A65" t="str">
            <v>1.11.공사중비탈면보호시설</v>
          </cell>
          <cell r="E65">
            <v>0</v>
          </cell>
          <cell r="F65">
            <v>0</v>
          </cell>
        </row>
        <row r="66">
          <cell r="A66" t="str">
            <v>a.비탈면가보호망</v>
          </cell>
          <cell r="C66">
            <v>38625</v>
          </cell>
          <cell r="D66" t="str">
            <v>M2</v>
          </cell>
          <cell r="E66">
            <v>0</v>
          </cell>
          <cell r="F66">
            <v>0</v>
          </cell>
        </row>
        <row r="67">
          <cell r="A67" t="str">
            <v>b.가도수로공</v>
          </cell>
          <cell r="C67">
            <v>536</v>
          </cell>
          <cell r="D67" t="str">
            <v>M</v>
          </cell>
          <cell r="E67">
            <v>0</v>
          </cell>
          <cell r="F67">
            <v>0</v>
          </cell>
        </row>
        <row r="68">
          <cell r="A68" t="str">
            <v>1.12.비탈면 안정검토비</v>
          </cell>
          <cell r="E68">
            <v>0</v>
          </cell>
          <cell r="F68">
            <v>0</v>
          </cell>
        </row>
        <row r="69">
          <cell r="A69" t="str">
            <v>a.지표조사비</v>
          </cell>
          <cell r="C69">
            <v>1</v>
          </cell>
          <cell r="D69" t="str">
            <v>P.S</v>
          </cell>
          <cell r="E69">
            <v>0</v>
          </cell>
          <cell r="F69">
            <v>0</v>
          </cell>
        </row>
        <row r="70">
          <cell r="A70" t="str">
            <v>b.시추조사비</v>
          </cell>
          <cell r="E70">
            <v>0</v>
          </cell>
          <cell r="F70">
            <v>0</v>
          </cell>
        </row>
        <row r="71">
          <cell r="A71" t="str">
            <v>-1.기구설치비</v>
          </cell>
          <cell r="C71">
            <v>4</v>
          </cell>
          <cell r="D71" t="str">
            <v>개소</v>
          </cell>
          <cell r="E71">
            <v>0</v>
          </cell>
          <cell r="F71">
            <v>0</v>
          </cell>
        </row>
        <row r="72">
          <cell r="A72" t="str">
            <v>-2.토사층</v>
          </cell>
          <cell r="C72">
            <v>22</v>
          </cell>
          <cell r="D72" t="str">
            <v>M</v>
          </cell>
          <cell r="E72">
            <v>0</v>
          </cell>
          <cell r="F72">
            <v>0</v>
          </cell>
        </row>
        <row r="73">
          <cell r="A73" t="str">
            <v>-3.연암층</v>
          </cell>
          <cell r="C73">
            <v>14</v>
          </cell>
          <cell r="D73" t="str">
            <v>M</v>
          </cell>
          <cell r="E73">
            <v>0</v>
          </cell>
          <cell r="F73">
            <v>0</v>
          </cell>
        </row>
        <row r="74">
          <cell r="A74" t="str">
            <v>-4.경암층</v>
          </cell>
          <cell r="C74">
            <v>81</v>
          </cell>
          <cell r="D74" t="str">
            <v>M</v>
          </cell>
          <cell r="E74">
            <v>0</v>
          </cell>
          <cell r="F74">
            <v>0</v>
          </cell>
        </row>
        <row r="75">
          <cell r="A75" t="str">
            <v>c.탄성파탐사</v>
          </cell>
          <cell r="C75">
            <v>1</v>
          </cell>
          <cell r="D75" t="str">
            <v>P.S</v>
          </cell>
          <cell r="E75">
            <v>0</v>
          </cell>
          <cell r="F75">
            <v>0</v>
          </cell>
        </row>
        <row r="76">
          <cell r="A76" t="str">
            <v>d.실내실험</v>
          </cell>
          <cell r="C76">
            <v>1</v>
          </cell>
          <cell r="D76" t="str">
            <v>P.S</v>
          </cell>
          <cell r="E76">
            <v>0</v>
          </cell>
          <cell r="F76">
            <v>0</v>
          </cell>
        </row>
        <row r="77">
          <cell r="A77" t="str">
            <v>e.성과분석</v>
          </cell>
          <cell r="C77">
            <v>1</v>
          </cell>
          <cell r="D77" t="str">
            <v>P.S</v>
          </cell>
          <cell r="E77">
            <v>0</v>
          </cell>
          <cell r="F77">
            <v>0</v>
          </cell>
        </row>
        <row r="78">
          <cell r="A78" t="str">
            <v>1.13 토공규준틀</v>
          </cell>
          <cell r="E78">
            <v>0</v>
          </cell>
          <cell r="F78">
            <v>0</v>
          </cell>
        </row>
        <row r="79">
          <cell r="A79" t="str">
            <v>a.비탈규준틀</v>
          </cell>
          <cell r="C79">
            <v>197</v>
          </cell>
          <cell r="D79" t="str">
            <v>EA</v>
          </cell>
          <cell r="E79">
            <v>0</v>
          </cell>
          <cell r="F79">
            <v>0</v>
          </cell>
        </row>
        <row r="80">
          <cell r="A80" t="str">
            <v>b.수평규준틀</v>
          </cell>
          <cell r="C80">
            <v>130</v>
          </cell>
          <cell r="D80" t="str">
            <v>EA</v>
          </cell>
          <cell r="E80">
            <v>0</v>
          </cell>
          <cell r="F80">
            <v>0</v>
          </cell>
        </row>
        <row r="81">
          <cell r="A81" t="str">
            <v>1.14 저수지준설</v>
          </cell>
          <cell r="C81">
            <v>91824</v>
          </cell>
          <cell r="D81" t="str">
            <v>M3</v>
          </cell>
          <cell r="E81">
            <v>0</v>
          </cell>
          <cell r="F81">
            <v>0</v>
          </cell>
        </row>
        <row r="82">
          <cell r="A82" t="str">
            <v>2.배    수    공</v>
          </cell>
          <cell r="E82">
            <v>0</v>
          </cell>
          <cell r="F82">
            <v>0</v>
          </cell>
        </row>
        <row r="83">
          <cell r="A83" t="str">
            <v>2.01 토    공</v>
          </cell>
          <cell r="E83">
            <v>0</v>
          </cell>
          <cell r="F83">
            <v>0</v>
          </cell>
        </row>
        <row r="84">
          <cell r="A84" t="str">
            <v>a.측구터파기</v>
          </cell>
          <cell r="E84">
            <v>0</v>
          </cell>
          <cell r="F84">
            <v>0</v>
          </cell>
        </row>
        <row r="85">
          <cell r="A85" t="str">
            <v>-1.측구터파기</v>
          </cell>
          <cell r="C85">
            <v>15690</v>
          </cell>
          <cell r="D85" t="str">
            <v>M3</v>
          </cell>
          <cell r="E85">
            <v>0</v>
          </cell>
          <cell r="F85">
            <v>0</v>
          </cell>
        </row>
        <row r="86">
          <cell r="A86" t="str">
            <v>-2.측구터파기</v>
          </cell>
          <cell r="C86">
            <v>730</v>
          </cell>
          <cell r="D86" t="str">
            <v>M3</v>
          </cell>
          <cell r="E86">
            <v>0</v>
          </cell>
          <cell r="F86">
            <v>0</v>
          </cell>
        </row>
        <row r="87">
          <cell r="A87" t="str">
            <v>-3.측구되메우기및다짐</v>
          </cell>
          <cell r="C87">
            <v>10000</v>
          </cell>
          <cell r="D87" t="str">
            <v>M3</v>
          </cell>
          <cell r="E87">
            <v>0</v>
          </cell>
          <cell r="F87">
            <v>0</v>
          </cell>
        </row>
        <row r="88">
          <cell r="A88" t="str">
            <v>b.구조물터파기</v>
          </cell>
          <cell r="E88">
            <v>0</v>
          </cell>
          <cell r="F88">
            <v>0</v>
          </cell>
        </row>
        <row r="89">
          <cell r="A89" t="str">
            <v>-1.육상토사</v>
          </cell>
          <cell r="C89">
            <v>21670</v>
          </cell>
          <cell r="D89" t="str">
            <v>M3</v>
          </cell>
          <cell r="E89">
            <v>0</v>
          </cell>
          <cell r="F89">
            <v>0</v>
          </cell>
        </row>
        <row r="90">
          <cell r="A90" t="str">
            <v>-2.육상토사</v>
          </cell>
          <cell r="C90">
            <v>10100</v>
          </cell>
          <cell r="D90" t="str">
            <v>M3</v>
          </cell>
          <cell r="E90">
            <v>0</v>
          </cell>
          <cell r="F90">
            <v>0</v>
          </cell>
        </row>
        <row r="91">
          <cell r="A91" t="str">
            <v>-3.육상토사</v>
          </cell>
          <cell r="C91">
            <v>2260</v>
          </cell>
          <cell r="D91" t="str">
            <v>M3</v>
          </cell>
          <cell r="E91">
            <v>0</v>
          </cell>
          <cell r="F91">
            <v>0</v>
          </cell>
        </row>
        <row r="92">
          <cell r="A92" t="str">
            <v>-4.육상토사</v>
          </cell>
          <cell r="C92">
            <v>490</v>
          </cell>
          <cell r="D92" t="str">
            <v>M3</v>
          </cell>
          <cell r="E92">
            <v>0</v>
          </cell>
          <cell r="F92">
            <v>0</v>
          </cell>
        </row>
        <row r="93">
          <cell r="A93" t="str">
            <v>-5.육상토사</v>
          </cell>
          <cell r="C93">
            <v>280</v>
          </cell>
          <cell r="D93" t="str">
            <v>M3</v>
          </cell>
          <cell r="E93">
            <v>0</v>
          </cell>
          <cell r="F93">
            <v>0</v>
          </cell>
        </row>
        <row r="94">
          <cell r="A94" t="str">
            <v>-6.육상토사</v>
          </cell>
          <cell r="C94">
            <v>30</v>
          </cell>
          <cell r="D94" t="str">
            <v>M3</v>
          </cell>
          <cell r="E94">
            <v>0</v>
          </cell>
          <cell r="F94">
            <v>0</v>
          </cell>
        </row>
        <row r="95">
          <cell r="A95" t="str">
            <v>-7.육상리핑암</v>
          </cell>
          <cell r="C95">
            <v>50</v>
          </cell>
          <cell r="D95" t="str">
            <v>M3</v>
          </cell>
          <cell r="E95">
            <v>0</v>
          </cell>
          <cell r="F95">
            <v>0</v>
          </cell>
        </row>
        <row r="96">
          <cell r="A96" t="str">
            <v>-8.육상발파암</v>
          </cell>
          <cell r="C96">
            <v>1200</v>
          </cell>
          <cell r="D96" t="str">
            <v>M3</v>
          </cell>
          <cell r="E96">
            <v>0</v>
          </cell>
          <cell r="F96">
            <v>0</v>
          </cell>
        </row>
        <row r="97">
          <cell r="A97" t="str">
            <v>-9.용수토사</v>
          </cell>
          <cell r="C97">
            <v>3180</v>
          </cell>
          <cell r="D97" t="str">
            <v>M3</v>
          </cell>
          <cell r="E97">
            <v>0</v>
          </cell>
          <cell r="F97">
            <v>0</v>
          </cell>
        </row>
        <row r="98">
          <cell r="A98" t="str">
            <v>-10.용수토사</v>
          </cell>
          <cell r="C98">
            <v>760</v>
          </cell>
          <cell r="D98" t="str">
            <v>M3</v>
          </cell>
          <cell r="E98">
            <v>0</v>
          </cell>
          <cell r="F98">
            <v>0</v>
          </cell>
        </row>
        <row r="99">
          <cell r="A99" t="str">
            <v>c.되메우기(기계50%,인력50%)</v>
          </cell>
          <cell r="C99">
            <v>23070</v>
          </cell>
          <cell r="D99" t="str">
            <v>M3</v>
          </cell>
          <cell r="E99">
            <v>0</v>
          </cell>
          <cell r="F99">
            <v>0</v>
          </cell>
        </row>
        <row r="100">
          <cell r="A100" t="str">
            <v>2.02.측구공</v>
          </cell>
          <cell r="E100">
            <v>0</v>
          </cell>
          <cell r="F100">
            <v>0</v>
          </cell>
        </row>
        <row r="101">
          <cell r="A101" t="str">
            <v>a.L형측구</v>
          </cell>
          <cell r="E101">
            <v>0</v>
          </cell>
          <cell r="F101">
            <v>0</v>
          </cell>
        </row>
        <row r="102">
          <cell r="A102" t="str">
            <v>-1.형식-1</v>
          </cell>
          <cell r="C102">
            <v>2360</v>
          </cell>
          <cell r="D102" t="str">
            <v>M</v>
          </cell>
          <cell r="E102">
            <v>0</v>
          </cell>
          <cell r="F102">
            <v>0</v>
          </cell>
        </row>
        <row r="103">
          <cell r="A103" t="str">
            <v>-2.형식-2</v>
          </cell>
          <cell r="C103">
            <v>1269</v>
          </cell>
          <cell r="D103" t="str">
            <v>M</v>
          </cell>
          <cell r="E103">
            <v>0</v>
          </cell>
          <cell r="F103">
            <v>0</v>
          </cell>
        </row>
        <row r="104">
          <cell r="A104" t="str">
            <v>-3.형식-3</v>
          </cell>
          <cell r="C104">
            <v>230</v>
          </cell>
          <cell r="D104" t="str">
            <v>M</v>
          </cell>
          <cell r="E104">
            <v>0</v>
          </cell>
          <cell r="F104">
            <v>0</v>
          </cell>
        </row>
        <row r="105">
          <cell r="A105" t="str">
            <v>-4.형식-4(부체도로)</v>
          </cell>
          <cell r="C105">
            <v>513</v>
          </cell>
          <cell r="D105" t="str">
            <v>M</v>
          </cell>
          <cell r="E105">
            <v>0</v>
          </cell>
          <cell r="F105">
            <v>0</v>
          </cell>
        </row>
        <row r="106">
          <cell r="A106" t="str">
            <v>-5.성토부L형측구</v>
          </cell>
          <cell r="C106">
            <v>9150</v>
          </cell>
          <cell r="D106" t="str">
            <v>M</v>
          </cell>
          <cell r="E106">
            <v>0</v>
          </cell>
          <cell r="F106">
            <v>0</v>
          </cell>
        </row>
        <row r="107">
          <cell r="A107" t="str">
            <v>-6.형식-5(절토부소단측구)</v>
          </cell>
          <cell r="C107">
            <v>480</v>
          </cell>
          <cell r="D107" t="str">
            <v>M</v>
          </cell>
          <cell r="E107">
            <v>0</v>
          </cell>
          <cell r="F107">
            <v>0</v>
          </cell>
        </row>
        <row r="108">
          <cell r="A108" t="str">
            <v>-7.L형측구변화구간</v>
          </cell>
          <cell r="C108">
            <v>27</v>
          </cell>
          <cell r="D108" t="str">
            <v>개소</v>
          </cell>
          <cell r="E108">
            <v>0</v>
          </cell>
          <cell r="F108">
            <v>0</v>
          </cell>
        </row>
        <row r="109">
          <cell r="A109" t="str">
            <v>-8.L형측구변화구간</v>
          </cell>
          <cell r="C109">
            <v>6</v>
          </cell>
          <cell r="D109" t="str">
            <v>개소</v>
          </cell>
          <cell r="E109">
            <v>0</v>
          </cell>
          <cell r="F109">
            <v>0</v>
          </cell>
        </row>
        <row r="110">
          <cell r="A110" t="str">
            <v>b.U형측구</v>
          </cell>
          <cell r="E110">
            <v>0</v>
          </cell>
          <cell r="F110">
            <v>0</v>
          </cell>
        </row>
        <row r="111">
          <cell r="A111" t="str">
            <v>-1.형식-1</v>
          </cell>
          <cell r="C111">
            <v>297</v>
          </cell>
          <cell r="D111" t="str">
            <v>M</v>
          </cell>
          <cell r="E111">
            <v>0</v>
          </cell>
          <cell r="F111">
            <v>0</v>
          </cell>
        </row>
        <row r="112">
          <cell r="A112" t="str">
            <v>-2.형식-6</v>
          </cell>
          <cell r="C112">
            <v>350</v>
          </cell>
          <cell r="D112" t="str">
            <v>M</v>
          </cell>
          <cell r="E112">
            <v>0</v>
          </cell>
          <cell r="F112">
            <v>0</v>
          </cell>
        </row>
        <row r="113">
          <cell r="A113" t="str">
            <v>c.V형측구</v>
          </cell>
          <cell r="E113">
            <v>0</v>
          </cell>
          <cell r="F113">
            <v>0</v>
          </cell>
        </row>
        <row r="114">
          <cell r="A114" t="str">
            <v>-1.형식-2</v>
          </cell>
          <cell r="C114">
            <v>4399</v>
          </cell>
          <cell r="D114" t="str">
            <v>M</v>
          </cell>
          <cell r="E114">
            <v>0</v>
          </cell>
          <cell r="F114">
            <v>0</v>
          </cell>
        </row>
        <row r="115">
          <cell r="A115" t="str">
            <v>-2.형식-3</v>
          </cell>
          <cell r="C115">
            <v>980</v>
          </cell>
          <cell r="D115" t="str">
            <v>M</v>
          </cell>
          <cell r="E115">
            <v>0</v>
          </cell>
          <cell r="F115">
            <v>0</v>
          </cell>
        </row>
        <row r="116">
          <cell r="A116" t="str">
            <v>d.산마루 측구</v>
          </cell>
          <cell r="C116">
            <v>2335</v>
          </cell>
          <cell r="D116" t="str">
            <v>M</v>
          </cell>
          <cell r="E116">
            <v>0</v>
          </cell>
          <cell r="F116">
            <v>0</v>
          </cell>
        </row>
        <row r="117">
          <cell r="A117" t="str">
            <v>2.03 맹암거</v>
          </cell>
          <cell r="E117">
            <v>0</v>
          </cell>
          <cell r="F117">
            <v>0</v>
          </cell>
        </row>
        <row r="118">
          <cell r="A118" t="str">
            <v>a.형식-1 (L형측구하단)</v>
          </cell>
          <cell r="C118">
            <v>525</v>
          </cell>
          <cell r="D118" t="str">
            <v>M</v>
          </cell>
          <cell r="E118">
            <v>0</v>
          </cell>
          <cell r="F118">
            <v>0</v>
          </cell>
        </row>
        <row r="119">
          <cell r="A119" t="str">
            <v>b.형식-2 (L형측구하단)</v>
          </cell>
          <cell r="C119">
            <v>2437</v>
          </cell>
          <cell r="D119" t="str">
            <v>M</v>
          </cell>
          <cell r="E119">
            <v>0</v>
          </cell>
          <cell r="F119">
            <v>0</v>
          </cell>
        </row>
        <row r="120">
          <cell r="A120" t="str">
            <v>c.형식-3 (절성경계)</v>
          </cell>
          <cell r="C120">
            <v>310</v>
          </cell>
          <cell r="D120" t="str">
            <v>M</v>
          </cell>
          <cell r="E120">
            <v>0</v>
          </cell>
          <cell r="F120">
            <v>0</v>
          </cell>
        </row>
        <row r="121">
          <cell r="A121" t="str">
            <v>2.04 횡배수관</v>
          </cell>
          <cell r="E121">
            <v>0</v>
          </cell>
          <cell r="F121">
            <v>0</v>
          </cell>
        </row>
        <row r="122">
          <cell r="A122" t="str">
            <v>a.1.0&gt;H or H&gt;6.0M</v>
          </cell>
          <cell r="E122">
            <v>0</v>
          </cell>
          <cell r="F122">
            <v>0</v>
          </cell>
        </row>
        <row r="123">
          <cell r="A123" t="str">
            <v>a-1.￠1,000MM</v>
          </cell>
          <cell r="C123">
            <v>422</v>
          </cell>
          <cell r="D123" t="str">
            <v>M</v>
          </cell>
          <cell r="E123">
            <v>0</v>
          </cell>
          <cell r="F123">
            <v>0</v>
          </cell>
        </row>
        <row r="124">
          <cell r="A124" t="str">
            <v>a-2.￠1,200MM</v>
          </cell>
          <cell r="C124">
            <v>177</v>
          </cell>
          <cell r="D124" t="str">
            <v>M</v>
          </cell>
          <cell r="E124">
            <v>0</v>
          </cell>
          <cell r="F124">
            <v>0</v>
          </cell>
        </row>
        <row r="125">
          <cell r="A125" t="str">
            <v>b.1.0M&lt; H &lt; 6.0M</v>
          </cell>
          <cell r="E125">
            <v>0</v>
          </cell>
          <cell r="F125">
            <v>0</v>
          </cell>
        </row>
        <row r="126">
          <cell r="A126" t="str">
            <v>b-1.￠300MM</v>
          </cell>
          <cell r="C126">
            <v>8</v>
          </cell>
          <cell r="D126" t="str">
            <v>M</v>
          </cell>
          <cell r="E126">
            <v>0</v>
          </cell>
          <cell r="F126">
            <v>0</v>
          </cell>
        </row>
        <row r="127">
          <cell r="A127" t="str">
            <v>b-2.￠450MM</v>
          </cell>
          <cell r="C127">
            <v>70</v>
          </cell>
          <cell r="D127" t="str">
            <v>M</v>
          </cell>
          <cell r="E127">
            <v>0</v>
          </cell>
          <cell r="F127">
            <v>0</v>
          </cell>
        </row>
        <row r="128">
          <cell r="A128" t="str">
            <v>b-3.￠600MM</v>
          </cell>
          <cell r="C128">
            <v>23</v>
          </cell>
          <cell r="D128" t="str">
            <v>M</v>
          </cell>
          <cell r="E128">
            <v>0</v>
          </cell>
          <cell r="F128">
            <v>0</v>
          </cell>
        </row>
        <row r="129">
          <cell r="A129" t="str">
            <v>b-4.￠800MM</v>
          </cell>
          <cell r="C129">
            <v>78</v>
          </cell>
          <cell r="D129" t="str">
            <v>M</v>
          </cell>
          <cell r="E129">
            <v>0</v>
          </cell>
          <cell r="F129">
            <v>0</v>
          </cell>
        </row>
        <row r="130">
          <cell r="A130" t="str">
            <v>b-5.￠1000MM</v>
          </cell>
          <cell r="C130">
            <v>155</v>
          </cell>
          <cell r="D130" t="str">
            <v>M</v>
          </cell>
          <cell r="E130">
            <v>0</v>
          </cell>
          <cell r="F130">
            <v>0</v>
          </cell>
        </row>
        <row r="131">
          <cell r="A131" t="str">
            <v>b-6.￠1200MM</v>
          </cell>
          <cell r="C131">
            <v>82</v>
          </cell>
          <cell r="D131" t="str">
            <v>M</v>
          </cell>
          <cell r="E131">
            <v>0</v>
          </cell>
          <cell r="F131">
            <v>0</v>
          </cell>
        </row>
        <row r="132">
          <cell r="A132" t="str">
            <v>c.날개벽</v>
          </cell>
          <cell r="E132">
            <v>0</v>
          </cell>
          <cell r="F132">
            <v>0</v>
          </cell>
        </row>
        <row r="133">
          <cell r="A133" t="str">
            <v>c-1.콘크리트타설</v>
          </cell>
          <cell r="C133">
            <v>73</v>
          </cell>
          <cell r="D133" t="str">
            <v>M3</v>
          </cell>
          <cell r="E133">
            <v>0</v>
          </cell>
          <cell r="F133">
            <v>0</v>
          </cell>
        </row>
        <row r="134">
          <cell r="A134" t="str">
            <v>c-2.거푸집</v>
          </cell>
          <cell r="C134">
            <v>327</v>
          </cell>
          <cell r="D134" t="str">
            <v>M2</v>
          </cell>
          <cell r="E134">
            <v>0</v>
          </cell>
          <cell r="F134">
            <v>0</v>
          </cell>
        </row>
        <row r="135">
          <cell r="A135" t="str">
            <v>d.면벽</v>
          </cell>
          <cell r="E135">
            <v>0</v>
          </cell>
          <cell r="F135">
            <v>0</v>
          </cell>
        </row>
        <row r="136">
          <cell r="A136" t="str">
            <v>d-1.콘크리트타설</v>
          </cell>
          <cell r="C136">
            <v>3</v>
          </cell>
          <cell r="D136" t="str">
            <v>M3</v>
          </cell>
          <cell r="E136">
            <v>0</v>
          </cell>
          <cell r="F136">
            <v>0</v>
          </cell>
        </row>
        <row r="137">
          <cell r="A137" t="str">
            <v>d-2.거푸집</v>
          </cell>
          <cell r="C137">
            <v>47</v>
          </cell>
          <cell r="D137" t="str">
            <v>M2</v>
          </cell>
          <cell r="E137">
            <v>0</v>
          </cell>
          <cell r="F137">
            <v>0</v>
          </cell>
        </row>
        <row r="138">
          <cell r="A138" t="str">
            <v>2.05 종배수관</v>
          </cell>
          <cell r="E138">
            <v>0</v>
          </cell>
          <cell r="F138">
            <v>0</v>
          </cell>
        </row>
        <row r="139">
          <cell r="A139" t="str">
            <v>a.종배수관부설</v>
          </cell>
          <cell r="E139">
            <v>0</v>
          </cell>
          <cell r="F139">
            <v>0</v>
          </cell>
        </row>
        <row r="140">
          <cell r="A140" t="str">
            <v>a-1. ￠800MM</v>
          </cell>
          <cell r="C140">
            <v>764</v>
          </cell>
          <cell r="D140" t="str">
            <v>M</v>
          </cell>
          <cell r="E140">
            <v>0</v>
          </cell>
          <cell r="F140">
            <v>0</v>
          </cell>
        </row>
        <row r="141">
          <cell r="A141" t="str">
            <v>a-2. ￠1,000MM</v>
          </cell>
          <cell r="C141">
            <v>10</v>
          </cell>
          <cell r="D141" t="str">
            <v>M</v>
          </cell>
          <cell r="E141">
            <v>0</v>
          </cell>
          <cell r="F141">
            <v>0</v>
          </cell>
        </row>
        <row r="142">
          <cell r="A142" t="str">
            <v>b.종배수관 면벽</v>
          </cell>
          <cell r="E142">
            <v>0</v>
          </cell>
          <cell r="F142">
            <v>0</v>
          </cell>
        </row>
        <row r="143">
          <cell r="A143" t="str">
            <v>b-1.콘크리트타설</v>
          </cell>
          <cell r="C143">
            <v>6</v>
          </cell>
          <cell r="D143" t="str">
            <v>M3</v>
          </cell>
          <cell r="E143">
            <v>0</v>
          </cell>
          <cell r="F143">
            <v>0</v>
          </cell>
        </row>
        <row r="144">
          <cell r="A144" t="str">
            <v>b-2.거푸집</v>
          </cell>
          <cell r="C144">
            <v>91</v>
          </cell>
          <cell r="D144" t="str">
            <v>M2</v>
          </cell>
          <cell r="E144">
            <v>0</v>
          </cell>
          <cell r="F144">
            <v>0</v>
          </cell>
        </row>
        <row r="145">
          <cell r="A145" t="str">
            <v>2.06 집수정공</v>
          </cell>
          <cell r="E145">
            <v>0</v>
          </cell>
          <cell r="F145">
            <v>0</v>
          </cell>
        </row>
        <row r="146">
          <cell r="A146" t="str">
            <v>a.콘크리트타설</v>
          </cell>
          <cell r="E146">
            <v>0</v>
          </cell>
          <cell r="F146">
            <v>0</v>
          </cell>
        </row>
        <row r="147">
          <cell r="A147" t="str">
            <v>a-1.콘크이트타설</v>
          </cell>
          <cell r="C147">
            <v>4</v>
          </cell>
          <cell r="D147" t="str">
            <v>M3</v>
          </cell>
          <cell r="E147">
            <v>0</v>
          </cell>
          <cell r="F147">
            <v>0</v>
          </cell>
        </row>
        <row r="148">
          <cell r="A148" t="str">
            <v>a-2.콘크리트타설</v>
          </cell>
          <cell r="C148">
            <v>83</v>
          </cell>
          <cell r="D148" t="str">
            <v>M3</v>
          </cell>
          <cell r="E148">
            <v>0</v>
          </cell>
          <cell r="F148">
            <v>0</v>
          </cell>
        </row>
        <row r="149">
          <cell r="A149" t="str">
            <v>b.거푸집</v>
          </cell>
          <cell r="C149">
            <v>354</v>
          </cell>
          <cell r="D149" t="str">
            <v>M2</v>
          </cell>
          <cell r="E149">
            <v>0</v>
          </cell>
          <cell r="F149">
            <v>0</v>
          </cell>
        </row>
        <row r="150">
          <cell r="A150" t="str">
            <v>c.거푸집</v>
          </cell>
          <cell r="C150">
            <v>519</v>
          </cell>
          <cell r="D150" t="str">
            <v>M2</v>
          </cell>
          <cell r="E150">
            <v>0</v>
          </cell>
          <cell r="F150">
            <v>0</v>
          </cell>
        </row>
        <row r="151">
          <cell r="A151" t="str">
            <v>d.철근가공조립</v>
          </cell>
          <cell r="C151">
            <v>4.7709999999999999</v>
          </cell>
          <cell r="D151" t="str">
            <v>TON</v>
          </cell>
          <cell r="E151">
            <v>0</v>
          </cell>
          <cell r="F151">
            <v>0</v>
          </cell>
        </row>
        <row r="152">
          <cell r="A152" t="str">
            <v>e.집수정 배수구</v>
          </cell>
          <cell r="C152">
            <v>1</v>
          </cell>
          <cell r="D152" t="str">
            <v>M</v>
          </cell>
          <cell r="E152">
            <v>0</v>
          </cell>
          <cell r="F152">
            <v>0</v>
          </cell>
        </row>
        <row r="153">
          <cell r="A153" t="str">
            <v>f.뚜껑(스틸그레이팅)</v>
          </cell>
          <cell r="E153">
            <v>0</v>
          </cell>
          <cell r="F153">
            <v>0</v>
          </cell>
        </row>
        <row r="154">
          <cell r="A154" t="str">
            <v>f-1.830*830*50M/M</v>
          </cell>
          <cell r="C154">
            <v>1</v>
          </cell>
          <cell r="D154" t="str">
            <v>EA</v>
          </cell>
          <cell r="E154">
            <v>0</v>
          </cell>
          <cell r="F154">
            <v>0</v>
          </cell>
        </row>
        <row r="155">
          <cell r="A155" t="str">
            <v>f-2.1530*830*100M/M</v>
          </cell>
          <cell r="C155">
            <v>20</v>
          </cell>
          <cell r="D155" t="str">
            <v>EA</v>
          </cell>
          <cell r="E155">
            <v>0</v>
          </cell>
          <cell r="F155">
            <v>0</v>
          </cell>
        </row>
        <row r="156">
          <cell r="A156" t="str">
            <v>f-3.1390*1190*75M/M</v>
          </cell>
          <cell r="C156">
            <v>1</v>
          </cell>
          <cell r="D156" t="str">
            <v>EA</v>
          </cell>
          <cell r="E156">
            <v>0</v>
          </cell>
          <cell r="F156">
            <v>0</v>
          </cell>
        </row>
        <row r="157">
          <cell r="A157" t="str">
            <v>f-4.1799*1190*75M/M</v>
          </cell>
          <cell r="C157">
            <v>12</v>
          </cell>
          <cell r="D157" t="str">
            <v>EA</v>
          </cell>
          <cell r="E157">
            <v>0</v>
          </cell>
          <cell r="F157">
            <v>0</v>
          </cell>
        </row>
        <row r="158">
          <cell r="A158" t="str">
            <v>f-5.2190*1190*75M/M</v>
          </cell>
          <cell r="C158">
            <v>2</v>
          </cell>
          <cell r="D158" t="str">
            <v>EA</v>
          </cell>
          <cell r="E158">
            <v>0</v>
          </cell>
          <cell r="F158">
            <v>0</v>
          </cell>
        </row>
        <row r="159">
          <cell r="A159" t="str">
            <v>2.07 암 거 공</v>
          </cell>
          <cell r="E159">
            <v>0</v>
          </cell>
          <cell r="F159">
            <v>0</v>
          </cell>
        </row>
        <row r="160">
          <cell r="A160" t="str">
            <v>a.콘크리트타설</v>
          </cell>
          <cell r="E160">
            <v>0</v>
          </cell>
          <cell r="F160">
            <v>0</v>
          </cell>
        </row>
        <row r="161">
          <cell r="A161" t="str">
            <v>a-1.콘크리트타설</v>
          </cell>
          <cell r="C161">
            <v>8238</v>
          </cell>
          <cell r="D161" t="str">
            <v>M3</v>
          </cell>
          <cell r="E161">
            <v>0</v>
          </cell>
          <cell r="F161">
            <v>0</v>
          </cell>
        </row>
        <row r="162">
          <cell r="A162" t="str">
            <v>a-2.콘크리트타설</v>
          </cell>
          <cell r="C162">
            <v>922</v>
          </cell>
          <cell r="D162" t="str">
            <v>M3</v>
          </cell>
          <cell r="E162">
            <v>0</v>
          </cell>
          <cell r="F162">
            <v>0</v>
          </cell>
        </row>
        <row r="163">
          <cell r="A163" t="str">
            <v>b.거푸집</v>
          </cell>
          <cell r="E163">
            <v>0</v>
          </cell>
          <cell r="F163">
            <v>0</v>
          </cell>
        </row>
        <row r="164">
          <cell r="A164" t="str">
            <v>b-1.거푸집</v>
          </cell>
          <cell r="C164">
            <v>14093</v>
          </cell>
          <cell r="D164" t="str">
            <v>M2</v>
          </cell>
          <cell r="E164">
            <v>0</v>
          </cell>
          <cell r="F164">
            <v>0</v>
          </cell>
        </row>
        <row r="165">
          <cell r="A165" t="str">
            <v>b-2.거푸집</v>
          </cell>
          <cell r="C165">
            <v>956</v>
          </cell>
          <cell r="D165" t="str">
            <v>M2</v>
          </cell>
          <cell r="E165">
            <v>0</v>
          </cell>
          <cell r="F165">
            <v>0</v>
          </cell>
        </row>
        <row r="166">
          <cell r="A166" t="str">
            <v>b-3.거푸집</v>
          </cell>
          <cell r="C166">
            <v>224</v>
          </cell>
          <cell r="D166" t="str">
            <v>M2</v>
          </cell>
          <cell r="E166">
            <v>0</v>
          </cell>
          <cell r="F166">
            <v>0</v>
          </cell>
        </row>
        <row r="167">
          <cell r="A167" t="str">
            <v>b-4.P.E무늬거푸집</v>
          </cell>
          <cell r="C167">
            <v>1696</v>
          </cell>
          <cell r="D167" t="str">
            <v>㎡</v>
          </cell>
          <cell r="E167">
            <v>0</v>
          </cell>
          <cell r="F167">
            <v>0</v>
          </cell>
        </row>
        <row r="168">
          <cell r="A168" t="str">
            <v>c.철근가공 및 조립</v>
          </cell>
          <cell r="E168">
            <v>0</v>
          </cell>
          <cell r="F168">
            <v>0</v>
          </cell>
        </row>
        <row r="169">
          <cell r="A169" t="str">
            <v>c-1.간 단</v>
          </cell>
          <cell r="C169">
            <v>8.2000000000000003E-2</v>
          </cell>
          <cell r="D169" t="str">
            <v>TON</v>
          </cell>
          <cell r="E169">
            <v>0</v>
          </cell>
          <cell r="F169">
            <v>0</v>
          </cell>
        </row>
        <row r="170">
          <cell r="A170" t="str">
            <v>c-2.보 통</v>
          </cell>
          <cell r="C170">
            <v>29.591999999999999</v>
          </cell>
          <cell r="D170" t="str">
            <v>TON</v>
          </cell>
          <cell r="E170">
            <v>0</v>
          </cell>
          <cell r="F170">
            <v>0</v>
          </cell>
        </row>
        <row r="171">
          <cell r="A171" t="str">
            <v>c-3.복 잡</v>
          </cell>
          <cell r="C171">
            <v>1206.587</v>
          </cell>
          <cell r="D171" t="str">
            <v>TON</v>
          </cell>
          <cell r="E171">
            <v>0</v>
          </cell>
          <cell r="F171">
            <v>0</v>
          </cell>
        </row>
        <row r="172">
          <cell r="A172" t="str">
            <v>d.비계</v>
          </cell>
          <cell r="C172">
            <v>5071</v>
          </cell>
          <cell r="D172" t="str">
            <v>M2</v>
          </cell>
          <cell r="E172">
            <v>0</v>
          </cell>
          <cell r="F172">
            <v>0</v>
          </cell>
        </row>
        <row r="173">
          <cell r="A173" t="str">
            <v>e.동바리</v>
          </cell>
          <cell r="C173">
            <v>8750</v>
          </cell>
          <cell r="D173" t="str">
            <v>공/M3</v>
          </cell>
          <cell r="E173">
            <v>0</v>
          </cell>
          <cell r="F173">
            <v>0</v>
          </cell>
        </row>
        <row r="174">
          <cell r="A174" t="str">
            <v>f.아스팔트코팅</v>
          </cell>
          <cell r="C174">
            <v>4535</v>
          </cell>
          <cell r="D174" t="str">
            <v>M2</v>
          </cell>
          <cell r="E174">
            <v>0</v>
          </cell>
          <cell r="F174">
            <v>0</v>
          </cell>
        </row>
        <row r="175">
          <cell r="A175" t="str">
            <v>g.P.V.C 파이프</v>
          </cell>
          <cell r="E175">
            <v>0</v>
          </cell>
          <cell r="F175">
            <v>0</v>
          </cell>
        </row>
        <row r="176">
          <cell r="A176" t="str">
            <v>g-1. P.V.C PIPE</v>
          </cell>
          <cell r="C176">
            <v>72</v>
          </cell>
          <cell r="D176" t="str">
            <v>M</v>
          </cell>
          <cell r="E176">
            <v>0</v>
          </cell>
          <cell r="F176">
            <v>0</v>
          </cell>
        </row>
        <row r="177">
          <cell r="A177" t="str">
            <v>g-2. P.V.C PIPE</v>
          </cell>
          <cell r="C177">
            <v>18</v>
          </cell>
          <cell r="D177" t="str">
            <v>M</v>
          </cell>
          <cell r="E177">
            <v>0</v>
          </cell>
          <cell r="F177">
            <v>0</v>
          </cell>
        </row>
        <row r="178">
          <cell r="A178" t="str">
            <v>h.부직포</v>
          </cell>
          <cell r="C178">
            <v>306</v>
          </cell>
          <cell r="D178" t="str">
            <v>M2</v>
          </cell>
          <cell r="E178">
            <v>0</v>
          </cell>
          <cell r="F178">
            <v>0</v>
          </cell>
        </row>
        <row r="179">
          <cell r="A179" t="str">
            <v>i.뒷채움 및 다짐</v>
          </cell>
          <cell r="C179">
            <v>3190</v>
          </cell>
          <cell r="D179" t="str">
            <v>M3</v>
          </cell>
          <cell r="E179">
            <v>0</v>
          </cell>
          <cell r="F179">
            <v>0</v>
          </cell>
        </row>
        <row r="180">
          <cell r="A180" t="str">
            <v>j.기초잡석깔기</v>
          </cell>
          <cell r="C180">
            <v>872</v>
          </cell>
          <cell r="D180" t="str">
            <v>M3</v>
          </cell>
          <cell r="E180">
            <v>0</v>
          </cell>
          <cell r="F180">
            <v>0</v>
          </cell>
        </row>
        <row r="181">
          <cell r="A181" t="str">
            <v>k.물 푸 기</v>
          </cell>
          <cell r="C181">
            <v>415</v>
          </cell>
          <cell r="D181" t="str">
            <v>HR</v>
          </cell>
          <cell r="E181">
            <v>0</v>
          </cell>
          <cell r="F181">
            <v>0</v>
          </cell>
        </row>
        <row r="182">
          <cell r="A182" t="str">
            <v>l.지수판</v>
          </cell>
          <cell r="C182">
            <v>2820</v>
          </cell>
          <cell r="D182" t="str">
            <v>M</v>
          </cell>
          <cell r="E182">
            <v>0</v>
          </cell>
          <cell r="F182">
            <v>0</v>
          </cell>
        </row>
        <row r="183">
          <cell r="A183" t="str">
            <v>m.신축이음</v>
          </cell>
          <cell r="C183">
            <v>616</v>
          </cell>
          <cell r="D183" t="str">
            <v>M2</v>
          </cell>
          <cell r="E183">
            <v>0</v>
          </cell>
          <cell r="F183">
            <v>0</v>
          </cell>
        </row>
        <row r="184">
          <cell r="A184" t="str">
            <v>n.실런트</v>
          </cell>
          <cell r="C184">
            <v>645</v>
          </cell>
          <cell r="D184" t="str">
            <v>M</v>
          </cell>
          <cell r="E184">
            <v>0</v>
          </cell>
          <cell r="F184">
            <v>0</v>
          </cell>
        </row>
        <row r="185">
          <cell r="A185" t="str">
            <v>o.다웰바설치</v>
          </cell>
          <cell r="E185">
            <v>0</v>
          </cell>
          <cell r="F185">
            <v>0</v>
          </cell>
        </row>
        <row r="186">
          <cell r="A186" t="str">
            <v>o-1.신축이음부설치</v>
          </cell>
          <cell r="C186">
            <v>403</v>
          </cell>
          <cell r="D186" t="str">
            <v>EA</v>
          </cell>
          <cell r="E186">
            <v>0</v>
          </cell>
          <cell r="F186">
            <v>0</v>
          </cell>
        </row>
        <row r="187">
          <cell r="A187" t="str">
            <v>o-2.접속슬래브설치</v>
          </cell>
          <cell r="C187">
            <v>218</v>
          </cell>
          <cell r="D187" t="str">
            <v>EA</v>
          </cell>
          <cell r="E187">
            <v>0</v>
          </cell>
          <cell r="F187">
            <v>0</v>
          </cell>
        </row>
        <row r="188">
          <cell r="A188" t="str">
            <v>p.스페이서 설치</v>
          </cell>
          <cell r="E188">
            <v>0</v>
          </cell>
          <cell r="F188">
            <v>0</v>
          </cell>
        </row>
        <row r="189">
          <cell r="A189" t="str">
            <v>p-1.수평(슬래브)</v>
          </cell>
          <cell r="C189">
            <v>6326</v>
          </cell>
          <cell r="D189" t="str">
            <v>M2</v>
          </cell>
          <cell r="E189">
            <v>0</v>
          </cell>
          <cell r="F189">
            <v>0</v>
          </cell>
        </row>
        <row r="190">
          <cell r="A190" t="str">
            <v>p-2.수직(벽체)</v>
          </cell>
          <cell r="C190">
            <v>12526</v>
          </cell>
          <cell r="D190" t="str">
            <v>M2</v>
          </cell>
          <cell r="E190">
            <v>0</v>
          </cell>
          <cell r="F190">
            <v>0</v>
          </cell>
        </row>
        <row r="191">
          <cell r="A191" t="str">
            <v>q.치핑</v>
          </cell>
          <cell r="C191">
            <v>3</v>
          </cell>
          <cell r="D191" t="str">
            <v>M2</v>
          </cell>
          <cell r="E191">
            <v>0</v>
          </cell>
          <cell r="F191">
            <v>0</v>
          </cell>
        </row>
        <row r="192">
          <cell r="A192" t="str">
            <v>r.방호책난간</v>
          </cell>
          <cell r="C192">
            <v>25</v>
          </cell>
          <cell r="D192" t="str">
            <v>M</v>
          </cell>
          <cell r="E192">
            <v>0</v>
          </cell>
          <cell r="F192">
            <v>0</v>
          </cell>
        </row>
        <row r="193">
          <cell r="A193" t="str">
            <v>s.NOTCH</v>
          </cell>
          <cell r="C193">
            <v>114</v>
          </cell>
          <cell r="D193" t="str">
            <v>M</v>
          </cell>
          <cell r="E193">
            <v>0</v>
          </cell>
          <cell r="F193">
            <v>0</v>
          </cell>
        </row>
        <row r="194">
          <cell r="A194" t="str">
            <v>t.DRAIN BOARD</v>
          </cell>
          <cell r="C194">
            <v>303</v>
          </cell>
          <cell r="D194" t="str">
            <v>M2</v>
          </cell>
          <cell r="E194">
            <v>0</v>
          </cell>
          <cell r="F194">
            <v>0</v>
          </cell>
        </row>
        <row r="195">
          <cell r="A195" t="str">
            <v>u.시트방수</v>
          </cell>
          <cell r="C195">
            <v>163</v>
          </cell>
          <cell r="D195" t="str">
            <v>M2</v>
          </cell>
          <cell r="E195">
            <v>0</v>
          </cell>
          <cell r="F195">
            <v>0</v>
          </cell>
        </row>
        <row r="196">
          <cell r="A196" t="str">
            <v>v.시공이음면정리</v>
          </cell>
          <cell r="C196">
            <v>2107</v>
          </cell>
          <cell r="D196" t="str">
            <v>M2</v>
          </cell>
          <cell r="E196">
            <v>0</v>
          </cell>
          <cell r="F196">
            <v>0</v>
          </cell>
        </row>
        <row r="197">
          <cell r="A197" t="str">
            <v>w.모따기</v>
          </cell>
          <cell r="C197">
            <v>1156</v>
          </cell>
          <cell r="D197" t="str">
            <v>M</v>
          </cell>
          <cell r="E197">
            <v>0</v>
          </cell>
          <cell r="F197">
            <v>0</v>
          </cell>
        </row>
        <row r="198">
          <cell r="A198" t="str">
            <v>x.신구 암거 접합</v>
          </cell>
          <cell r="C198">
            <v>3</v>
          </cell>
          <cell r="D198" t="str">
            <v>M2</v>
          </cell>
          <cell r="E198">
            <v>0</v>
          </cell>
          <cell r="F198">
            <v>0</v>
          </cell>
        </row>
        <row r="199">
          <cell r="A199" t="str">
            <v>2.08.도수로공</v>
          </cell>
          <cell r="E199">
            <v>0</v>
          </cell>
          <cell r="F199">
            <v>0</v>
          </cell>
        </row>
        <row r="200">
          <cell r="A200" t="str">
            <v>a.콘크리트타설</v>
          </cell>
          <cell r="E200">
            <v>0</v>
          </cell>
          <cell r="F200">
            <v>0</v>
          </cell>
        </row>
        <row r="201">
          <cell r="A201" t="str">
            <v>a-1.콘크리트타설</v>
          </cell>
          <cell r="C201">
            <v>245</v>
          </cell>
          <cell r="D201" t="str">
            <v>M3</v>
          </cell>
          <cell r="E201">
            <v>0</v>
          </cell>
          <cell r="F201">
            <v>0</v>
          </cell>
        </row>
        <row r="202">
          <cell r="A202" t="str">
            <v>a-2.콘크리트타설</v>
          </cell>
          <cell r="C202">
            <v>59</v>
          </cell>
          <cell r="D202" t="str">
            <v>M3</v>
          </cell>
          <cell r="E202">
            <v>0</v>
          </cell>
          <cell r="F202">
            <v>0</v>
          </cell>
        </row>
        <row r="203">
          <cell r="A203" t="str">
            <v>b.거푸집</v>
          </cell>
          <cell r="C203">
            <v>1952</v>
          </cell>
          <cell r="D203" t="str">
            <v>M2</v>
          </cell>
          <cell r="E203">
            <v>0</v>
          </cell>
          <cell r="F203">
            <v>0</v>
          </cell>
        </row>
        <row r="204">
          <cell r="A204" t="str">
            <v>c.철근가공조립</v>
          </cell>
          <cell r="C204">
            <v>18.059000000000001</v>
          </cell>
          <cell r="D204" t="str">
            <v>TON</v>
          </cell>
          <cell r="E204">
            <v>0</v>
          </cell>
          <cell r="F204">
            <v>0</v>
          </cell>
        </row>
        <row r="205">
          <cell r="A205" t="str">
            <v>d.잔토처리</v>
          </cell>
          <cell r="C205">
            <v>580</v>
          </cell>
          <cell r="D205" t="str">
            <v>M3</v>
          </cell>
          <cell r="E205">
            <v>0</v>
          </cell>
          <cell r="F205">
            <v>0</v>
          </cell>
        </row>
        <row r="206">
          <cell r="A206" t="str">
            <v>2.09.U형개수로</v>
          </cell>
          <cell r="E206">
            <v>0</v>
          </cell>
          <cell r="F206">
            <v>0</v>
          </cell>
        </row>
        <row r="207">
          <cell r="A207" t="str">
            <v>a.콘크리트타설</v>
          </cell>
          <cell r="E207">
            <v>0</v>
          </cell>
          <cell r="F207">
            <v>0</v>
          </cell>
        </row>
        <row r="208">
          <cell r="A208" t="str">
            <v>a-1.콘크리트타설</v>
          </cell>
          <cell r="C208">
            <v>593</v>
          </cell>
          <cell r="D208" t="str">
            <v>M3</v>
          </cell>
          <cell r="E208">
            <v>0</v>
          </cell>
          <cell r="F208">
            <v>0</v>
          </cell>
        </row>
        <row r="209">
          <cell r="A209" t="str">
            <v>a-2.콘크리트타설</v>
          </cell>
          <cell r="C209">
            <v>109</v>
          </cell>
          <cell r="D209" t="str">
            <v>M3</v>
          </cell>
          <cell r="E209">
            <v>0</v>
          </cell>
          <cell r="F209">
            <v>0</v>
          </cell>
        </row>
        <row r="210">
          <cell r="A210" t="str">
            <v>b.거푸집</v>
          </cell>
          <cell r="E210">
            <v>0</v>
          </cell>
          <cell r="F210">
            <v>0</v>
          </cell>
        </row>
        <row r="211">
          <cell r="A211" t="str">
            <v>b-1.거푸집</v>
          </cell>
          <cell r="C211">
            <v>2058</v>
          </cell>
          <cell r="D211" t="str">
            <v>M2</v>
          </cell>
          <cell r="E211">
            <v>0</v>
          </cell>
          <cell r="F211">
            <v>0</v>
          </cell>
        </row>
        <row r="212">
          <cell r="A212" t="str">
            <v>b-2.거푸집</v>
          </cell>
          <cell r="C212">
            <v>1949</v>
          </cell>
          <cell r="D212" t="str">
            <v>M2</v>
          </cell>
          <cell r="E212">
            <v>0</v>
          </cell>
          <cell r="F212">
            <v>0</v>
          </cell>
        </row>
        <row r="213">
          <cell r="A213" t="str">
            <v>c.철근가공조립</v>
          </cell>
          <cell r="C213">
            <v>56.902000000000001</v>
          </cell>
          <cell r="D213" t="str">
            <v>TON</v>
          </cell>
          <cell r="E213">
            <v>0</v>
          </cell>
          <cell r="F213">
            <v>0</v>
          </cell>
        </row>
        <row r="214">
          <cell r="A214" t="str">
            <v>d.비계</v>
          </cell>
          <cell r="C214">
            <v>1400</v>
          </cell>
          <cell r="D214" t="str">
            <v>M2</v>
          </cell>
          <cell r="E214">
            <v>0</v>
          </cell>
          <cell r="F214">
            <v>0</v>
          </cell>
        </row>
        <row r="215">
          <cell r="A215" t="str">
            <v>e.지수판</v>
          </cell>
          <cell r="C215">
            <v>79</v>
          </cell>
          <cell r="D215" t="str">
            <v>M</v>
          </cell>
          <cell r="E215">
            <v>0</v>
          </cell>
          <cell r="F215">
            <v>0</v>
          </cell>
        </row>
        <row r="216">
          <cell r="A216" t="str">
            <v>f.JOINT FILLER</v>
          </cell>
          <cell r="C216">
            <v>40</v>
          </cell>
          <cell r="D216" t="str">
            <v>M2</v>
          </cell>
          <cell r="E216">
            <v>0</v>
          </cell>
          <cell r="F216">
            <v>0</v>
          </cell>
        </row>
        <row r="217">
          <cell r="A217" t="str">
            <v>g.동바리</v>
          </cell>
          <cell r="C217">
            <v>79</v>
          </cell>
          <cell r="D217" t="str">
            <v>공/M3</v>
          </cell>
          <cell r="E217">
            <v>0</v>
          </cell>
          <cell r="F217">
            <v>0</v>
          </cell>
        </row>
        <row r="218">
          <cell r="A218" t="str">
            <v>2.10 우수종단관공</v>
          </cell>
          <cell r="E218">
            <v>0</v>
          </cell>
          <cell r="F218">
            <v>0</v>
          </cell>
        </row>
        <row r="219">
          <cell r="A219" t="str">
            <v>a.D=800MM</v>
          </cell>
          <cell r="C219">
            <v>1753</v>
          </cell>
          <cell r="D219" t="str">
            <v>M</v>
          </cell>
          <cell r="E219">
            <v>0</v>
          </cell>
          <cell r="F219">
            <v>0</v>
          </cell>
        </row>
        <row r="220">
          <cell r="A220" t="str">
            <v>2.11 맨홀공</v>
          </cell>
          <cell r="E220">
            <v>0</v>
          </cell>
          <cell r="F220">
            <v>0</v>
          </cell>
        </row>
        <row r="221">
          <cell r="A221" t="str">
            <v>a.콘크리트타설(소형)</v>
          </cell>
          <cell r="C221">
            <v>14</v>
          </cell>
          <cell r="D221" t="str">
            <v>M3</v>
          </cell>
          <cell r="E221">
            <v>0</v>
          </cell>
          <cell r="F221">
            <v>0</v>
          </cell>
        </row>
        <row r="222">
          <cell r="A222" t="str">
            <v>b.콘크리트타설(소형)</v>
          </cell>
          <cell r="C222">
            <v>112</v>
          </cell>
          <cell r="D222" t="str">
            <v>M3</v>
          </cell>
          <cell r="E222">
            <v>0</v>
          </cell>
          <cell r="F222">
            <v>0</v>
          </cell>
        </row>
        <row r="223">
          <cell r="A223" t="str">
            <v>c.거푸집</v>
          </cell>
          <cell r="C223">
            <v>651</v>
          </cell>
          <cell r="D223" t="str">
            <v>M2</v>
          </cell>
          <cell r="E223">
            <v>0</v>
          </cell>
          <cell r="F223">
            <v>0</v>
          </cell>
        </row>
        <row r="224">
          <cell r="A224" t="str">
            <v>d.철근가공조립</v>
          </cell>
          <cell r="C224">
            <v>13.993</v>
          </cell>
          <cell r="D224" t="str">
            <v>TON</v>
          </cell>
          <cell r="E224">
            <v>0</v>
          </cell>
          <cell r="F224">
            <v>0</v>
          </cell>
        </row>
        <row r="225">
          <cell r="A225" t="str">
            <v>e.몰  탈</v>
          </cell>
          <cell r="C225">
            <v>1</v>
          </cell>
          <cell r="D225" t="str">
            <v>M3</v>
          </cell>
          <cell r="E225">
            <v>0</v>
          </cell>
          <cell r="F225">
            <v>0</v>
          </cell>
        </row>
        <row r="226">
          <cell r="A226" t="str">
            <v>f.발디딤쇠(사다리)설치</v>
          </cell>
          <cell r="C226">
            <v>0.38900000000000001</v>
          </cell>
          <cell r="D226" t="str">
            <v>TON</v>
          </cell>
          <cell r="E226">
            <v>0</v>
          </cell>
          <cell r="F226">
            <v>0</v>
          </cell>
        </row>
        <row r="227">
          <cell r="A227" t="str">
            <v>g.맨홀뚜껑설치</v>
          </cell>
          <cell r="E227">
            <v>0</v>
          </cell>
          <cell r="F227">
            <v>0</v>
          </cell>
        </row>
        <row r="228">
          <cell r="A228" t="str">
            <v>g-1.차도측</v>
          </cell>
          <cell r="C228">
            <v>6</v>
          </cell>
          <cell r="D228" t="str">
            <v>EA</v>
          </cell>
          <cell r="E228">
            <v>0</v>
          </cell>
          <cell r="F228">
            <v>0</v>
          </cell>
        </row>
        <row r="229">
          <cell r="A229" t="str">
            <v>g-2.보도측</v>
          </cell>
          <cell r="C229">
            <v>32</v>
          </cell>
          <cell r="D229" t="str">
            <v>EA</v>
          </cell>
          <cell r="E229">
            <v>0</v>
          </cell>
          <cell r="F229">
            <v>0</v>
          </cell>
        </row>
        <row r="230">
          <cell r="A230" t="str">
            <v>2.12 우수받이공</v>
          </cell>
          <cell r="E230">
            <v>0</v>
          </cell>
          <cell r="F230">
            <v>0</v>
          </cell>
        </row>
        <row r="231">
          <cell r="A231" t="str">
            <v>a.우수받이공</v>
          </cell>
          <cell r="C231">
            <v>71</v>
          </cell>
          <cell r="D231" t="str">
            <v>EA</v>
          </cell>
          <cell r="E231">
            <v>0</v>
          </cell>
          <cell r="F231">
            <v>0</v>
          </cell>
        </row>
        <row r="232">
          <cell r="A232" t="str">
            <v>3.구  조  물  공</v>
          </cell>
          <cell r="E232">
            <v>0</v>
          </cell>
          <cell r="F232">
            <v>0</v>
          </cell>
        </row>
        <row r="233">
          <cell r="A233" t="str">
            <v>A.휴암교(R.C 라멘교)</v>
          </cell>
          <cell r="E233">
            <v>0</v>
          </cell>
          <cell r="F233">
            <v>0</v>
          </cell>
        </row>
        <row r="234">
          <cell r="A234" t="str">
            <v>3.01 구조물터파기</v>
          </cell>
          <cell r="E234">
            <v>0</v>
          </cell>
          <cell r="F234">
            <v>0</v>
          </cell>
        </row>
        <row r="235">
          <cell r="A235" t="str">
            <v>a.육상토사</v>
          </cell>
          <cell r="C235">
            <v>120</v>
          </cell>
          <cell r="D235" t="str">
            <v>M3</v>
          </cell>
          <cell r="E235">
            <v>0</v>
          </cell>
          <cell r="F235">
            <v>0</v>
          </cell>
        </row>
        <row r="236">
          <cell r="A236" t="str">
            <v>b.용수토 사</v>
          </cell>
          <cell r="E236">
            <v>0</v>
          </cell>
          <cell r="F236">
            <v>0</v>
          </cell>
        </row>
        <row r="237">
          <cell r="A237" t="str">
            <v>-1.용수토사</v>
          </cell>
          <cell r="C237">
            <v>3300</v>
          </cell>
          <cell r="D237" t="str">
            <v>M3</v>
          </cell>
          <cell r="E237">
            <v>0</v>
          </cell>
          <cell r="F237">
            <v>0</v>
          </cell>
        </row>
        <row r="238">
          <cell r="A238" t="str">
            <v>-2.용수토사</v>
          </cell>
          <cell r="C238">
            <v>340</v>
          </cell>
          <cell r="D238" t="str">
            <v>M3</v>
          </cell>
          <cell r="E238">
            <v>0</v>
          </cell>
          <cell r="F238">
            <v>0</v>
          </cell>
        </row>
        <row r="239">
          <cell r="A239" t="str">
            <v>c.용수풍화암</v>
          </cell>
          <cell r="E239">
            <v>0</v>
          </cell>
          <cell r="F239">
            <v>0</v>
          </cell>
        </row>
        <row r="240">
          <cell r="A240" t="str">
            <v>-1.용수풍화암</v>
          </cell>
          <cell r="C240">
            <v>280</v>
          </cell>
          <cell r="D240" t="str">
            <v>M3</v>
          </cell>
          <cell r="E240">
            <v>0</v>
          </cell>
          <cell r="F240">
            <v>0</v>
          </cell>
        </row>
        <row r="241">
          <cell r="A241" t="str">
            <v>-2.용수풍화암</v>
          </cell>
          <cell r="C241">
            <v>90</v>
          </cell>
          <cell r="D241" t="str">
            <v>M3</v>
          </cell>
          <cell r="E241">
            <v>0</v>
          </cell>
          <cell r="F241">
            <v>0</v>
          </cell>
        </row>
        <row r="242">
          <cell r="A242" t="str">
            <v>d.용수발파암</v>
          </cell>
          <cell r="C242">
            <v>70</v>
          </cell>
          <cell r="D242" t="str">
            <v>M3</v>
          </cell>
          <cell r="E242">
            <v>0</v>
          </cell>
          <cell r="F242">
            <v>0</v>
          </cell>
        </row>
        <row r="243">
          <cell r="A243" t="str">
            <v>3.02 되메우기(기계70%,인력30%)</v>
          </cell>
          <cell r="C243">
            <v>2740</v>
          </cell>
          <cell r="D243" t="str">
            <v>M3</v>
          </cell>
          <cell r="E243">
            <v>0</v>
          </cell>
          <cell r="F243">
            <v>0</v>
          </cell>
        </row>
        <row r="244">
          <cell r="A244" t="str">
            <v>3.03 뒷채움 및 다짐</v>
          </cell>
          <cell r="C244">
            <v>722</v>
          </cell>
          <cell r="D244" t="str">
            <v>M3</v>
          </cell>
          <cell r="E244">
            <v>0</v>
          </cell>
          <cell r="F244">
            <v>0</v>
          </cell>
        </row>
        <row r="245">
          <cell r="A245" t="str">
            <v>3.04 면정리및청소</v>
          </cell>
          <cell r="C245">
            <v>180</v>
          </cell>
          <cell r="D245" t="str">
            <v>M2</v>
          </cell>
          <cell r="E245">
            <v>0</v>
          </cell>
          <cell r="F245">
            <v>0</v>
          </cell>
        </row>
        <row r="246">
          <cell r="A246" t="str">
            <v>3.05 세굴방지용사석채움</v>
          </cell>
          <cell r="C246">
            <v>883</v>
          </cell>
          <cell r="D246" t="str">
            <v>M3</v>
          </cell>
          <cell r="E246">
            <v>0</v>
          </cell>
          <cell r="F246">
            <v>0</v>
          </cell>
        </row>
        <row r="247">
          <cell r="A247" t="str">
            <v>3.06 물 푸 기</v>
          </cell>
          <cell r="C247">
            <v>320</v>
          </cell>
          <cell r="D247" t="str">
            <v>Hr</v>
          </cell>
          <cell r="E247">
            <v>0</v>
          </cell>
          <cell r="F247">
            <v>0</v>
          </cell>
        </row>
        <row r="248">
          <cell r="A248" t="str">
            <v>3.07 석축쌓기</v>
          </cell>
          <cell r="E248">
            <v>0</v>
          </cell>
          <cell r="F248">
            <v>0</v>
          </cell>
        </row>
        <row r="249">
          <cell r="A249" t="str">
            <v>a.찰쌓기</v>
          </cell>
          <cell r="C249">
            <v>192</v>
          </cell>
          <cell r="D249" t="str">
            <v>M2</v>
          </cell>
          <cell r="E249">
            <v>0</v>
          </cell>
          <cell r="F249">
            <v>0</v>
          </cell>
        </row>
        <row r="250">
          <cell r="A250" t="str">
            <v>b.석축쌓기 기초</v>
          </cell>
          <cell r="C250">
            <v>45</v>
          </cell>
          <cell r="D250" t="str">
            <v>M</v>
          </cell>
          <cell r="E250">
            <v>0</v>
          </cell>
          <cell r="F250">
            <v>0</v>
          </cell>
        </row>
        <row r="251">
          <cell r="A251" t="str">
            <v>3.08 콘크리트 타설</v>
          </cell>
          <cell r="E251">
            <v>0</v>
          </cell>
          <cell r="F251">
            <v>0</v>
          </cell>
        </row>
        <row r="252">
          <cell r="A252" t="str">
            <v>a.무       근</v>
          </cell>
          <cell r="C252">
            <v>77</v>
          </cell>
          <cell r="D252" t="str">
            <v>M3</v>
          </cell>
          <cell r="E252">
            <v>0</v>
          </cell>
          <cell r="F252">
            <v>0</v>
          </cell>
        </row>
        <row r="253">
          <cell r="A253" t="str">
            <v>b.무       근</v>
          </cell>
          <cell r="C253">
            <v>439</v>
          </cell>
          <cell r="D253" t="str">
            <v>M3</v>
          </cell>
          <cell r="E253">
            <v>0</v>
          </cell>
          <cell r="F253">
            <v>0</v>
          </cell>
        </row>
        <row r="254">
          <cell r="A254" t="str">
            <v>c.펌프카타설</v>
          </cell>
          <cell r="C254">
            <v>1232</v>
          </cell>
          <cell r="D254" t="str">
            <v>M3</v>
          </cell>
          <cell r="E254">
            <v>0</v>
          </cell>
          <cell r="F254">
            <v>0</v>
          </cell>
        </row>
        <row r="255">
          <cell r="A255" t="str">
            <v>3.09 몰  탈</v>
          </cell>
          <cell r="C255">
            <v>1.89</v>
          </cell>
          <cell r="D255" t="str">
            <v>M3</v>
          </cell>
          <cell r="E255">
            <v>0</v>
          </cell>
          <cell r="F255">
            <v>0</v>
          </cell>
        </row>
        <row r="256">
          <cell r="A256" t="str">
            <v>3.10 PVC PIPE</v>
          </cell>
          <cell r="C256">
            <v>73</v>
          </cell>
          <cell r="D256" t="str">
            <v>M</v>
          </cell>
          <cell r="E256">
            <v>0</v>
          </cell>
          <cell r="F256">
            <v>0</v>
          </cell>
        </row>
        <row r="257">
          <cell r="A257" t="str">
            <v>3.11 거 푸 집 공</v>
          </cell>
          <cell r="E257">
            <v>0</v>
          </cell>
          <cell r="F257">
            <v>0</v>
          </cell>
        </row>
        <row r="258">
          <cell r="A258" t="str">
            <v>a.합 판 거 푸 집</v>
          </cell>
          <cell r="E258">
            <v>0</v>
          </cell>
          <cell r="F258">
            <v>0</v>
          </cell>
        </row>
        <row r="259">
          <cell r="A259" t="str">
            <v>-1.거푸집</v>
          </cell>
          <cell r="C259">
            <v>1277</v>
          </cell>
          <cell r="D259" t="str">
            <v>M2</v>
          </cell>
          <cell r="E259">
            <v>0</v>
          </cell>
          <cell r="F259">
            <v>0</v>
          </cell>
        </row>
        <row r="260">
          <cell r="A260" t="str">
            <v>-2.거푸집</v>
          </cell>
          <cell r="C260">
            <v>272</v>
          </cell>
          <cell r="D260" t="str">
            <v>M2</v>
          </cell>
          <cell r="E260">
            <v>0</v>
          </cell>
          <cell r="F260">
            <v>0</v>
          </cell>
        </row>
        <row r="261">
          <cell r="A261" t="str">
            <v>-3.거푸집</v>
          </cell>
          <cell r="C261">
            <v>332</v>
          </cell>
          <cell r="D261" t="str">
            <v>M2</v>
          </cell>
          <cell r="E261">
            <v>0</v>
          </cell>
          <cell r="F261">
            <v>0</v>
          </cell>
        </row>
        <row r="262">
          <cell r="A262" t="str">
            <v>b.원형거푸집</v>
          </cell>
          <cell r="C262">
            <v>69</v>
          </cell>
          <cell r="D262" t="str">
            <v>M2</v>
          </cell>
          <cell r="E262">
            <v>0</v>
          </cell>
          <cell r="F262">
            <v>0</v>
          </cell>
        </row>
        <row r="263">
          <cell r="A263" t="str">
            <v>3.12 동바리</v>
          </cell>
          <cell r="E263">
            <v>0</v>
          </cell>
          <cell r="F263">
            <v>0</v>
          </cell>
        </row>
        <row r="264">
          <cell r="A264" t="str">
            <v>a.동바리</v>
          </cell>
          <cell r="C264">
            <v>2630</v>
          </cell>
          <cell r="D264" t="str">
            <v>공/M3</v>
          </cell>
          <cell r="E264">
            <v>0</v>
          </cell>
          <cell r="F264">
            <v>0</v>
          </cell>
        </row>
        <row r="265">
          <cell r="A265" t="str">
            <v>b.수평연결재</v>
          </cell>
          <cell r="C265">
            <v>580</v>
          </cell>
          <cell r="D265" t="str">
            <v>M2</v>
          </cell>
          <cell r="E265">
            <v>0</v>
          </cell>
          <cell r="F265">
            <v>0</v>
          </cell>
        </row>
        <row r="266">
          <cell r="A266" t="str">
            <v>3.13 비계</v>
          </cell>
          <cell r="C266">
            <v>330</v>
          </cell>
          <cell r="D266" t="str">
            <v>M2</v>
          </cell>
          <cell r="E266">
            <v>0</v>
          </cell>
          <cell r="F266">
            <v>0</v>
          </cell>
        </row>
        <row r="267">
          <cell r="A267" t="str">
            <v>3.14 모따기</v>
          </cell>
          <cell r="C267">
            <v>75</v>
          </cell>
          <cell r="D267" t="str">
            <v>M</v>
          </cell>
          <cell r="E267">
            <v>0</v>
          </cell>
          <cell r="F267">
            <v>0</v>
          </cell>
        </row>
        <row r="268">
          <cell r="A268" t="str">
            <v>3.15 교명주(화강석)</v>
          </cell>
          <cell r="C268">
            <v>2</v>
          </cell>
          <cell r="D268" t="str">
            <v>EA</v>
          </cell>
          <cell r="E268">
            <v>0</v>
          </cell>
          <cell r="F268">
            <v>0</v>
          </cell>
        </row>
        <row r="269">
          <cell r="A269" t="str">
            <v>3.16 교명판및설명판</v>
          </cell>
          <cell r="E269">
            <v>0</v>
          </cell>
          <cell r="F269">
            <v>0</v>
          </cell>
        </row>
        <row r="270">
          <cell r="A270" t="str">
            <v>a.교명판</v>
          </cell>
          <cell r="C270">
            <v>2</v>
          </cell>
          <cell r="D270" t="str">
            <v>EA</v>
          </cell>
          <cell r="E270">
            <v>0</v>
          </cell>
          <cell r="F270">
            <v>0</v>
          </cell>
        </row>
        <row r="271">
          <cell r="A271" t="str">
            <v>b.설명판</v>
          </cell>
          <cell r="C271">
            <v>2</v>
          </cell>
          <cell r="D271" t="str">
            <v>EA</v>
          </cell>
          <cell r="E271">
            <v>0</v>
          </cell>
          <cell r="F271">
            <v>0</v>
          </cell>
        </row>
        <row r="272">
          <cell r="A272" t="str">
            <v>3.17 표 면 처 리</v>
          </cell>
          <cell r="E272">
            <v>0</v>
          </cell>
          <cell r="F272">
            <v>0</v>
          </cell>
        </row>
        <row r="273">
          <cell r="A273" t="str">
            <v>a.슬라브 양생</v>
          </cell>
          <cell r="C273">
            <v>445</v>
          </cell>
          <cell r="D273" t="str">
            <v>M2</v>
          </cell>
          <cell r="E273">
            <v>0</v>
          </cell>
          <cell r="F273">
            <v>0</v>
          </cell>
        </row>
        <row r="274">
          <cell r="A274" t="str">
            <v>b.데크휘니샤 면고르기</v>
          </cell>
          <cell r="C274">
            <v>445</v>
          </cell>
          <cell r="D274" t="str">
            <v>M2</v>
          </cell>
          <cell r="E274">
            <v>0</v>
          </cell>
          <cell r="F274">
            <v>0</v>
          </cell>
        </row>
        <row r="275">
          <cell r="A275" t="str">
            <v>3.18 교 면 방 수</v>
          </cell>
          <cell r="C275">
            <v>445</v>
          </cell>
          <cell r="D275" t="str">
            <v>M2</v>
          </cell>
          <cell r="E275">
            <v>0</v>
          </cell>
          <cell r="F275">
            <v>0</v>
          </cell>
        </row>
        <row r="276">
          <cell r="A276" t="str">
            <v>3.19 배면방수</v>
          </cell>
          <cell r="C276">
            <v>166</v>
          </cell>
          <cell r="D276" t="str">
            <v>M2</v>
          </cell>
          <cell r="E276">
            <v>0</v>
          </cell>
          <cell r="F276">
            <v>0</v>
          </cell>
        </row>
        <row r="277">
          <cell r="A277" t="str">
            <v>3.20 전선관부설</v>
          </cell>
          <cell r="C277">
            <v>62</v>
          </cell>
          <cell r="D277" t="str">
            <v>M</v>
          </cell>
          <cell r="E277">
            <v>0</v>
          </cell>
          <cell r="F277">
            <v>0</v>
          </cell>
        </row>
        <row r="278">
          <cell r="A278" t="str">
            <v>3.21 T.B.M 설치</v>
          </cell>
          <cell r="C278">
            <v>1</v>
          </cell>
          <cell r="D278" t="str">
            <v>EA</v>
          </cell>
          <cell r="E278">
            <v>0</v>
          </cell>
          <cell r="F278">
            <v>0</v>
          </cell>
        </row>
        <row r="279">
          <cell r="A279" t="str">
            <v>3.22 스페이서 설치</v>
          </cell>
          <cell r="E279">
            <v>0</v>
          </cell>
          <cell r="F279">
            <v>0</v>
          </cell>
        </row>
        <row r="280">
          <cell r="A280" t="str">
            <v>a.스페이서 설치</v>
          </cell>
          <cell r="C280">
            <v>986</v>
          </cell>
          <cell r="D280" t="str">
            <v>M2</v>
          </cell>
          <cell r="E280">
            <v>0</v>
          </cell>
          <cell r="F280">
            <v>0</v>
          </cell>
        </row>
        <row r="281">
          <cell r="A281" t="str">
            <v>b.스페이서 설치</v>
          </cell>
          <cell r="C281">
            <v>531</v>
          </cell>
          <cell r="D281" t="str">
            <v>M2</v>
          </cell>
          <cell r="E281">
            <v>0</v>
          </cell>
          <cell r="F281">
            <v>0</v>
          </cell>
        </row>
        <row r="282">
          <cell r="A282" t="str">
            <v>3.23 철근가공 및 조립</v>
          </cell>
          <cell r="E282">
            <v>0</v>
          </cell>
          <cell r="F282">
            <v>0</v>
          </cell>
        </row>
        <row r="283">
          <cell r="A283" t="str">
            <v>a.보       통</v>
          </cell>
          <cell r="C283">
            <v>17.899000000000001</v>
          </cell>
          <cell r="D283" t="str">
            <v>TON</v>
          </cell>
          <cell r="E283">
            <v>0</v>
          </cell>
          <cell r="F283">
            <v>0</v>
          </cell>
        </row>
        <row r="284">
          <cell r="A284" t="str">
            <v>b.복       잡</v>
          </cell>
          <cell r="C284">
            <v>158.209</v>
          </cell>
          <cell r="D284" t="str">
            <v>TON</v>
          </cell>
          <cell r="E284">
            <v>0</v>
          </cell>
          <cell r="F284">
            <v>0</v>
          </cell>
        </row>
        <row r="285">
          <cell r="A285" t="str">
            <v>3.24 배 수 시 설 공</v>
          </cell>
          <cell r="E285">
            <v>0</v>
          </cell>
          <cell r="F285">
            <v>0</v>
          </cell>
        </row>
        <row r="286">
          <cell r="A286" t="str">
            <v>a.교량배수물빼기공</v>
          </cell>
          <cell r="C286">
            <v>59</v>
          </cell>
          <cell r="D286" t="str">
            <v>M</v>
          </cell>
          <cell r="E286">
            <v>0</v>
          </cell>
          <cell r="F286">
            <v>0</v>
          </cell>
        </row>
        <row r="287">
          <cell r="A287" t="str">
            <v>b.하층줄눈(성형)</v>
          </cell>
          <cell r="C287">
            <v>59</v>
          </cell>
          <cell r="D287" t="str">
            <v>M</v>
          </cell>
          <cell r="E287">
            <v>0</v>
          </cell>
          <cell r="F287">
            <v>0</v>
          </cell>
        </row>
        <row r="288">
          <cell r="A288" t="str">
            <v>c.상층줄눈(주입)</v>
          </cell>
          <cell r="C288">
            <v>59</v>
          </cell>
          <cell r="D288" t="str">
            <v>M</v>
          </cell>
          <cell r="E288">
            <v>0</v>
          </cell>
          <cell r="F288">
            <v>0</v>
          </cell>
        </row>
        <row r="289">
          <cell r="A289" t="str">
            <v>d.표면처리(방수)</v>
          </cell>
          <cell r="C289">
            <v>12</v>
          </cell>
          <cell r="D289" t="str">
            <v>M2</v>
          </cell>
          <cell r="E289">
            <v>0</v>
          </cell>
          <cell r="F289">
            <v>0</v>
          </cell>
        </row>
        <row r="290">
          <cell r="A290" t="str">
            <v>e.집수구(스턴레스)</v>
          </cell>
          <cell r="C290">
            <v>6</v>
          </cell>
          <cell r="D290" t="str">
            <v>EA</v>
          </cell>
          <cell r="E290">
            <v>0</v>
          </cell>
          <cell r="F290">
            <v>0</v>
          </cell>
        </row>
        <row r="291">
          <cell r="A291" t="str">
            <v>f.교량배수용강관(하천용)</v>
          </cell>
          <cell r="C291">
            <v>7</v>
          </cell>
          <cell r="D291" t="str">
            <v>M</v>
          </cell>
          <cell r="E291">
            <v>0</v>
          </cell>
          <cell r="F291">
            <v>0</v>
          </cell>
        </row>
        <row r="292">
          <cell r="A292" t="str">
            <v>g.이음부(스텐레스)</v>
          </cell>
          <cell r="C292">
            <v>6</v>
          </cell>
          <cell r="D292" t="str">
            <v>EA</v>
          </cell>
          <cell r="E292">
            <v>0</v>
          </cell>
          <cell r="F292">
            <v>0</v>
          </cell>
        </row>
        <row r="293">
          <cell r="A293" t="str">
            <v>3.25 DOWEL BAR 설치</v>
          </cell>
          <cell r="C293">
            <v>96</v>
          </cell>
          <cell r="D293" t="str">
            <v>개소</v>
          </cell>
          <cell r="E293">
            <v>0</v>
          </cell>
          <cell r="F293">
            <v>0</v>
          </cell>
        </row>
        <row r="294">
          <cell r="A294" t="str">
            <v>3.26 스치로폴</v>
          </cell>
          <cell r="E294">
            <v>0</v>
          </cell>
          <cell r="F294">
            <v>0</v>
          </cell>
        </row>
        <row r="295">
          <cell r="A295" t="str">
            <v>a.스치로폴</v>
          </cell>
          <cell r="C295">
            <v>77</v>
          </cell>
          <cell r="D295" t="str">
            <v>M2</v>
          </cell>
          <cell r="E295">
            <v>0</v>
          </cell>
          <cell r="F295">
            <v>0</v>
          </cell>
        </row>
        <row r="296">
          <cell r="A296" t="str">
            <v>3.27 방호책난간</v>
          </cell>
          <cell r="C296">
            <v>30</v>
          </cell>
          <cell r="D296" t="str">
            <v>M</v>
          </cell>
          <cell r="E296">
            <v>0</v>
          </cell>
          <cell r="F296">
            <v>0</v>
          </cell>
        </row>
        <row r="297">
          <cell r="A297" t="str">
            <v>3.28 강관파일</v>
          </cell>
          <cell r="E297">
            <v>0</v>
          </cell>
          <cell r="F297">
            <v>0</v>
          </cell>
        </row>
        <row r="298">
          <cell r="A298" t="str">
            <v>a.자재비 (R=508 M/M,T=12 M/M)</v>
          </cell>
          <cell r="C298">
            <v>221</v>
          </cell>
          <cell r="D298" t="str">
            <v>M</v>
          </cell>
          <cell r="E298">
            <v>0</v>
          </cell>
          <cell r="F298">
            <v>0</v>
          </cell>
        </row>
        <row r="299">
          <cell r="A299" t="str">
            <v>b.S.I.P</v>
          </cell>
          <cell r="C299">
            <v>221</v>
          </cell>
          <cell r="D299" t="str">
            <v>M</v>
          </cell>
          <cell r="E299">
            <v>0</v>
          </cell>
          <cell r="F299">
            <v>0</v>
          </cell>
        </row>
        <row r="300">
          <cell r="A300" t="str">
            <v>c.두부보강 (볼트식)</v>
          </cell>
          <cell r="C300">
            <v>42</v>
          </cell>
          <cell r="D300" t="str">
            <v>개소</v>
          </cell>
          <cell r="E300">
            <v>0</v>
          </cell>
          <cell r="F300">
            <v>0</v>
          </cell>
        </row>
        <row r="301">
          <cell r="A301" t="str">
            <v>d.선단 보강</v>
          </cell>
          <cell r="C301">
            <v>42</v>
          </cell>
          <cell r="D301" t="str">
            <v>개소</v>
          </cell>
          <cell r="E301">
            <v>0</v>
          </cell>
          <cell r="F301">
            <v>0</v>
          </cell>
        </row>
        <row r="302">
          <cell r="A302" t="str">
            <v>3.29 부직포</v>
          </cell>
          <cell r="C302">
            <v>126</v>
          </cell>
          <cell r="D302" t="str">
            <v>M2</v>
          </cell>
          <cell r="E302">
            <v>0</v>
          </cell>
          <cell r="F302">
            <v>0</v>
          </cell>
        </row>
        <row r="303">
          <cell r="A303" t="str">
            <v>3.30 가시설공</v>
          </cell>
          <cell r="E303">
            <v>0</v>
          </cell>
          <cell r="F303">
            <v>0</v>
          </cell>
        </row>
        <row r="304">
          <cell r="A304" t="str">
            <v>a.토  사천공(φ16" 3 WING BIT)</v>
          </cell>
          <cell r="C304">
            <v>789</v>
          </cell>
          <cell r="D304" t="str">
            <v>M</v>
          </cell>
          <cell r="E304">
            <v>0</v>
          </cell>
          <cell r="F304">
            <v>0</v>
          </cell>
        </row>
        <row r="305">
          <cell r="A305" t="str">
            <v>b.풍화암천공(φ16" 3 WING BIT)</v>
          </cell>
          <cell r="C305">
            <v>117</v>
          </cell>
          <cell r="D305" t="str">
            <v>M</v>
          </cell>
          <cell r="E305">
            <v>0</v>
          </cell>
          <cell r="F305">
            <v>0</v>
          </cell>
        </row>
        <row r="306">
          <cell r="A306" t="str">
            <v>c.경암천공(T-4)</v>
          </cell>
          <cell r="C306">
            <v>489</v>
          </cell>
          <cell r="D306" t="str">
            <v>M</v>
          </cell>
          <cell r="E306">
            <v>0</v>
          </cell>
          <cell r="F306">
            <v>0</v>
          </cell>
        </row>
        <row r="307">
          <cell r="A307" t="str">
            <v>d.SHEET PILE항타및항발</v>
          </cell>
          <cell r="C307">
            <v>1396</v>
          </cell>
          <cell r="D307" t="str">
            <v>M</v>
          </cell>
          <cell r="E307">
            <v>0</v>
          </cell>
          <cell r="F307">
            <v>0</v>
          </cell>
        </row>
        <row r="308">
          <cell r="A308" t="str">
            <v>e.버팀보 제작</v>
          </cell>
          <cell r="C308">
            <v>16</v>
          </cell>
          <cell r="D308" t="str">
            <v>본</v>
          </cell>
          <cell r="E308">
            <v>0</v>
          </cell>
          <cell r="F308">
            <v>0</v>
          </cell>
        </row>
        <row r="309">
          <cell r="A309" t="str">
            <v>f.버팀보 설치 (6∼8m)</v>
          </cell>
          <cell r="C309">
            <v>16</v>
          </cell>
          <cell r="D309" t="str">
            <v>EA</v>
          </cell>
          <cell r="E309">
            <v>0</v>
          </cell>
          <cell r="F309">
            <v>0</v>
          </cell>
        </row>
        <row r="310">
          <cell r="A310" t="str">
            <v>g.버팀보 철거 (6∼8m)</v>
          </cell>
          <cell r="C310">
            <v>16</v>
          </cell>
          <cell r="D310" t="str">
            <v>EA</v>
          </cell>
          <cell r="E310">
            <v>0</v>
          </cell>
          <cell r="F310">
            <v>0</v>
          </cell>
        </row>
        <row r="311">
          <cell r="A311" t="str">
            <v>h.CORNER STRUT제작</v>
          </cell>
          <cell r="C311">
            <v>8</v>
          </cell>
          <cell r="D311" t="str">
            <v>EA</v>
          </cell>
          <cell r="E311">
            <v>0</v>
          </cell>
          <cell r="F311">
            <v>0</v>
          </cell>
        </row>
        <row r="312">
          <cell r="A312" t="str">
            <v>i.CORNER STRUT 설치 (6∼8m)</v>
          </cell>
          <cell r="C312">
            <v>8</v>
          </cell>
          <cell r="D312" t="str">
            <v>EA</v>
          </cell>
          <cell r="E312">
            <v>0</v>
          </cell>
          <cell r="F312">
            <v>0</v>
          </cell>
        </row>
        <row r="313">
          <cell r="A313" t="str">
            <v>j.CORNER STRUT 철거 (6∼8m)</v>
          </cell>
          <cell r="C313">
            <v>8</v>
          </cell>
          <cell r="D313" t="str">
            <v>EA</v>
          </cell>
          <cell r="E313">
            <v>0</v>
          </cell>
          <cell r="F313">
            <v>0</v>
          </cell>
        </row>
        <row r="314">
          <cell r="A314" t="str">
            <v>k.JACK 설치해체</v>
          </cell>
          <cell r="C314">
            <v>24</v>
          </cell>
          <cell r="D314" t="str">
            <v>개소</v>
          </cell>
          <cell r="E314">
            <v>0</v>
          </cell>
          <cell r="F314">
            <v>0</v>
          </cell>
        </row>
        <row r="315">
          <cell r="A315" t="str">
            <v>l.보걸이설치</v>
          </cell>
          <cell r="C315">
            <v>118</v>
          </cell>
          <cell r="D315" t="str">
            <v>EA</v>
          </cell>
          <cell r="E315">
            <v>0</v>
          </cell>
          <cell r="F315">
            <v>0</v>
          </cell>
        </row>
        <row r="316">
          <cell r="A316" t="str">
            <v>m.보걸이철거</v>
          </cell>
          <cell r="C316">
            <v>118</v>
          </cell>
          <cell r="D316" t="str">
            <v>EA</v>
          </cell>
          <cell r="E316">
            <v>0</v>
          </cell>
          <cell r="F316">
            <v>0</v>
          </cell>
        </row>
        <row r="317">
          <cell r="A317" t="str">
            <v>n.띠장설치</v>
          </cell>
          <cell r="C317">
            <v>220</v>
          </cell>
          <cell r="D317" t="str">
            <v>M</v>
          </cell>
          <cell r="E317">
            <v>0</v>
          </cell>
          <cell r="F317">
            <v>0</v>
          </cell>
        </row>
        <row r="318">
          <cell r="A318" t="str">
            <v>o.띠장철거</v>
          </cell>
          <cell r="C318">
            <v>220</v>
          </cell>
          <cell r="D318" t="str">
            <v>M</v>
          </cell>
          <cell r="E318">
            <v>0</v>
          </cell>
          <cell r="F318">
            <v>0</v>
          </cell>
        </row>
        <row r="319">
          <cell r="A319" t="str">
            <v>p.띠장연결</v>
          </cell>
          <cell r="C319">
            <v>5</v>
          </cell>
          <cell r="D319" t="str">
            <v>EA</v>
          </cell>
          <cell r="E319">
            <v>0</v>
          </cell>
          <cell r="F319">
            <v>0</v>
          </cell>
        </row>
        <row r="320">
          <cell r="A320" t="str">
            <v>q.BRACING BEAM 설치 (15∼18m)</v>
          </cell>
          <cell r="C320">
            <v>2</v>
          </cell>
          <cell r="D320" t="str">
            <v>EA</v>
          </cell>
          <cell r="E320">
            <v>0</v>
          </cell>
          <cell r="F320">
            <v>0</v>
          </cell>
        </row>
        <row r="321">
          <cell r="A321" t="str">
            <v>r.BRACING BEAM 철거 (15∼18m)</v>
          </cell>
          <cell r="C321">
            <v>2</v>
          </cell>
          <cell r="D321" t="str">
            <v>EA</v>
          </cell>
          <cell r="E321">
            <v>0</v>
          </cell>
          <cell r="F321">
            <v>0</v>
          </cell>
        </row>
        <row r="322">
          <cell r="A322" t="str">
            <v>s.L형강설치</v>
          </cell>
          <cell r="C322">
            <v>8</v>
          </cell>
          <cell r="D322" t="str">
            <v>M</v>
          </cell>
          <cell r="E322">
            <v>0</v>
          </cell>
          <cell r="F322">
            <v>0</v>
          </cell>
        </row>
        <row r="323">
          <cell r="A323" t="str">
            <v>t.L형강철거</v>
          </cell>
          <cell r="C323">
            <v>8</v>
          </cell>
          <cell r="D323" t="str">
            <v>M</v>
          </cell>
          <cell r="E323">
            <v>0</v>
          </cell>
          <cell r="F323">
            <v>0</v>
          </cell>
        </row>
        <row r="324">
          <cell r="A324" t="str">
            <v>u.어스앙카공</v>
          </cell>
          <cell r="C324">
            <v>48</v>
          </cell>
          <cell r="D324" t="str">
            <v>EA</v>
          </cell>
          <cell r="E324">
            <v>0</v>
          </cell>
          <cell r="F324">
            <v>0</v>
          </cell>
        </row>
        <row r="325">
          <cell r="A325" t="str">
            <v>v.구조용H형강</v>
          </cell>
          <cell r="C325">
            <v>37.283999999999999</v>
          </cell>
          <cell r="D325" t="str">
            <v>TON</v>
          </cell>
          <cell r="E325">
            <v>0</v>
          </cell>
          <cell r="F325">
            <v>0</v>
          </cell>
        </row>
        <row r="326">
          <cell r="A326" t="str">
            <v>w.구조용H형강</v>
          </cell>
          <cell r="C326">
            <v>2.08</v>
          </cell>
          <cell r="D326" t="str">
            <v>TON</v>
          </cell>
          <cell r="E326">
            <v>0</v>
          </cell>
          <cell r="F326">
            <v>0</v>
          </cell>
        </row>
        <row r="327">
          <cell r="A327" t="str">
            <v>x.강널말뚝</v>
          </cell>
          <cell r="C327">
            <v>100.652</v>
          </cell>
          <cell r="D327" t="str">
            <v>TON</v>
          </cell>
          <cell r="E327">
            <v>0</v>
          </cell>
          <cell r="F327">
            <v>0</v>
          </cell>
        </row>
        <row r="328">
          <cell r="A328" t="str">
            <v>y.강재 및 형강운반비</v>
          </cell>
          <cell r="C328">
            <v>140.23699999999999</v>
          </cell>
          <cell r="D328" t="str">
            <v>TON</v>
          </cell>
          <cell r="E328">
            <v>0</v>
          </cell>
          <cell r="F328">
            <v>0</v>
          </cell>
        </row>
        <row r="329">
          <cell r="A329" t="str">
            <v>3.31 휴암교 철거</v>
          </cell>
          <cell r="C329">
            <v>1</v>
          </cell>
          <cell r="D329" t="str">
            <v>식</v>
          </cell>
          <cell r="E329">
            <v>0</v>
          </cell>
          <cell r="F329">
            <v>0</v>
          </cell>
        </row>
        <row r="330">
          <cell r="A330" t="str">
            <v>B.산수1교(S.T.BOX교)</v>
          </cell>
          <cell r="E330">
            <v>0</v>
          </cell>
          <cell r="F330">
            <v>0</v>
          </cell>
        </row>
        <row r="331">
          <cell r="A331" t="str">
            <v>3.01 터 파 기</v>
          </cell>
          <cell r="E331">
            <v>0</v>
          </cell>
          <cell r="F331">
            <v>0</v>
          </cell>
        </row>
        <row r="332">
          <cell r="A332" t="str">
            <v>a.육상토사</v>
          </cell>
          <cell r="C332">
            <v>480</v>
          </cell>
          <cell r="D332" t="str">
            <v>M3</v>
          </cell>
          <cell r="E332">
            <v>0</v>
          </cell>
          <cell r="F332">
            <v>0</v>
          </cell>
        </row>
        <row r="333">
          <cell r="A333" t="str">
            <v>b.육상풍화암</v>
          </cell>
          <cell r="C333">
            <v>1050</v>
          </cell>
          <cell r="D333" t="str">
            <v>M3</v>
          </cell>
          <cell r="E333">
            <v>0</v>
          </cell>
          <cell r="F333">
            <v>0</v>
          </cell>
        </row>
        <row r="334">
          <cell r="A334" t="str">
            <v>c.용수토사</v>
          </cell>
          <cell r="E334">
            <v>0</v>
          </cell>
          <cell r="F334">
            <v>0</v>
          </cell>
        </row>
        <row r="335">
          <cell r="A335" t="str">
            <v>-1.용수토사</v>
          </cell>
          <cell r="C335">
            <v>4120</v>
          </cell>
          <cell r="D335" t="str">
            <v>M3</v>
          </cell>
          <cell r="E335">
            <v>0</v>
          </cell>
          <cell r="F335">
            <v>0</v>
          </cell>
        </row>
        <row r="336">
          <cell r="A336" t="str">
            <v>-2.용수토사</v>
          </cell>
          <cell r="C336">
            <v>4530</v>
          </cell>
          <cell r="D336" t="str">
            <v>M3</v>
          </cell>
          <cell r="E336">
            <v>0</v>
          </cell>
          <cell r="F336">
            <v>0</v>
          </cell>
        </row>
        <row r="337">
          <cell r="A337" t="str">
            <v>d.용수풍화암</v>
          </cell>
          <cell r="E337">
            <v>0</v>
          </cell>
          <cell r="F337">
            <v>0</v>
          </cell>
        </row>
        <row r="338">
          <cell r="A338" t="str">
            <v>-1.용수풍화암</v>
          </cell>
          <cell r="C338">
            <v>130</v>
          </cell>
          <cell r="D338" t="str">
            <v>M3</v>
          </cell>
          <cell r="E338">
            <v>0</v>
          </cell>
          <cell r="F338">
            <v>0</v>
          </cell>
        </row>
        <row r="339">
          <cell r="A339" t="str">
            <v>e.용수발파암</v>
          </cell>
          <cell r="E339">
            <v>0</v>
          </cell>
          <cell r="F339">
            <v>0</v>
          </cell>
        </row>
        <row r="340">
          <cell r="A340" t="str">
            <v>-1.용수발파암</v>
          </cell>
          <cell r="C340">
            <v>2960</v>
          </cell>
          <cell r="D340" t="str">
            <v>㎥</v>
          </cell>
          <cell r="E340">
            <v>0</v>
          </cell>
          <cell r="F340">
            <v>0</v>
          </cell>
        </row>
        <row r="341">
          <cell r="A341" t="str">
            <v>3.02 되메우기(기계70%,인력30%)</v>
          </cell>
          <cell r="C341">
            <v>880</v>
          </cell>
          <cell r="D341" t="str">
            <v>M3</v>
          </cell>
          <cell r="E341">
            <v>0</v>
          </cell>
          <cell r="F341">
            <v>0</v>
          </cell>
        </row>
        <row r="342">
          <cell r="A342" t="str">
            <v>3.03 뒷채움 및 다짐</v>
          </cell>
          <cell r="C342">
            <v>840</v>
          </cell>
          <cell r="D342" t="str">
            <v>M3</v>
          </cell>
          <cell r="E342">
            <v>0</v>
          </cell>
          <cell r="F342">
            <v>0</v>
          </cell>
        </row>
        <row r="343">
          <cell r="A343" t="str">
            <v>3.04 면정리및청소</v>
          </cell>
          <cell r="C343">
            <v>1032</v>
          </cell>
          <cell r="D343" t="str">
            <v>M2</v>
          </cell>
          <cell r="E343">
            <v>0</v>
          </cell>
          <cell r="F343">
            <v>0</v>
          </cell>
        </row>
        <row r="344">
          <cell r="A344" t="str">
            <v>3.05 앞 성 토</v>
          </cell>
          <cell r="C344">
            <v>2132</v>
          </cell>
          <cell r="D344" t="str">
            <v>M3</v>
          </cell>
          <cell r="E344">
            <v>0</v>
          </cell>
          <cell r="F344">
            <v>0</v>
          </cell>
        </row>
        <row r="345">
          <cell r="A345" t="str">
            <v>3.06 세굴방지용사석채움</v>
          </cell>
          <cell r="C345">
            <v>2950</v>
          </cell>
          <cell r="D345" t="str">
            <v>M3</v>
          </cell>
          <cell r="E345">
            <v>0</v>
          </cell>
          <cell r="F345">
            <v>0</v>
          </cell>
        </row>
        <row r="346">
          <cell r="A346" t="str">
            <v>3.07 물 푸 기</v>
          </cell>
          <cell r="C346">
            <v>2770</v>
          </cell>
          <cell r="D346" t="str">
            <v>Hr</v>
          </cell>
          <cell r="E346">
            <v>0</v>
          </cell>
          <cell r="F346">
            <v>0</v>
          </cell>
        </row>
        <row r="347">
          <cell r="A347" t="str">
            <v>3.08 콘크리트 타설</v>
          </cell>
          <cell r="E347">
            <v>0</v>
          </cell>
          <cell r="F347">
            <v>0</v>
          </cell>
        </row>
        <row r="348">
          <cell r="A348" t="str">
            <v>a.철       근</v>
          </cell>
          <cell r="C348">
            <v>349</v>
          </cell>
          <cell r="D348" t="str">
            <v>M3</v>
          </cell>
          <cell r="E348">
            <v>0</v>
          </cell>
          <cell r="F348">
            <v>0</v>
          </cell>
        </row>
        <row r="349">
          <cell r="A349" t="str">
            <v>b.무       근</v>
          </cell>
          <cell r="C349">
            <v>116</v>
          </cell>
          <cell r="D349" t="str">
            <v>M3</v>
          </cell>
          <cell r="E349">
            <v>0</v>
          </cell>
          <cell r="F349">
            <v>0</v>
          </cell>
        </row>
        <row r="350">
          <cell r="A350" t="str">
            <v>c.무       근</v>
          </cell>
          <cell r="C350">
            <v>362</v>
          </cell>
          <cell r="D350" t="str">
            <v>M3</v>
          </cell>
          <cell r="E350">
            <v>0</v>
          </cell>
          <cell r="F350">
            <v>0</v>
          </cell>
        </row>
        <row r="351">
          <cell r="A351" t="str">
            <v>d.펌프카타설</v>
          </cell>
          <cell r="C351">
            <v>5637</v>
          </cell>
          <cell r="D351" t="str">
            <v>M3</v>
          </cell>
          <cell r="E351">
            <v>0</v>
          </cell>
          <cell r="F351">
            <v>0</v>
          </cell>
        </row>
        <row r="352">
          <cell r="A352" t="str">
            <v>e.펌프카타설</v>
          </cell>
          <cell r="C352">
            <v>719</v>
          </cell>
          <cell r="D352" t="str">
            <v>M3</v>
          </cell>
          <cell r="E352">
            <v>0</v>
          </cell>
          <cell r="F352">
            <v>0</v>
          </cell>
        </row>
        <row r="353">
          <cell r="A353" t="str">
            <v>3.09 무수축 콘크리트</v>
          </cell>
          <cell r="C353">
            <v>10.055999999999999</v>
          </cell>
          <cell r="D353" t="str">
            <v>M3</v>
          </cell>
          <cell r="E353">
            <v>0</v>
          </cell>
          <cell r="F353">
            <v>0</v>
          </cell>
        </row>
        <row r="354">
          <cell r="A354" t="str">
            <v>3.10 무수축 몰탈</v>
          </cell>
          <cell r="C354">
            <v>2.3159999999999998</v>
          </cell>
          <cell r="D354" t="str">
            <v>M3</v>
          </cell>
          <cell r="E354">
            <v>0</v>
          </cell>
          <cell r="F354">
            <v>0</v>
          </cell>
        </row>
        <row r="355">
          <cell r="A355" t="str">
            <v>3.11 거푸집공</v>
          </cell>
          <cell r="E355">
            <v>0</v>
          </cell>
          <cell r="F355">
            <v>0</v>
          </cell>
        </row>
        <row r="356">
          <cell r="A356" t="str">
            <v>a.합 판 거 푸 집</v>
          </cell>
          <cell r="E356">
            <v>0</v>
          </cell>
          <cell r="F356">
            <v>0</v>
          </cell>
        </row>
        <row r="357">
          <cell r="A357" t="str">
            <v>-1.거푸집</v>
          </cell>
          <cell r="C357">
            <v>5959</v>
          </cell>
          <cell r="D357" t="str">
            <v>M2</v>
          </cell>
          <cell r="E357">
            <v>0</v>
          </cell>
          <cell r="F357">
            <v>0</v>
          </cell>
        </row>
        <row r="358">
          <cell r="A358" t="str">
            <v>-2.거푸집</v>
          </cell>
          <cell r="C358">
            <v>46</v>
          </cell>
          <cell r="D358" t="str">
            <v>M2</v>
          </cell>
          <cell r="E358">
            <v>0</v>
          </cell>
          <cell r="F358">
            <v>0</v>
          </cell>
        </row>
        <row r="359">
          <cell r="A359" t="str">
            <v>-3.거푸집</v>
          </cell>
          <cell r="C359">
            <v>123</v>
          </cell>
          <cell r="D359" t="str">
            <v>M2</v>
          </cell>
          <cell r="E359">
            <v>0</v>
          </cell>
          <cell r="F359">
            <v>0</v>
          </cell>
        </row>
        <row r="360">
          <cell r="A360" t="str">
            <v>-4.거푸집</v>
          </cell>
          <cell r="C360">
            <v>142</v>
          </cell>
          <cell r="D360" t="str">
            <v>M2</v>
          </cell>
          <cell r="E360">
            <v>0</v>
          </cell>
          <cell r="F360">
            <v>0</v>
          </cell>
        </row>
        <row r="361">
          <cell r="A361" t="str">
            <v>-5.거푸집</v>
          </cell>
          <cell r="C361">
            <v>284</v>
          </cell>
          <cell r="D361" t="str">
            <v>M2</v>
          </cell>
          <cell r="E361">
            <v>0</v>
          </cell>
          <cell r="F361">
            <v>0</v>
          </cell>
        </row>
        <row r="362">
          <cell r="A362" t="str">
            <v>-6.거푸집</v>
          </cell>
          <cell r="C362">
            <v>17</v>
          </cell>
          <cell r="D362" t="str">
            <v>M2</v>
          </cell>
          <cell r="E362">
            <v>0</v>
          </cell>
          <cell r="F362">
            <v>0</v>
          </cell>
        </row>
        <row r="363">
          <cell r="A363" t="str">
            <v>-7.거푸집</v>
          </cell>
          <cell r="C363">
            <v>899</v>
          </cell>
          <cell r="D363" t="str">
            <v>M2</v>
          </cell>
          <cell r="E363">
            <v>0</v>
          </cell>
          <cell r="F363">
            <v>0</v>
          </cell>
        </row>
        <row r="364">
          <cell r="A364" t="str">
            <v>-8.거푸집</v>
          </cell>
          <cell r="C364">
            <v>243</v>
          </cell>
          <cell r="D364" t="str">
            <v>M2</v>
          </cell>
          <cell r="E364">
            <v>0</v>
          </cell>
          <cell r="F364">
            <v>0</v>
          </cell>
        </row>
        <row r="365">
          <cell r="A365" t="str">
            <v>b.P.E무늬거푸집</v>
          </cell>
          <cell r="E365">
            <v>0</v>
          </cell>
          <cell r="F365">
            <v>0</v>
          </cell>
        </row>
        <row r="366">
          <cell r="A366" t="str">
            <v>-1.P.E무늬거푸집</v>
          </cell>
          <cell r="C366">
            <v>372</v>
          </cell>
          <cell r="D366" t="str">
            <v>㎡</v>
          </cell>
          <cell r="E366">
            <v>0</v>
          </cell>
          <cell r="F366">
            <v>0</v>
          </cell>
        </row>
        <row r="367">
          <cell r="A367" t="str">
            <v>-2.P.E무늬거푸집</v>
          </cell>
          <cell r="C367">
            <v>2</v>
          </cell>
          <cell r="D367" t="str">
            <v>㎡</v>
          </cell>
          <cell r="E367">
            <v>0</v>
          </cell>
          <cell r="F367">
            <v>0</v>
          </cell>
        </row>
        <row r="368">
          <cell r="A368" t="str">
            <v>c.목재 원형 거푸집</v>
          </cell>
          <cell r="E368">
            <v>0</v>
          </cell>
          <cell r="F368">
            <v>0</v>
          </cell>
        </row>
        <row r="369">
          <cell r="A369" t="str">
            <v>-1.원형거푸집</v>
          </cell>
          <cell r="C369">
            <v>616</v>
          </cell>
          <cell r="D369" t="str">
            <v>M2</v>
          </cell>
          <cell r="E369">
            <v>0</v>
          </cell>
          <cell r="F369">
            <v>0</v>
          </cell>
        </row>
        <row r="370">
          <cell r="A370" t="str">
            <v>-2.원형거푸집</v>
          </cell>
          <cell r="C370">
            <v>264</v>
          </cell>
          <cell r="D370" t="str">
            <v>M2</v>
          </cell>
          <cell r="E370">
            <v>0</v>
          </cell>
          <cell r="F370">
            <v>0</v>
          </cell>
        </row>
        <row r="371">
          <cell r="A371" t="str">
            <v>-3.원형거푸집</v>
          </cell>
          <cell r="C371">
            <v>264</v>
          </cell>
          <cell r="D371" t="str">
            <v>M2</v>
          </cell>
          <cell r="E371">
            <v>0</v>
          </cell>
          <cell r="F371">
            <v>0</v>
          </cell>
        </row>
        <row r="372">
          <cell r="A372" t="str">
            <v>-4.원형거푸집</v>
          </cell>
          <cell r="C372">
            <v>228</v>
          </cell>
          <cell r="D372" t="str">
            <v>M2</v>
          </cell>
          <cell r="E372">
            <v>0</v>
          </cell>
          <cell r="F372">
            <v>0</v>
          </cell>
        </row>
        <row r="373">
          <cell r="A373" t="str">
            <v>-5.원형거푸집</v>
          </cell>
          <cell r="C373">
            <v>163</v>
          </cell>
          <cell r="D373" t="str">
            <v>M2</v>
          </cell>
          <cell r="E373">
            <v>0</v>
          </cell>
          <cell r="F373">
            <v>0</v>
          </cell>
        </row>
        <row r="374">
          <cell r="A374" t="str">
            <v>-6.원형거푸집</v>
          </cell>
          <cell r="C374">
            <v>55</v>
          </cell>
          <cell r="D374" t="str">
            <v>M2</v>
          </cell>
          <cell r="E374">
            <v>0</v>
          </cell>
          <cell r="F374">
            <v>0</v>
          </cell>
        </row>
        <row r="375">
          <cell r="A375" t="str">
            <v>-7.원형거푸집</v>
          </cell>
          <cell r="C375">
            <v>2</v>
          </cell>
          <cell r="D375" t="str">
            <v>M2</v>
          </cell>
          <cell r="E375">
            <v>0</v>
          </cell>
          <cell r="F375">
            <v>0</v>
          </cell>
        </row>
        <row r="376">
          <cell r="A376" t="str">
            <v>3.12 동바리</v>
          </cell>
          <cell r="E376">
            <v>0</v>
          </cell>
          <cell r="F376">
            <v>0</v>
          </cell>
        </row>
        <row r="377">
          <cell r="A377" t="str">
            <v>a.동바리</v>
          </cell>
          <cell r="C377">
            <v>3030</v>
          </cell>
          <cell r="D377" t="str">
            <v>공M3</v>
          </cell>
          <cell r="E377">
            <v>0</v>
          </cell>
          <cell r="F377">
            <v>0</v>
          </cell>
        </row>
        <row r="378">
          <cell r="A378" t="str">
            <v>b.동바리</v>
          </cell>
          <cell r="C378">
            <v>850</v>
          </cell>
          <cell r="D378" t="str">
            <v>공M3</v>
          </cell>
          <cell r="E378">
            <v>0</v>
          </cell>
          <cell r="F378">
            <v>0</v>
          </cell>
        </row>
        <row r="379">
          <cell r="A379" t="str">
            <v>c.동바리</v>
          </cell>
          <cell r="C379">
            <v>2530</v>
          </cell>
          <cell r="D379" t="str">
            <v>공/M3</v>
          </cell>
          <cell r="E379">
            <v>0</v>
          </cell>
          <cell r="F379">
            <v>0</v>
          </cell>
        </row>
        <row r="380">
          <cell r="A380" t="str">
            <v>d.수평연결재</v>
          </cell>
          <cell r="C380">
            <v>550</v>
          </cell>
          <cell r="D380" t="str">
            <v>M2</v>
          </cell>
          <cell r="E380">
            <v>0</v>
          </cell>
          <cell r="F380">
            <v>0</v>
          </cell>
        </row>
        <row r="381">
          <cell r="A381" t="str">
            <v>3.13 비계</v>
          </cell>
          <cell r="C381">
            <v>5630</v>
          </cell>
          <cell r="D381" t="str">
            <v>M2</v>
          </cell>
          <cell r="E381">
            <v>0</v>
          </cell>
          <cell r="F381">
            <v>0</v>
          </cell>
        </row>
        <row r="382">
          <cell r="A382" t="str">
            <v>3.14 모따기</v>
          </cell>
          <cell r="C382">
            <v>1437</v>
          </cell>
          <cell r="D382" t="str">
            <v>M</v>
          </cell>
          <cell r="E382">
            <v>0</v>
          </cell>
          <cell r="F382">
            <v>0</v>
          </cell>
        </row>
        <row r="383">
          <cell r="A383" t="str">
            <v>3.15 신축이음장치</v>
          </cell>
          <cell r="C383">
            <v>39</v>
          </cell>
          <cell r="D383" t="str">
            <v>M</v>
          </cell>
          <cell r="E383">
            <v>0</v>
          </cell>
          <cell r="F383">
            <v>0</v>
          </cell>
        </row>
        <row r="384">
          <cell r="A384" t="str">
            <v>3.16 교명주(화강석)</v>
          </cell>
          <cell r="C384">
            <v>4</v>
          </cell>
          <cell r="D384" t="str">
            <v>EA</v>
          </cell>
          <cell r="E384">
            <v>0</v>
          </cell>
          <cell r="F384">
            <v>0</v>
          </cell>
        </row>
        <row r="385">
          <cell r="A385" t="str">
            <v>3.17 교명판및설명판</v>
          </cell>
          <cell r="E385">
            <v>0</v>
          </cell>
          <cell r="F385">
            <v>0</v>
          </cell>
        </row>
        <row r="386">
          <cell r="A386" t="str">
            <v>a.교명판</v>
          </cell>
          <cell r="C386">
            <v>2</v>
          </cell>
          <cell r="D386" t="str">
            <v>EA</v>
          </cell>
          <cell r="E386">
            <v>0</v>
          </cell>
          <cell r="F386">
            <v>0</v>
          </cell>
        </row>
        <row r="387">
          <cell r="A387" t="str">
            <v>b.설명판</v>
          </cell>
          <cell r="C387">
            <v>2</v>
          </cell>
          <cell r="D387" t="str">
            <v>EA</v>
          </cell>
          <cell r="E387">
            <v>0</v>
          </cell>
          <cell r="F387">
            <v>0</v>
          </cell>
        </row>
        <row r="388">
          <cell r="A388" t="str">
            <v>3.18 표면처리</v>
          </cell>
          <cell r="E388">
            <v>0</v>
          </cell>
          <cell r="F388">
            <v>0</v>
          </cell>
        </row>
        <row r="389">
          <cell r="A389" t="str">
            <v>a.슬라브 양생</v>
          </cell>
          <cell r="C389">
            <v>4978</v>
          </cell>
          <cell r="D389" t="str">
            <v>M2</v>
          </cell>
          <cell r="E389">
            <v>0</v>
          </cell>
          <cell r="F389">
            <v>0</v>
          </cell>
        </row>
        <row r="390">
          <cell r="A390" t="str">
            <v>b.데크휘니샤 면고르기</v>
          </cell>
          <cell r="C390">
            <v>4978</v>
          </cell>
          <cell r="D390" t="str">
            <v>M2</v>
          </cell>
          <cell r="E390">
            <v>0</v>
          </cell>
          <cell r="F390">
            <v>0</v>
          </cell>
        </row>
        <row r="391">
          <cell r="A391" t="str">
            <v>3.19 교면방수</v>
          </cell>
          <cell r="C391">
            <v>4978</v>
          </cell>
          <cell r="D391" t="str">
            <v>M2</v>
          </cell>
          <cell r="E391">
            <v>0</v>
          </cell>
          <cell r="F391">
            <v>0</v>
          </cell>
        </row>
        <row r="392">
          <cell r="A392" t="str">
            <v>3.20 배면방수</v>
          </cell>
          <cell r="C392">
            <v>324</v>
          </cell>
          <cell r="D392" t="str">
            <v>M2</v>
          </cell>
          <cell r="E392">
            <v>0</v>
          </cell>
          <cell r="F392">
            <v>0</v>
          </cell>
        </row>
        <row r="393">
          <cell r="A393" t="str">
            <v>3.21 전선관부설</v>
          </cell>
          <cell r="C393">
            <v>1077</v>
          </cell>
          <cell r="D393" t="str">
            <v>M</v>
          </cell>
          <cell r="E393">
            <v>0</v>
          </cell>
          <cell r="F393">
            <v>0</v>
          </cell>
        </row>
        <row r="394">
          <cell r="A394" t="str">
            <v>3.22 T.B.M 설치</v>
          </cell>
          <cell r="C394">
            <v>2</v>
          </cell>
          <cell r="D394" t="str">
            <v>개</v>
          </cell>
          <cell r="E394">
            <v>0</v>
          </cell>
          <cell r="F394">
            <v>0</v>
          </cell>
        </row>
        <row r="395">
          <cell r="A395" t="str">
            <v>3.23 낙하물 방지공</v>
          </cell>
          <cell r="C395">
            <v>5860</v>
          </cell>
          <cell r="D395" t="str">
            <v>M2</v>
          </cell>
          <cell r="E395">
            <v>0</v>
          </cell>
          <cell r="F395">
            <v>0</v>
          </cell>
        </row>
        <row r="396">
          <cell r="A396" t="str">
            <v>3.24 방호벽</v>
          </cell>
          <cell r="C396">
            <v>538</v>
          </cell>
          <cell r="D396" t="str">
            <v>M</v>
          </cell>
          <cell r="E396">
            <v>0</v>
          </cell>
          <cell r="F396">
            <v>0</v>
          </cell>
        </row>
        <row r="397">
          <cell r="A397" t="str">
            <v>3.25 중앙분리대</v>
          </cell>
          <cell r="C397">
            <v>510</v>
          </cell>
          <cell r="D397" t="str">
            <v>M</v>
          </cell>
          <cell r="E397">
            <v>0</v>
          </cell>
          <cell r="F397">
            <v>0</v>
          </cell>
        </row>
        <row r="398">
          <cell r="A398" t="str">
            <v>3.26 NOTCH  설치</v>
          </cell>
          <cell r="C398">
            <v>1020</v>
          </cell>
          <cell r="D398" t="str">
            <v>M</v>
          </cell>
          <cell r="E398">
            <v>0</v>
          </cell>
          <cell r="F398">
            <v>0</v>
          </cell>
        </row>
        <row r="399">
          <cell r="A399" t="str">
            <v>3.27 교량유지관리용표지판</v>
          </cell>
          <cell r="E399">
            <v>0</v>
          </cell>
          <cell r="F399">
            <v>0</v>
          </cell>
        </row>
        <row r="400">
          <cell r="A400" t="str">
            <v>a.강교용</v>
          </cell>
          <cell r="C400">
            <v>40</v>
          </cell>
          <cell r="D400" t="str">
            <v>EA</v>
          </cell>
          <cell r="E400">
            <v>0</v>
          </cell>
          <cell r="F400">
            <v>0</v>
          </cell>
        </row>
        <row r="401">
          <cell r="A401" t="str">
            <v>b.교각,교 대 용</v>
          </cell>
          <cell r="C401">
            <v>18</v>
          </cell>
          <cell r="D401" t="str">
            <v>EA</v>
          </cell>
          <cell r="E401">
            <v>0</v>
          </cell>
          <cell r="F401">
            <v>0</v>
          </cell>
        </row>
        <row r="402">
          <cell r="A402" t="str">
            <v>3.28 스페이서 설치</v>
          </cell>
          <cell r="E402">
            <v>0</v>
          </cell>
          <cell r="F402">
            <v>0</v>
          </cell>
        </row>
        <row r="403">
          <cell r="A403" t="str">
            <v>a.스페이서 설치</v>
          </cell>
          <cell r="C403">
            <v>3351</v>
          </cell>
          <cell r="D403" t="str">
            <v>M2</v>
          </cell>
          <cell r="E403">
            <v>0</v>
          </cell>
          <cell r="F403">
            <v>0</v>
          </cell>
        </row>
        <row r="404">
          <cell r="A404" t="str">
            <v>b.스페이서 설치</v>
          </cell>
          <cell r="C404">
            <v>6452</v>
          </cell>
          <cell r="D404" t="str">
            <v>M2</v>
          </cell>
          <cell r="E404">
            <v>0</v>
          </cell>
          <cell r="F404">
            <v>0</v>
          </cell>
        </row>
        <row r="405">
          <cell r="A405" t="str">
            <v>3.29 철근가공 및 조립</v>
          </cell>
          <cell r="E405">
            <v>0</v>
          </cell>
          <cell r="F405">
            <v>0</v>
          </cell>
        </row>
        <row r="406">
          <cell r="A406" t="str">
            <v>a.보       통</v>
          </cell>
          <cell r="C406">
            <v>69.248999999999995</v>
          </cell>
          <cell r="D406" t="str">
            <v>TON</v>
          </cell>
          <cell r="E406">
            <v>0</v>
          </cell>
          <cell r="F406">
            <v>0</v>
          </cell>
        </row>
        <row r="407">
          <cell r="A407" t="str">
            <v>b.복       잡</v>
          </cell>
          <cell r="C407">
            <v>470.63799999999998</v>
          </cell>
          <cell r="D407" t="str">
            <v>TON</v>
          </cell>
          <cell r="E407">
            <v>0</v>
          </cell>
          <cell r="F407">
            <v>0</v>
          </cell>
        </row>
        <row r="408">
          <cell r="A408" t="str">
            <v>c.매 우 복 잡</v>
          </cell>
          <cell r="C408">
            <v>646.73299999999995</v>
          </cell>
          <cell r="D408" t="str">
            <v>TON</v>
          </cell>
          <cell r="E408">
            <v>0</v>
          </cell>
          <cell r="F408">
            <v>0</v>
          </cell>
        </row>
        <row r="409">
          <cell r="A409" t="str">
            <v>3.30 교량유지관리점검시설</v>
          </cell>
          <cell r="C409">
            <v>4</v>
          </cell>
          <cell r="D409" t="str">
            <v>EA</v>
          </cell>
          <cell r="E409">
            <v>0</v>
          </cell>
          <cell r="F409">
            <v>0</v>
          </cell>
        </row>
        <row r="410">
          <cell r="A410" t="str">
            <v>3.31 배수시설공</v>
          </cell>
          <cell r="E410">
            <v>0</v>
          </cell>
          <cell r="F410">
            <v>0</v>
          </cell>
        </row>
        <row r="411">
          <cell r="A411" t="str">
            <v>a.교량배수물배기공</v>
          </cell>
          <cell r="C411">
            <v>505</v>
          </cell>
          <cell r="D411" t="str">
            <v>M</v>
          </cell>
          <cell r="E411">
            <v>0</v>
          </cell>
          <cell r="F411">
            <v>0</v>
          </cell>
        </row>
        <row r="412">
          <cell r="A412" t="str">
            <v>b.하층줄눈(성형)</v>
          </cell>
          <cell r="C412">
            <v>505</v>
          </cell>
          <cell r="D412" t="str">
            <v>M</v>
          </cell>
          <cell r="E412">
            <v>0</v>
          </cell>
          <cell r="F412">
            <v>0</v>
          </cell>
        </row>
        <row r="413">
          <cell r="A413" t="str">
            <v>c.상층줄눈(주입)</v>
          </cell>
          <cell r="C413">
            <v>505</v>
          </cell>
          <cell r="D413" t="str">
            <v>M</v>
          </cell>
          <cell r="E413">
            <v>0</v>
          </cell>
          <cell r="F413">
            <v>0</v>
          </cell>
        </row>
        <row r="414">
          <cell r="A414" t="str">
            <v>d.표면처리(방수)</v>
          </cell>
          <cell r="C414">
            <v>101</v>
          </cell>
          <cell r="D414" t="str">
            <v>M2</v>
          </cell>
          <cell r="E414">
            <v>0</v>
          </cell>
          <cell r="F414">
            <v>0</v>
          </cell>
        </row>
        <row r="415">
          <cell r="A415" t="str">
            <v>e.하천용 집수구(스턴레스)</v>
          </cell>
          <cell r="C415">
            <v>38</v>
          </cell>
          <cell r="D415" t="str">
            <v>EA</v>
          </cell>
          <cell r="E415">
            <v>0</v>
          </cell>
          <cell r="F415">
            <v>0</v>
          </cell>
        </row>
        <row r="416">
          <cell r="A416" t="str">
            <v>f.교량배수용강관(하천용)</v>
          </cell>
          <cell r="C416">
            <v>235</v>
          </cell>
          <cell r="D416" t="str">
            <v>M</v>
          </cell>
          <cell r="E416">
            <v>0</v>
          </cell>
          <cell r="F416">
            <v>0</v>
          </cell>
        </row>
        <row r="417">
          <cell r="A417" t="str">
            <v>g.이음부(스텐레스)</v>
          </cell>
          <cell r="C417">
            <v>46</v>
          </cell>
          <cell r="D417" t="str">
            <v>EA</v>
          </cell>
          <cell r="E417">
            <v>0</v>
          </cell>
          <cell r="F417">
            <v>0</v>
          </cell>
        </row>
        <row r="418">
          <cell r="A418" t="str">
            <v>h.곡관(스텐레스)</v>
          </cell>
          <cell r="C418">
            <v>8</v>
          </cell>
          <cell r="D418" t="str">
            <v>EA</v>
          </cell>
          <cell r="E418">
            <v>0</v>
          </cell>
          <cell r="F418">
            <v>0</v>
          </cell>
        </row>
        <row r="419">
          <cell r="A419" t="str">
            <v>3.32 DOWEL BAR 설치</v>
          </cell>
          <cell r="C419">
            <v>96</v>
          </cell>
          <cell r="D419" t="str">
            <v>EA</v>
          </cell>
          <cell r="E419">
            <v>0</v>
          </cell>
          <cell r="F419">
            <v>0</v>
          </cell>
        </row>
        <row r="420">
          <cell r="A420" t="str">
            <v>3.33 스치로폴</v>
          </cell>
          <cell r="E420">
            <v>0</v>
          </cell>
          <cell r="F420">
            <v>0</v>
          </cell>
        </row>
        <row r="421">
          <cell r="A421" t="str">
            <v>a.스치로폴</v>
          </cell>
          <cell r="C421">
            <v>557</v>
          </cell>
          <cell r="D421" t="str">
            <v>M2</v>
          </cell>
          <cell r="E421">
            <v>0</v>
          </cell>
          <cell r="F421">
            <v>0</v>
          </cell>
        </row>
        <row r="422">
          <cell r="A422" t="str">
            <v>3.34 교량받침</v>
          </cell>
          <cell r="E422">
            <v>0</v>
          </cell>
          <cell r="F422">
            <v>0</v>
          </cell>
        </row>
        <row r="423">
          <cell r="A423" t="str">
            <v>a.교좌장치(일방향)POT</v>
          </cell>
          <cell r="C423">
            <v>4</v>
          </cell>
          <cell r="D423" t="str">
            <v>EA</v>
          </cell>
          <cell r="E423">
            <v>0</v>
          </cell>
          <cell r="F423">
            <v>0</v>
          </cell>
        </row>
        <row r="424">
          <cell r="A424" t="str">
            <v>b.교좌장치(양방향)POT</v>
          </cell>
          <cell r="C424">
            <v>12</v>
          </cell>
          <cell r="D424" t="str">
            <v>EA</v>
          </cell>
          <cell r="E424">
            <v>0</v>
          </cell>
          <cell r="F424">
            <v>0</v>
          </cell>
        </row>
        <row r="425">
          <cell r="A425" t="str">
            <v>c.교좌장치(일방향)POT</v>
          </cell>
          <cell r="C425">
            <v>16</v>
          </cell>
          <cell r="D425" t="str">
            <v>EA</v>
          </cell>
          <cell r="E425">
            <v>0</v>
          </cell>
          <cell r="F425">
            <v>0</v>
          </cell>
        </row>
        <row r="426">
          <cell r="A426" t="str">
            <v>d.교좌장치(양방향)POT</v>
          </cell>
          <cell r="C426">
            <v>12</v>
          </cell>
          <cell r="D426" t="str">
            <v>EA</v>
          </cell>
          <cell r="E426">
            <v>0</v>
          </cell>
          <cell r="F426">
            <v>0</v>
          </cell>
        </row>
        <row r="427">
          <cell r="A427" t="str">
            <v>e.교좌장치(고정단)POT</v>
          </cell>
          <cell r="C427">
            <v>4</v>
          </cell>
          <cell r="D427" t="str">
            <v>EA</v>
          </cell>
          <cell r="E427">
            <v>0</v>
          </cell>
          <cell r="F427">
            <v>0</v>
          </cell>
        </row>
        <row r="428">
          <cell r="A428" t="str">
            <v>3.35 강   교</v>
          </cell>
          <cell r="E428">
            <v>0</v>
          </cell>
          <cell r="F428">
            <v>0</v>
          </cell>
        </row>
        <row r="429">
          <cell r="A429" t="str">
            <v>a.강교제작(산수1교)</v>
          </cell>
          <cell r="C429">
            <v>1953.0050000000001</v>
          </cell>
          <cell r="D429" t="str">
            <v>TON</v>
          </cell>
          <cell r="E429">
            <v>0</v>
          </cell>
          <cell r="F429">
            <v>0</v>
          </cell>
        </row>
        <row r="430">
          <cell r="A430" t="str">
            <v>b.강교운반(산수1교)</v>
          </cell>
          <cell r="C430">
            <v>1953.0050000000001</v>
          </cell>
          <cell r="D430" t="str">
            <v>TON</v>
          </cell>
          <cell r="E430">
            <v>0</v>
          </cell>
          <cell r="F430">
            <v>0</v>
          </cell>
        </row>
        <row r="431">
          <cell r="A431" t="str">
            <v>c.강교가설(산수1교)</v>
          </cell>
          <cell r="C431">
            <v>1953.0050000000001</v>
          </cell>
          <cell r="D431" t="str">
            <v>TON</v>
          </cell>
          <cell r="E431">
            <v>0</v>
          </cell>
          <cell r="F431">
            <v>0</v>
          </cell>
        </row>
        <row r="432">
          <cell r="A432" t="str">
            <v>3.36 강교 도장</v>
          </cell>
          <cell r="E432">
            <v>0</v>
          </cell>
          <cell r="F432">
            <v>0</v>
          </cell>
        </row>
        <row r="433">
          <cell r="A433" t="str">
            <v>a.내부도장</v>
          </cell>
          <cell r="C433">
            <v>16828</v>
          </cell>
          <cell r="D433" t="str">
            <v>M2</v>
          </cell>
          <cell r="E433">
            <v>0</v>
          </cell>
          <cell r="F433">
            <v>0</v>
          </cell>
        </row>
        <row r="434">
          <cell r="A434" t="str">
            <v>b.외부포장면도장</v>
          </cell>
          <cell r="C434">
            <v>3328</v>
          </cell>
          <cell r="D434" t="str">
            <v>M2</v>
          </cell>
          <cell r="E434">
            <v>0</v>
          </cell>
          <cell r="F434">
            <v>0</v>
          </cell>
        </row>
        <row r="435">
          <cell r="A435" t="str">
            <v>c.연결판도장</v>
          </cell>
          <cell r="C435">
            <v>4076</v>
          </cell>
          <cell r="D435" t="str">
            <v>M2</v>
          </cell>
          <cell r="E435">
            <v>0</v>
          </cell>
          <cell r="F435">
            <v>0</v>
          </cell>
        </row>
        <row r="436">
          <cell r="A436" t="str">
            <v>d.외부도장</v>
          </cell>
          <cell r="C436">
            <v>9793</v>
          </cell>
          <cell r="D436" t="str">
            <v>M2</v>
          </cell>
          <cell r="E436">
            <v>0</v>
          </cell>
          <cell r="F436">
            <v>0</v>
          </cell>
        </row>
        <row r="437">
          <cell r="A437" t="str">
            <v>e.외부도장</v>
          </cell>
          <cell r="C437">
            <v>8940</v>
          </cell>
          <cell r="D437" t="str">
            <v>M2</v>
          </cell>
          <cell r="E437">
            <v>0</v>
          </cell>
          <cell r="F437">
            <v>0</v>
          </cell>
        </row>
        <row r="438">
          <cell r="A438" t="str">
            <v>f.내부볼트및연결판도장</v>
          </cell>
          <cell r="C438">
            <v>881</v>
          </cell>
          <cell r="D438" t="str">
            <v>M2</v>
          </cell>
          <cell r="E438">
            <v>0</v>
          </cell>
          <cell r="F438">
            <v>0</v>
          </cell>
        </row>
        <row r="439">
          <cell r="A439" t="str">
            <v>g.외부볼트및연결판도장</v>
          </cell>
          <cell r="C439">
            <v>926</v>
          </cell>
          <cell r="D439" t="str">
            <v>M2</v>
          </cell>
          <cell r="E439">
            <v>0</v>
          </cell>
          <cell r="F439">
            <v>0</v>
          </cell>
        </row>
        <row r="440">
          <cell r="A440" t="str">
            <v>3.37 강교 비파괴 검사비</v>
          </cell>
          <cell r="E440">
            <v>0</v>
          </cell>
          <cell r="F440">
            <v>0</v>
          </cell>
        </row>
        <row r="441">
          <cell r="A441" t="str">
            <v>a.강교 비파괴 검사비</v>
          </cell>
          <cell r="C441">
            <v>2528</v>
          </cell>
          <cell r="D441" t="str">
            <v>매</v>
          </cell>
          <cell r="E441">
            <v>0</v>
          </cell>
          <cell r="F441">
            <v>0</v>
          </cell>
        </row>
        <row r="442">
          <cell r="A442" t="str">
            <v>b.강교 비파괴 검사비</v>
          </cell>
          <cell r="C442">
            <v>2243</v>
          </cell>
          <cell r="D442" t="str">
            <v>M</v>
          </cell>
          <cell r="E442">
            <v>0</v>
          </cell>
          <cell r="F442">
            <v>0</v>
          </cell>
        </row>
        <row r="443">
          <cell r="A443" t="str">
            <v>c.강교 비파괴 검사비</v>
          </cell>
          <cell r="C443">
            <v>430</v>
          </cell>
          <cell r="D443" t="str">
            <v>M</v>
          </cell>
          <cell r="E443">
            <v>0</v>
          </cell>
          <cell r="F443">
            <v>0</v>
          </cell>
        </row>
        <row r="444">
          <cell r="A444" t="str">
            <v>3.38 가시설공</v>
          </cell>
          <cell r="E444">
            <v>0</v>
          </cell>
          <cell r="F444">
            <v>0</v>
          </cell>
        </row>
        <row r="445">
          <cell r="A445" t="str">
            <v>a.토사천공(φ16" 3 WING BIT)</v>
          </cell>
          <cell r="C445">
            <v>4327</v>
          </cell>
          <cell r="D445" t="str">
            <v>M</v>
          </cell>
          <cell r="E445">
            <v>0</v>
          </cell>
          <cell r="F445">
            <v>0</v>
          </cell>
        </row>
        <row r="446">
          <cell r="A446" t="str">
            <v>b.연암천공(T-4)</v>
          </cell>
          <cell r="C446">
            <v>2641</v>
          </cell>
          <cell r="D446" t="str">
            <v>M</v>
          </cell>
          <cell r="E446">
            <v>0</v>
          </cell>
          <cell r="F446">
            <v>0</v>
          </cell>
        </row>
        <row r="447">
          <cell r="A447" t="str">
            <v>c.SHEET PILE 천공후 항타및항발</v>
          </cell>
          <cell r="C447">
            <v>6968</v>
          </cell>
          <cell r="D447" t="str">
            <v>M</v>
          </cell>
          <cell r="E447">
            <v>0</v>
          </cell>
          <cell r="F447">
            <v>0</v>
          </cell>
        </row>
        <row r="448">
          <cell r="A448" t="str">
            <v>d.버팀보 제작</v>
          </cell>
          <cell r="C448">
            <v>80</v>
          </cell>
          <cell r="D448" t="str">
            <v>본</v>
          </cell>
          <cell r="E448">
            <v>0</v>
          </cell>
          <cell r="F448">
            <v>0</v>
          </cell>
        </row>
        <row r="449">
          <cell r="A449" t="str">
            <v>e.버팀보 설치 (12∼14m)</v>
          </cell>
          <cell r="C449">
            <v>80</v>
          </cell>
          <cell r="D449" t="str">
            <v>EA</v>
          </cell>
          <cell r="E449">
            <v>0</v>
          </cell>
          <cell r="F449">
            <v>0</v>
          </cell>
        </row>
        <row r="450">
          <cell r="A450" t="str">
            <v>f.버팀보 철거 (12∼14m)</v>
          </cell>
          <cell r="C450">
            <v>80</v>
          </cell>
          <cell r="D450" t="str">
            <v>EA</v>
          </cell>
          <cell r="E450">
            <v>0</v>
          </cell>
          <cell r="F450">
            <v>0</v>
          </cell>
        </row>
        <row r="451">
          <cell r="A451" t="str">
            <v>g.CORNER STRUT 제작</v>
          </cell>
          <cell r="C451">
            <v>400</v>
          </cell>
          <cell r="D451" t="str">
            <v>EA</v>
          </cell>
          <cell r="E451">
            <v>0</v>
          </cell>
          <cell r="F451">
            <v>0</v>
          </cell>
        </row>
        <row r="452">
          <cell r="A452" t="str">
            <v>h.CORNER STRUT 설치 (3∼5m)</v>
          </cell>
          <cell r="C452">
            <v>320</v>
          </cell>
          <cell r="D452" t="str">
            <v>EA</v>
          </cell>
          <cell r="E452">
            <v>0</v>
          </cell>
          <cell r="F452">
            <v>0</v>
          </cell>
        </row>
        <row r="453">
          <cell r="A453" t="str">
            <v>i.CORNER STRUT 철거 (3∼5m)</v>
          </cell>
          <cell r="C453">
            <v>320</v>
          </cell>
          <cell r="D453" t="str">
            <v>EA</v>
          </cell>
          <cell r="E453">
            <v>0</v>
          </cell>
          <cell r="F453">
            <v>0</v>
          </cell>
        </row>
        <row r="454">
          <cell r="A454" t="str">
            <v>j.CORNER STRUT 설치 (6∼8m)</v>
          </cell>
          <cell r="C454">
            <v>32</v>
          </cell>
          <cell r="D454" t="str">
            <v>EA</v>
          </cell>
          <cell r="E454">
            <v>0</v>
          </cell>
          <cell r="F454">
            <v>0</v>
          </cell>
        </row>
        <row r="455">
          <cell r="A455" t="str">
            <v>k.CORNER STRUT 철거 (6∼8m)</v>
          </cell>
          <cell r="C455">
            <v>32</v>
          </cell>
          <cell r="D455" t="str">
            <v>EA</v>
          </cell>
          <cell r="E455">
            <v>0</v>
          </cell>
          <cell r="F455">
            <v>0</v>
          </cell>
        </row>
        <row r="456">
          <cell r="A456" t="str">
            <v>l.CORNER STRUT 설치 (9∼11m)</v>
          </cell>
          <cell r="C456">
            <v>48</v>
          </cell>
          <cell r="D456" t="str">
            <v>EA</v>
          </cell>
          <cell r="E456">
            <v>0</v>
          </cell>
          <cell r="F456">
            <v>0</v>
          </cell>
        </row>
        <row r="457">
          <cell r="A457" t="str">
            <v>m.CORNER STRUT 철거 (9∼11m)</v>
          </cell>
          <cell r="C457">
            <v>48</v>
          </cell>
          <cell r="D457" t="str">
            <v>EA</v>
          </cell>
          <cell r="E457">
            <v>0</v>
          </cell>
          <cell r="F457">
            <v>0</v>
          </cell>
        </row>
        <row r="458">
          <cell r="A458" t="str">
            <v>n.JACK 설치해체</v>
          </cell>
          <cell r="C458">
            <v>240</v>
          </cell>
          <cell r="D458" t="str">
            <v>EA</v>
          </cell>
          <cell r="E458">
            <v>0</v>
          </cell>
          <cell r="F458">
            <v>0</v>
          </cell>
        </row>
        <row r="459">
          <cell r="A459" t="str">
            <v>o.보걸이설치</v>
          </cell>
          <cell r="C459">
            <v>800</v>
          </cell>
          <cell r="D459" t="str">
            <v>EA</v>
          </cell>
          <cell r="E459">
            <v>0</v>
          </cell>
          <cell r="F459">
            <v>0</v>
          </cell>
        </row>
        <row r="460">
          <cell r="A460" t="str">
            <v>p.보걸이철거</v>
          </cell>
          <cell r="C460">
            <v>800</v>
          </cell>
          <cell r="D460" t="str">
            <v>EA</v>
          </cell>
          <cell r="E460">
            <v>0</v>
          </cell>
          <cell r="F460">
            <v>0</v>
          </cell>
        </row>
        <row r="461">
          <cell r="A461" t="str">
            <v>q.띠장설치</v>
          </cell>
          <cell r="C461">
            <v>1428</v>
          </cell>
          <cell r="D461" t="str">
            <v>M</v>
          </cell>
          <cell r="E461">
            <v>0</v>
          </cell>
          <cell r="F461">
            <v>0</v>
          </cell>
        </row>
        <row r="462">
          <cell r="A462" t="str">
            <v>r.띠장철거</v>
          </cell>
          <cell r="C462">
            <v>1428</v>
          </cell>
          <cell r="D462" t="str">
            <v>M</v>
          </cell>
          <cell r="E462">
            <v>0</v>
          </cell>
          <cell r="F462">
            <v>0</v>
          </cell>
        </row>
        <row r="463">
          <cell r="A463" t="str">
            <v>s.띠장연결</v>
          </cell>
          <cell r="C463">
            <v>20</v>
          </cell>
          <cell r="D463" t="str">
            <v>EA</v>
          </cell>
          <cell r="E463">
            <v>0</v>
          </cell>
          <cell r="F463">
            <v>0</v>
          </cell>
        </row>
        <row r="464">
          <cell r="A464" t="str">
            <v>t.BRACING BEAM 설치 (3∼5m)</v>
          </cell>
          <cell r="C464">
            <v>80</v>
          </cell>
          <cell r="D464" t="str">
            <v>EA</v>
          </cell>
          <cell r="E464">
            <v>0</v>
          </cell>
          <cell r="F464">
            <v>0</v>
          </cell>
        </row>
        <row r="465">
          <cell r="A465" t="str">
            <v>u.BRACING BEAM 철거 (3∼5m)</v>
          </cell>
          <cell r="C465">
            <v>80</v>
          </cell>
          <cell r="D465" t="str">
            <v>EA</v>
          </cell>
          <cell r="E465">
            <v>0</v>
          </cell>
          <cell r="F465">
            <v>0</v>
          </cell>
        </row>
        <row r="466">
          <cell r="A466" t="str">
            <v>v.BRACING BEAM 설치 (6∼8m)</v>
          </cell>
          <cell r="C466">
            <v>20</v>
          </cell>
          <cell r="D466" t="str">
            <v>EA</v>
          </cell>
          <cell r="E466">
            <v>0</v>
          </cell>
          <cell r="F466">
            <v>0</v>
          </cell>
        </row>
        <row r="467">
          <cell r="A467" t="str">
            <v>w.BRACING BEAM 철거 (6∼8m)</v>
          </cell>
          <cell r="C467">
            <v>20</v>
          </cell>
          <cell r="D467" t="str">
            <v>EA</v>
          </cell>
          <cell r="E467">
            <v>0</v>
          </cell>
          <cell r="F467">
            <v>0</v>
          </cell>
        </row>
        <row r="468">
          <cell r="A468" t="str">
            <v>x.피스브라켓 설치 및 철거</v>
          </cell>
          <cell r="C468">
            <v>240</v>
          </cell>
          <cell r="D468" t="str">
            <v>EA</v>
          </cell>
          <cell r="E468">
            <v>0</v>
          </cell>
          <cell r="F468">
            <v>0</v>
          </cell>
        </row>
        <row r="469">
          <cell r="A469" t="str">
            <v>y.H-PILE항타</v>
          </cell>
          <cell r="C469">
            <v>168</v>
          </cell>
          <cell r="D469" t="str">
            <v>M</v>
          </cell>
          <cell r="E469">
            <v>0</v>
          </cell>
          <cell r="F469">
            <v>0</v>
          </cell>
        </row>
        <row r="470">
          <cell r="A470" t="str">
            <v>z.H-PILE항발</v>
          </cell>
          <cell r="C470">
            <v>168</v>
          </cell>
          <cell r="D470" t="str">
            <v>M</v>
          </cell>
          <cell r="E470">
            <v>0</v>
          </cell>
          <cell r="F470">
            <v>0</v>
          </cell>
        </row>
        <row r="471">
          <cell r="A471" t="str">
            <v>aa.구조용H형강</v>
          </cell>
          <cell r="C471">
            <v>397.28199999999998</v>
          </cell>
          <cell r="D471" t="str">
            <v>TON</v>
          </cell>
          <cell r="E471">
            <v>0</v>
          </cell>
          <cell r="F471">
            <v>0</v>
          </cell>
        </row>
        <row r="472">
          <cell r="A472" t="str">
            <v>ab.구조용H형강</v>
          </cell>
          <cell r="C472">
            <v>54.082999999999998</v>
          </cell>
          <cell r="D472" t="str">
            <v>TON</v>
          </cell>
          <cell r="E472">
            <v>0</v>
          </cell>
          <cell r="F472">
            <v>0</v>
          </cell>
        </row>
        <row r="473">
          <cell r="A473" t="str">
            <v>ac.강널말뚝</v>
          </cell>
          <cell r="C473">
            <v>502.39299999999997</v>
          </cell>
          <cell r="D473" t="str">
            <v>TON</v>
          </cell>
          <cell r="E473">
            <v>0</v>
          </cell>
          <cell r="F473">
            <v>0</v>
          </cell>
        </row>
        <row r="474">
          <cell r="A474" t="str">
            <v>ad.강재 및 형강운반비</v>
          </cell>
          <cell r="C474">
            <v>953.75800000000004</v>
          </cell>
          <cell r="D474" t="str">
            <v>TON</v>
          </cell>
          <cell r="E474">
            <v>0</v>
          </cell>
          <cell r="F474">
            <v>0</v>
          </cell>
        </row>
        <row r="475">
          <cell r="A475" t="str">
            <v>3.39 가교가설(산수1교)</v>
          </cell>
          <cell r="C475">
            <v>1</v>
          </cell>
          <cell r="D475" t="str">
            <v>식</v>
          </cell>
          <cell r="E475">
            <v>0</v>
          </cell>
          <cell r="F475">
            <v>0</v>
          </cell>
        </row>
        <row r="476">
          <cell r="A476" t="str">
            <v>3.40 점검등설비공사(산수1교)</v>
          </cell>
          <cell r="C476">
            <v>1</v>
          </cell>
          <cell r="D476" t="str">
            <v>식</v>
          </cell>
          <cell r="E476">
            <v>0</v>
          </cell>
          <cell r="F476">
            <v>0</v>
          </cell>
        </row>
        <row r="477">
          <cell r="A477" t="str">
            <v>3.41 한전인입비(산수1교)</v>
          </cell>
          <cell r="C477">
            <v>1</v>
          </cell>
          <cell r="D477" t="str">
            <v>P.S</v>
          </cell>
          <cell r="E477">
            <v>0</v>
          </cell>
          <cell r="F477">
            <v>0</v>
          </cell>
        </row>
        <row r="478">
          <cell r="A478" t="str">
            <v>C.산수2교(S.T.BOX교)</v>
          </cell>
          <cell r="E478">
            <v>0</v>
          </cell>
          <cell r="F478">
            <v>0</v>
          </cell>
        </row>
        <row r="479">
          <cell r="A479" t="str">
            <v>3.01 터 파 기</v>
          </cell>
          <cell r="E479">
            <v>0</v>
          </cell>
          <cell r="F479">
            <v>0</v>
          </cell>
        </row>
        <row r="480">
          <cell r="A480" t="str">
            <v>a.육상토사</v>
          </cell>
          <cell r="C480">
            <v>310</v>
          </cell>
          <cell r="D480" t="str">
            <v>M3</v>
          </cell>
          <cell r="E480">
            <v>0</v>
          </cell>
          <cell r="F480">
            <v>0</v>
          </cell>
        </row>
        <row r="481">
          <cell r="A481" t="str">
            <v>b.육상풍화암</v>
          </cell>
          <cell r="E481">
            <v>0</v>
          </cell>
          <cell r="F481">
            <v>0</v>
          </cell>
        </row>
        <row r="482">
          <cell r="A482" t="str">
            <v>-1.육상풍화암</v>
          </cell>
          <cell r="C482">
            <v>1560</v>
          </cell>
          <cell r="D482" t="str">
            <v>M3</v>
          </cell>
          <cell r="E482">
            <v>0</v>
          </cell>
          <cell r="F482">
            <v>0</v>
          </cell>
        </row>
        <row r="483">
          <cell r="A483" t="str">
            <v>-2.육상풍화암</v>
          </cell>
          <cell r="C483">
            <v>20</v>
          </cell>
          <cell r="D483" t="str">
            <v>M3</v>
          </cell>
          <cell r="E483">
            <v>0</v>
          </cell>
          <cell r="F483">
            <v>0</v>
          </cell>
        </row>
        <row r="484">
          <cell r="A484" t="str">
            <v>c.용수토사</v>
          </cell>
          <cell r="E484">
            <v>0</v>
          </cell>
          <cell r="F484">
            <v>0</v>
          </cell>
        </row>
        <row r="485">
          <cell r="A485" t="str">
            <v>-1.용수토사</v>
          </cell>
          <cell r="C485">
            <v>2160</v>
          </cell>
          <cell r="D485" t="str">
            <v>M3</v>
          </cell>
          <cell r="E485">
            <v>0</v>
          </cell>
          <cell r="F485">
            <v>0</v>
          </cell>
        </row>
        <row r="486">
          <cell r="A486" t="str">
            <v>-2.용수토사</v>
          </cell>
          <cell r="C486">
            <v>420</v>
          </cell>
          <cell r="D486" t="str">
            <v>M3</v>
          </cell>
          <cell r="E486">
            <v>0</v>
          </cell>
          <cell r="F486">
            <v>0</v>
          </cell>
        </row>
        <row r="487">
          <cell r="A487" t="str">
            <v>d.용수풍화암</v>
          </cell>
          <cell r="C487">
            <v>310</v>
          </cell>
          <cell r="D487" t="str">
            <v>M3</v>
          </cell>
          <cell r="E487">
            <v>0</v>
          </cell>
          <cell r="F487">
            <v>0</v>
          </cell>
        </row>
        <row r="488">
          <cell r="A488" t="str">
            <v>e.용수발파암</v>
          </cell>
          <cell r="C488">
            <v>490</v>
          </cell>
          <cell r="D488" t="str">
            <v>M3</v>
          </cell>
          <cell r="E488">
            <v>0</v>
          </cell>
          <cell r="F488">
            <v>0</v>
          </cell>
        </row>
        <row r="489">
          <cell r="A489" t="str">
            <v>3.02 되메우기(기계70%,인력30%)</v>
          </cell>
          <cell r="C489">
            <v>1370</v>
          </cell>
          <cell r="D489" t="str">
            <v>M3</v>
          </cell>
          <cell r="E489">
            <v>0</v>
          </cell>
          <cell r="F489">
            <v>0</v>
          </cell>
        </row>
        <row r="490">
          <cell r="A490" t="str">
            <v>3.03 뒷채움 및 다짐</v>
          </cell>
          <cell r="C490">
            <v>611</v>
          </cell>
          <cell r="D490" t="str">
            <v>M3</v>
          </cell>
          <cell r="E490">
            <v>0</v>
          </cell>
          <cell r="F490">
            <v>0</v>
          </cell>
        </row>
        <row r="491">
          <cell r="A491" t="str">
            <v>3.04 면정리및청소</v>
          </cell>
          <cell r="C491">
            <v>525</v>
          </cell>
          <cell r="D491" t="str">
            <v>M2</v>
          </cell>
          <cell r="E491">
            <v>0</v>
          </cell>
          <cell r="F491">
            <v>0</v>
          </cell>
        </row>
        <row r="492">
          <cell r="A492" t="str">
            <v>3.05 앞 성 토</v>
          </cell>
          <cell r="C492">
            <v>50</v>
          </cell>
          <cell r="D492" t="str">
            <v>M3</v>
          </cell>
          <cell r="E492">
            <v>0</v>
          </cell>
          <cell r="F492">
            <v>0</v>
          </cell>
        </row>
        <row r="493">
          <cell r="A493" t="str">
            <v>3.06 세굴방지용사석채움</v>
          </cell>
          <cell r="C493">
            <v>1812</v>
          </cell>
          <cell r="D493" t="str">
            <v>M3</v>
          </cell>
          <cell r="E493">
            <v>0</v>
          </cell>
          <cell r="F493">
            <v>0</v>
          </cell>
        </row>
        <row r="494">
          <cell r="A494" t="str">
            <v>3.07 물 푸 기</v>
          </cell>
          <cell r="C494">
            <v>450</v>
          </cell>
          <cell r="D494" t="str">
            <v>Hr</v>
          </cell>
          <cell r="E494">
            <v>0</v>
          </cell>
          <cell r="F494">
            <v>0</v>
          </cell>
        </row>
        <row r="495">
          <cell r="A495" t="str">
            <v>3.08 콘크리트 타설</v>
          </cell>
          <cell r="E495">
            <v>0</v>
          </cell>
          <cell r="F495">
            <v>0</v>
          </cell>
        </row>
        <row r="496">
          <cell r="A496" t="str">
            <v>a.철       근</v>
          </cell>
          <cell r="C496">
            <v>175</v>
          </cell>
          <cell r="D496" t="str">
            <v>M3</v>
          </cell>
          <cell r="E496">
            <v>0</v>
          </cell>
          <cell r="F496">
            <v>0</v>
          </cell>
        </row>
        <row r="497">
          <cell r="A497" t="str">
            <v>b.무       근</v>
          </cell>
          <cell r="C497">
            <v>80</v>
          </cell>
          <cell r="D497" t="str">
            <v>M3</v>
          </cell>
          <cell r="E497">
            <v>0</v>
          </cell>
          <cell r="F497">
            <v>0</v>
          </cell>
        </row>
        <row r="498">
          <cell r="A498" t="str">
            <v>c.무       근</v>
          </cell>
          <cell r="C498">
            <v>53</v>
          </cell>
          <cell r="D498" t="str">
            <v>M3</v>
          </cell>
          <cell r="E498">
            <v>0</v>
          </cell>
          <cell r="F498">
            <v>0</v>
          </cell>
        </row>
        <row r="499">
          <cell r="A499" t="str">
            <v>d.펌프카 타설</v>
          </cell>
          <cell r="C499">
            <v>2838</v>
          </cell>
          <cell r="D499" t="str">
            <v>M3</v>
          </cell>
          <cell r="E499">
            <v>0</v>
          </cell>
          <cell r="F499">
            <v>0</v>
          </cell>
        </row>
        <row r="500">
          <cell r="A500" t="str">
            <v>e.펌프카 타설</v>
          </cell>
          <cell r="C500">
            <v>84</v>
          </cell>
          <cell r="D500" t="str">
            <v>M3</v>
          </cell>
          <cell r="E500">
            <v>0</v>
          </cell>
          <cell r="F500">
            <v>0</v>
          </cell>
        </row>
        <row r="501">
          <cell r="A501" t="str">
            <v>3.09 무수축 콘크리트</v>
          </cell>
          <cell r="C501">
            <v>10.125999999999999</v>
          </cell>
          <cell r="D501" t="str">
            <v>M3</v>
          </cell>
          <cell r="E501">
            <v>0</v>
          </cell>
          <cell r="F501">
            <v>0</v>
          </cell>
        </row>
        <row r="502">
          <cell r="A502" t="str">
            <v>3.10 무수축 몰탈</v>
          </cell>
          <cell r="C502">
            <v>1.3720000000000001</v>
          </cell>
          <cell r="D502" t="str">
            <v>M3</v>
          </cell>
          <cell r="E502">
            <v>0</v>
          </cell>
          <cell r="F502">
            <v>0</v>
          </cell>
        </row>
        <row r="503">
          <cell r="A503" t="str">
            <v>3.11 거푸집공</v>
          </cell>
          <cell r="E503">
            <v>0</v>
          </cell>
          <cell r="F503">
            <v>0</v>
          </cell>
        </row>
        <row r="504">
          <cell r="A504" t="str">
            <v>a.합판거푸집</v>
          </cell>
          <cell r="E504">
            <v>0</v>
          </cell>
          <cell r="F504">
            <v>0</v>
          </cell>
        </row>
        <row r="505">
          <cell r="A505" t="str">
            <v>-1.거푸집</v>
          </cell>
          <cell r="C505">
            <v>3338</v>
          </cell>
          <cell r="D505" t="str">
            <v>M2</v>
          </cell>
          <cell r="E505">
            <v>0</v>
          </cell>
          <cell r="F505">
            <v>0</v>
          </cell>
        </row>
        <row r="506">
          <cell r="A506" t="str">
            <v>-2.거푸집</v>
          </cell>
          <cell r="C506">
            <v>81</v>
          </cell>
          <cell r="D506" t="str">
            <v>M2</v>
          </cell>
          <cell r="E506">
            <v>0</v>
          </cell>
          <cell r="F506">
            <v>0</v>
          </cell>
        </row>
        <row r="507">
          <cell r="A507" t="str">
            <v>-3.거푸집</v>
          </cell>
          <cell r="C507">
            <v>39</v>
          </cell>
          <cell r="D507" t="str">
            <v>M2</v>
          </cell>
          <cell r="E507">
            <v>0</v>
          </cell>
          <cell r="F507">
            <v>0</v>
          </cell>
        </row>
        <row r="508">
          <cell r="A508" t="str">
            <v>-4.거푸집</v>
          </cell>
          <cell r="C508">
            <v>266</v>
          </cell>
          <cell r="D508" t="str">
            <v>M2</v>
          </cell>
          <cell r="E508">
            <v>0</v>
          </cell>
          <cell r="F508">
            <v>0</v>
          </cell>
        </row>
        <row r="509">
          <cell r="A509" t="str">
            <v>-5.거푸집</v>
          </cell>
          <cell r="C509">
            <v>15</v>
          </cell>
          <cell r="D509" t="str">
            <v>M2</v>
          </cell>
          <cell r="E509">
            <v>0</v>
          </cell>
          <cell r="F509">
            <v>0</v>
          </cell>
        </row>
        <row r="510">
          <cell r="A510" t="str">
            <v>-6.거푸집</v>
          </cell>
          <cell r="C510">
            <v>433</v>
          </cell>
          <cell r="D510" t="str">
            <v>M2</v>
          </cell>
          <cell r="E510">
            <v>0</v>
          </cell>
          <cell r="F510">
            <v>0</v>
          </cell>
        </row>
        <row r="511">
          <cell r="A511" t="str">
            <v>-7.거푸집</v>
          </cell>
          <cell r="C511">
            <v>68</v>
          </cell>
          <cell r="D511" t="str">
            <v>M2</v>
          </cell>
          <cell r="E511">
            <v>0</v>
          </cell>
          <cell r="F511">
            <v>0</v>
          </cell>
        </row>
        <row r="512">
          <cell r="A512" t="str">
            <v>b.PE무늬거푸집</v>
          </cell>
          <cell r="E512">
            <v>0</v>
          </cell>
          <cell r="F512">
            <v>0</v>
          </cell>
        </row>
        <row r="513">
          <cell r="A513" t="str">
            <v>-1.P.E무늬거푸집</v>
          </cell>
          <cell r="C513">
            <v>202</v>
          </cell>
          <cell r="D513" t="str">
            <v>㎡</v>
          </cell>
          <cell r="E513">
            <v>0</v>
          </cell>
          <cell r="F513">
            <v>0</v>
          </cell>
        </row>
        <row r="514">
          <cell r="A514" t="str">
            <v>-2.P.E무늬거푸집</v>
          </cell>
          <cell r="C514">
            <v>4</v>
          </cell>
          <cell r="D514" t="str">
            <v>㎡</v>
          </cell>
          <cell r="E514">
            <v>0</v>
          </cell>
          <cell r="F514">
            <v>0</v>
          </cell>
        </row>
        <row r="515">
          <cell r="A515" t="str">
            <v>c.목재 원형거푸집</v>
          </cell>
          <cell r="E515">
            <v>0</v>
          </cell>
          <cell r="F515">
            <v>0</v>
          </cell>
        </row>
        <row r="516">
          <cell r="A516" t="str">
            <v>-1.원형거푸집</v>
          </cell>
          <cell r="C516">
            <v>264</v>
          </cell>
          <cell r="D516" t="str">
            <v>M2</v>
          </cell>
          <cell r="E516">
            <v>0</v>
          </cell>
          <cell r="F516">
            <v>0</v>
          </cell>
        </row>
        <row r="517">
          <cell r="A517" t="str">
            <v>-2.원형거푸집</v>
          </cell>
          <cell r="C517">
            <v>113</v>
          </cell>
          <cell r="D517" t="str">
            <v>M2</v>
          </cell>
          <cell r="E517">
            <v>0</v>
          </cell>
          <cell r="F517">
            <v>0</v>
          </cell>
        </row>
        <row r="518">
          <cell r="A518" t="str">
            <v>-3.원형거푸집</v>
          </cell>
          <cell r="C518">
            <v>101</v>
          </cell>
          <cell r="D518" t="str">
            <v>M2</v>
          </cell>
          <cell r="E518">
            <v>0</v>
          </cell>
          <cell r="F518">
            <v>0</v>
          </cell>
        </row>
        <row r="519">
          <cell r="A519" t="str">
            <v>-4.원형거푸집</v>
          </cell>
          <cell r="C519">
            <v>9</v>
          </cell>
          <cell r="D519" t="str">
            <v>M2</v>
          </cell>
          <cell r="E519">
            <v>0</v>
          </cell>
          <cell r="F519">
            <v>0</v>
          </cell>
        </row>
        <row r="520">
          <cell r="A520" t="str">
            <v>3.12 동바리</v>
          </cell>
          <cell r="E520">
            <v>0</v>
          </cell>
          <cell r="F520">
            <v>0</v>
          </cell>
        </row>
        <row r="521">
          <cell r="A521" t="str">
            <v>a.동바리</v>
          </cell>
          <cell r="C521">
            <v>1350</v>
          </cell>
          <cell r="D521" t="str">
            <v>공M3</v>
          </cell>
          <cell r="E521">
            <v>0</v>
          </cell>
          <cell r="F521">
            <v>0</v>
          </cell>
        </row>
        <row r="522">
          <cell r="A522" t="str">
            <v>b.동바리</v>
          </cell>
          <cell r="C522">
            <v>360</v>
          </cell>
          <cell r="D522" t="str">
            <v>공M3</v>
          </cell>
          <cell r="E522">
            <v>0</v>
          </cell>
          <cell r="F522">
            <v>0</v>
          </cell>
        </row>
        <row r="523">
          <cell r="A523" t="str">
            <v>c.동바리</v>
          </cell>
          <cell r="C523">
            <v>981</v>
          </cell>
          <cell r="D523" t="str">
            <v>공M3</v>
          </cell>
          <cell r="E523">
            <v>0</v>
          </cell>
          <cell r="F523">
            <v>0</v>
          </cell>
        </row>
        <row r="524">
          <cell r="A524" t="str">
            <v>d.동바리 수평연결재</v>
          </cell>
          <cell r="C524">
            <v>390</v>
          </cell>
          <cell r="D524" t="str">
            <v>M2</v>
          </cell>
          <cell r="E524">
            <v>0</v>
          </cell>
          <cell r="F524">
            <v>0</v>
          </cell>
        </row>
        <row r="525">
          <cell r="A525" t="str">
            <v>3.13 비계</v>
          </cell>
          <cell r="C525">
            <v>2450</v>
          </cell>
          <cell r="D525" t="str">
            <v>M2</v>
          </cell>
          <cell r="E525">
            <v>0</v>
          </cell>
          <cell r="F525">
            <v>0</v>
          </cell>
        </row>
        <row r="526">
          <cell r="A526" t="str">
            <v>3.14 모따기</v>
          </cell>
          <cell r="C526">
            <v>756</v>
          </cell>
          <cell r="D526" t="str">
            <v>M</v>
          </cell>
          <cell r="E526">
            <v>0</v>
          </cell>
          <cell r="F526">
            <v>0</v>
          </cell>
        </row>
        <row r="527">
          <cell r="A527" t="str">
            <v>3.15 신축이음장치</v>
          </cell>
          <cell r="E527">
            <v>0</v>
          </cell>
          <cell r="F527">
            <v>0</v>
          </cell>
        </row>
        <row r="528">
          <cell r="A528" t="str">
            <v>a.신축이음장치</v>
          </cell>
          <cell r="C528">
            <v>19</v>
          </cell>
          <cell r="D528" t="str">
            <v>M</v>
          </cell>
          <cell r="E528">
            <v>0</v>
          </cell>
          <cell r="F528">
            <v>0</v>
          </cell>
        </row>
        <row r="529">
          <cell r="A529" t="str">
            <v>b.신축이음장치</v>
          </cell>
          <cell r="C529">
            <v>19</v>
          </cell>
          <cell r="D529" t="str">
            <v>M</v>
          </cell>
          <cell r="E529">
            <v>0</v>
          </cell>
          <cell r="F529">
            <v>0</v>
          </cell>
        </row>
        <row r="530">
          <cell r="A530" t="str">
            <v>3.16 교명주(화강석)</v>
          </cell>
          <cell r="C530">
            <v>4</v>
          </cell>
          <cell r="D530" t="str">
            <v>EA</v>
          </cell>
          <cell r="E530">
            <v>0</v>
          </cell>
          <cell r="F530">
            <v>0</v>
          </cell>
        </row>
        <row r="531">
          <cell r="A531" t="str">
            <v>3.17 교명판및설명판</v>
          </cell>
          <cell r="E531">
            <v>0</v>
          </cell>
          <cell r="F531">
            <v>0</v>
          </cell>
        </row>
        <row r="532">
          <cell r="A532" t="str">
            <v>a.교명판</v>
          </cell>
          <cell r="C532">
            <v>2</v>
          </cell>
          <cell r="D532" t="str">
            <v>EA</v>
          </cell>
          <cell r="E532">
            <v>0</v>
          </cell>
          <cell r="F532">
            <v>0</v>
          </cell>
        </row>
        <row r="533">
          <cell r="A533" t="str">
            <v>b.설명판</v>
          </cell>
          <cell r="C533">
            <v>2</v>
          </cell>
          <cell r="D533" t="str">
            <v>EA</v>
          </cell>
          <cell r="E533">
            <v>0</v>
          </cell>
          <cell r="F533">
            <v>0</v>
          </cell>
        </row>
        <row r="534">
          <cell r="A534" t="str">
            <v>3.18 표면처리</v>
          </cell>
        </row>
        <row r="535">
          <cell r="A535" t="str">
            <v>a.슬라브 양생</v>
          </cell>
        </row>
        <row r="536">
          <cell r="A536" t="str">
            <v>b.데크휘니샤 면고르기</v>
          </cell>
        </row>
        <row r="537">
          <cell r="A537" t="str">
            <v>3.19 교면방수</v>
          </cell>
        </row>
        <row r="538">
          <cell r="A538" t="str">
            <v>3.20 배면방수</v>
          </cell>
        </row>
        <row r="539">
          <cell r="A539" t="str">
            <v>3.21 전선관부설</v>
          </cell>
        </row>
        <row r="540">
          <cell r="A540" t="str">
            <v>3.22 T.B.M 설치</v>
          </cell>
        </row>
        <row r="541">
          <cell r="A541" t="str">
            <v>3.23 낙하물 방지공</v>
          </cell>
        </row>
        <row r="542">
          <cell r="A542" t="str">
            <v>3.24 방호벽</v>
          </cell>
        </row>
        <row r="543">
          <cell r="A543" t="str">
            <v>3.25 중앙분리대</v>
          </cell>
        </row>
        <row r="544">
          <cell r="A544" t="str">
            <v>3.26 NOTCH  설치</v>
          </cell>
        </row>
        <row r="545">
          <cell r="A545" t="str">
            <v>3.27 교량유지관리용표지판</v>
          </cell>
        </row>
        <row r="546">
          <cell r="A546" t="str">
            <v>a.강교용</v>
          </cell>
        </row>
        <row r="547">
          <cell r="A547" t="str">
            <v>b.교각,교 대 용</v>
          </cell>
        </row>
        <row r="548">
          <cell r="A548" t="str">
            <v>3.28 스페이서 설치</v>
          </cell>
        </row>
        <row r="549">
          <cell r="A549" t="str">
            <v>a.스페이서 설치</v>
          </cell>
        </row>
        <row r="550">
          <cell r="A550" t="str">
            <v>b.스페이서 설치</v>
          </cell>
        </row>
        <row r="551">
          <cell r="A551" t="str">
            <v>3.29 철근가공 및 조립</v>
          </cell>
        </row>
        <row r="552">
          <cell r="A552" t="str">
            <v>a.보       통</v>
          </cell>
        </row>
        <row r="553">
          <cell r="A553" t="str">
            <v>b.복       잡</v>
          </cell>
        </row>
        <row r="554">
          <cell r="A554" t="str">
            <v>c.매 우 복 잡</v>
          </cell>
        </row>
        <row r="555">
          <cell r="A555" t="str">
            <v>3.30 교량유지관리점검시설</v>
          </cell>
        </row>
        <row r="556">
          <cell r="A556" t="str">
            <v>a.교대부</v>
          </cell>
        </row>
        <row r="557">
          <cell r="A557" t="str">
            <v>b.교각부(P1)</v>
          </cell>
        </row>
        <row r="558">
          <cell r="A558" t="str">
            <v>c.교각부(P2)</v>
          </cell>
        </row>
        <row r="559">
          <cell r="A559" t="str">
            <v>3.31 배수시설공</v>
          </cell>
        </row>
        <row r="560">
          <cell r="A560" t="str">
            <v>a.교량배수물배기공</v>
          </cell>
        </row>
        <row r="561">
          <cell r="A561" t="str">
            <v>b.하층줄눈(성형)</v>
          </cell>
        </row>
        <row r="562">
          <cell r="A562" t="str">
            <v>c.상층줄눈(주입)</v>
          </cell>
        </row>
        <row r="563">
          <cell r="A563" t="str">
            <v>d.표면처리(방수)</v>
          </cell>
        </row>
        <row r="564">
          <cell r="A564" t="str">
            <v>e.하천용 집수구(스턴레스)</v>
          </cell>
        </row>
        <row r="565">
          <cell r="A565" t="str">
            <v>f.교량배수용강관(하천용)</v>
          </cell>
        </row>
        <row r="566">
          <cell r="A566" t="str">
            <v>g.이음부(스텐레스)</v>
          </cell>
        </row>
        <row r="567">
          <cell r="A567" t="str">
            <v>h.곡관(스텐레스)</v>
          </cell>
        </row>
        <row r="568">
          <cell r="A568" t="str">
            <v>3.32 옹벽배수시설</v>
          </cell>
        </row>
        <row r="569">
          <cell r="A569" t="str">
            <v>a.DRAIN BOARD</v>
          </cell>
        </row>
        <row r="570">
          <cell r="A570" t="str">
            <v>b.PVC PIPE</v>
          </cell>
        </row>
        <row r="571">
          <cell r="A571" t="str">
            <v>c.부직포</v>
          </cell>
        </row>
        <row r="572">
          <cell r="A572" t="str">
            <v>3.33 DOWEL BAR 설치</v>
          </cell>
        </row>
        <row r="573">
          <cell r="A573" t="str">
            <v>3.34 스치로폴</v>
          </cell>
        </row>
        <row r="574">
          <cell r="A574" t="str">
            <v>3.35 교량받침</v>
          </cell>
        </row>
        <row r="575">
          <cell r="A575" t="str">
            <v>a.교좌장치(일방향)POT</v>
          </cell>
        </row>
        <row r="576">
          <cell r="A576" t="str">
            <v>b.교좌장치(양방향)POT</v>
          </cell>
        </row>
        <row r="577">
          <cell r="A577" t="str">
            <v>c.교좌장치(일방향)POT</v>
          </cell>
        </row>
        <row r="578">
          <cell r="A578" t="str">
            <v>d.교좌장치(양방향)POT</v>
          </cell>
        </row>
        <row r="579">
          <cell r="A579" t="str">
            <v>e.교좌장치(고정단)POT</v>
          </cell>
        </row>
        <row r="580">
          <cell r="A580" t="str">
            <v>f.교좌장치(일방향)POT</v>
          </cell>
        </row>
        <row r="581">
          <cell r="A581" t="str">
            <v>g.교좌장치(양방향)POT</v>
          </cell>
        </row>
        <row r="582">
          <cell r="A582" t="str">
            <v>h.교좌장치(고정단)POT</v>
          </cell>
        </row>
        <row r="583">
          <cell r="A583" t="str">
            <v>3.36 강   교</v>
          </cell>
        </row>
        <row r="584">
          <cell r="A584" t="str">
            <v>a.강교제작(산수2교)</v>
          </cell>
        </row>
        <row r="585">
          <cell r="A585" t="str">
            <v>b.강교운반(산수2교)</v>
          </cell>
        </row>
        <row r="586">
          <cell r="A586" t="str">
            <v>c.강교가설(산수2교)</v>
          </cell>
        </row>
        <row r="587">
          <cell r="A587" t="str">
            <v>3.37 강교 도장</v>
          </cell>
        </row>
        <row r="588">
          <cell r="A588" t="str">
            <v>a.내부도장</v>
          </cell>
        </row>
        <row r="589">
          <cell r="A589" t="str">
            <v>b.외부포장면도장</v>
          </cell>
        </row>
        <row r="590">
          <cell r="A590" t="str">
            <v>c.연결판도장</v>
          </cell>
        </row>
        <row r="591">
          <cell r="A591" t="str">
            <v>d.외부도장</v>
          </cell>
        </row>
        <row r="592">
          <cell r="A592" t="str">
            <v>e.외부도장</v>
          </cell>
        </row>
        <row r="593">
          <cell r="A593" t="str">
            <v>f.내부볼트및연결판도장</v>
          </cell>
        </row>
        <row r="594">
          <cell r="A594" t="str">
            <v>g.외부볼트및연결판도장</v>
          </cell>
        </row>
        <row r="595">
          <cell r="A595" t="str">
            <v>3.38 강교 비파괴 검사비</v>
          </cell>
        </row>
        <row r="596">
          <cell r="A596" t="str">
            <v>a.강교 비파괴 검사비</v>
          </cell>
        </row>
        <row r="597">
          <cell r="A597" t="str">
            <v>b.강교 비파괴 검사비</v>
          </cell>
        </row>
        <row r="598">
          <cell r="A598" t="str">
            <v>c.강교 비파괴 검사비</v>
          </cell>
        </row>
        <row r="599">
          <cell r="A599" t="str">
            <v>3.39 보강토옹벽공</v>
          </cell>
        </row>
        <row r="600">
          <cell r="A600" t="str">
            <v>a.잔토처리</v>
          </cell>
        </row>
        <row r="601">
          <cell r="A601" t="str">
            <v>b.노  체</v>
          </cell>
        </row>
        <row r="602">
          <cell r="A602" t="str">
            <v>c.속채움골재</v>
          </cell>
        </row>
        <row r="603">
          <cell r="A603" t="str">
            <v>d.기초잡석깔기</v>
          </cell>
        </row>
        <row r="604">
          <cell r="A604" t="str">
            <v>e.블럭식 보강토 옹벽쌓기</v>
          </cell>
        </row>
        <row r="605">
          <cell r="A605" t="str">
            <v>f.블럭식 보강토 옹벽쌓기</v>
          </cell>
        </row>
        <row r="606">
          <cell r="A606" t="str">
            <v>g.지오그리드 설치</v>
          </cell>
        </row>
        <row r="607">
          <cell r="A607" t="str">
            <v>3.40 가시설공</v>
          </cell>
        </row>
        <row r="608">
          <cell r="A608" t="str">
            <v>a.토사천공(φ16" 3 WING BIT)</v>
          </cell>
        </row>
        <row r="609">
          <cell r="A609" t="str">
            <v>b.풍화암천공(φ16" 3 WING BIT)</v>
          </cell>
        </row>
        <row r="610">
          <cell r="A610" t="str">
            <v>c.연암천공(T-4)</v>
          </cell>
        </row>
        <row r="611">
          <cell r="A611" t="str">
            <v>d.SHEET PILE 천공후 항타및항발</v>
          </cell>
        </row>
        <row r="612">
          <cell r="A612" t="str">
            <v>e.버팀보 제작</v>
          </cell>
        </row>
        <row r="613">
          <cell r="A613" t="str">
            <v>f.버팀보 설치 (9∼11m)</v>
          </cell>
        </row>
        <row r="614">
          <cell r="A614" t="str">
            <v>g.버팀보 철거 (9∼11m)</v>
          </cell>
        </row>
        <row r="615">
          <cell r="A615" t="str">
            <v>h.CORNER STRUT 제작</v>
          </cell>
        </row>
        <row r="616">
          <cell r="A616" t="str">
            <v>i.CORNER STRUT 설치 (3∼5m)</v>
          </cell>
        </row>
        <row r="617">
          <cell r="A617" t="str">
            <v>j.CORNER STRUT 철거 (3∼5m)</v>
          </cell>
        </row>
        <row r="618">
          <cell r="A618" t="str">
            <v>k.CORNER STRUT 설치 (6∼8m)</v>
          </cell>
        </row>
        <row r="619">
          <cell r="A619" t="str">
            <v>l.CORNER STRUT 철거 (6∼8m)</v>
          </cell>
        </row>
        <row r="620">
          <cell r="A620" t="str">
            <v>m.JACK 설치해체</v>
          </cell>
        </row>
        <row r="621">
          <cell r="A621" t="str">
            <v>n.보걸이설치</v>
          </cell>
        </row>
        <row r="622">
          <cell r="A622" t="str">
            <v>o.보걸이철거</v>
          </cell>
        </row>
        <row r="623">
          <cell r="A623" t="str">
            <v>p.띠장설치</v>
          </cell>
        </row>
        <row r="624">
          <cell r="A624" t="str">
            <v>q.띠장철거</v>
          </cell>
        </row>
        <row r="625">
          <cell r="A625" t="str">
            <v>r.띠장연결</v>
          </cell>
        </row>
        <row r="626">
          <cell r="A626" t="str">
            <v>s.피스브라켓 설치 및 철거</v>
          </cell>
        </row>
        <row r="627">
          <cell r="A627" t="str">
            <v>t.H-PILE항타(300x300x10x15)</v>
          </cell>
        </row>
        <row r="628">
          <cell r="A628" t="str">
            <v>u.H-PILE항발(300x300x10x15)</v>
          </cell>
        </row>
        <row r="629">
          <cell r="A629" t="str">
            <v>v.BRACING BEAM 설치 (3∼5m)</v>
          </cell>
        </row>
        <row r="630">
          <cell r="A630" t="str">
            <v>w.BRACING BEAM 철거 (3∼5m)</v>
          </cell>
        </row>
        <row r="631">
          <cell r="A631" t="str">
            <v>x.BRACING BEAM 설치 (6∼8m)</v>
          </cell>
        </row>
        <row r="632">
          <cell r="A632" t="str">
            <v>y.BRACING BEAM 철거 (6∼8m)</v>
          </cell>
        </row>
        <row r="633">
          <cell r="A633" t="str">
            <v>z.L형강 설치</v>
          </cell>
        </row>
        <row r="634">
          <cell r="A634" t="str">
            <v>aa.L형강 철거</v>
          </cell>
        </row>
        <row r="635">
          <cell r="A635" t="str">
            <v>ab.구조용H형강</v>
          </cell>
        </row>
        <row r="636">
          <cell r="A636" t="str">
            <v>ac.구조용H형강</v>
          </cell>
        </row>
        <row r="637">
          <cell r="A637" t="str">
            <v>ad.강널말뚝</v>
          </cell>
        </row>
        <row r="638">
          <cell r="A638" t="str">
            <v>ae.강재 및 형강운반비</v>
          </cell>
        </row>
        <row r="639">
          <cell r="A639" t="str">
            <v>3.41 점검등설비공사(산수2교)</v>
          </cell>
        </row>
        <row r="640">
          <cell r="A640" t="str">
            <v>3.42 한전인입비(산수2교)</v>
          </cell>
        </row>
        <row r="641">
          <cell r="A641" t="str">
            <v>D.대곡보도육교(S.T.RAHMEM)</v>
          </cell>
        </row>
        <row r="642">
          <cell r="A642" t="str">
            <v>3.01.터 파 기</v>
          </cell>
        </row>
        <row r="643">
          <cell r="A643" t="str">
            <v>a.육상토사</v>
          </cell>
        </row>
        <row r="644">
          <cell r="A644" t="str">
            <v>3.02 되메우기(기계70%,인력30%)</v>
          </cell>
        </row>
        <row r="645">
          <cell r="A645" t="str">
            <v>3.03 콘크리트 타설</v>
          </cell>
        </row>
        <row r="646">
          <cell r="A646" t="str">
            <v>a.무      근</v>
          </cell>
        </row>
        <row r="647">
          <cell r="A647" t="str">
            <v>b.펌프카타설</v>
          </cell>
        </row>
        <row r="648">
          <cell r="A648" t="str">
            <v>3.04 무수축 몰탈</v>
          </cell>
        </row>
        <row r="649">
          <cell r="A649" t="str">
            <v>3.05 거푸집공</v>
          </cell>
        </row>
        <row r="650">
          <cell r="A650" t="str">
            <v>a.합판거푸집</v>
          </cell>
        </row>
        <row r="651">
          <cell r="A651" t="str">
            <v>-1.거푸집</v>
          </cell>
        </row>
        <row r="652">
          <cell r="A652" t="str">
            <v>-2.거푸집</v>
          </cell>
        </row>
        <row r="653">
          <cell r="A653" t="str">
            <v>3.06 모따기</v>
          </cell>
        </row>
        <row r="654">
          <cell r="A654" t="str">
            <v>3.07 T.B.M 설치</v>
          </cell>
        </row>
        <row r="655">
          <cell r="A655" t="str">
            <v>3.08 스페이서 설치</v>
          </cell>
        </row>
        <row r="656">
          <cell r="A656" t="str">
            <v>3.09 화강석포장</v>
          </cell>
        </row>
        <row r="657">
          <cell r="A657" t="str">
            <v>3.10 교면방수</v>
          </cell>
        </row>
        <row r="658">
          <cell r="A658" t="str">
            <v>3.11 철근가공 및 조립</v>
          </cell>
        </row>
        <row r="659">
          <cell r="A659" t="str">
            <v>a.보       통</v>
          </cell>
        </row>
        <row r="660">
          <cell r="A660" t="str">
            <v>3.12 배수시설공</v>
          </cell>
        </row>
        <row r="661">
          <cell r="A661" t="str">
            <v>a.육교용 집수구(스턴레스)</v>
          </cell>
        </row>
        <row r="662">
          <cell r="A662" t="str">
            <v>b.육교용 이음부(스텐레스)</v>
          </cell>
        </row>
        <row r="663">
          <cell r="A663" t="str">
            <v>c.배수용용강관(육교용)</v>
          </cell>
        </row>
        <row r="664">
          <cell r="A664" t="str">
            <v>3.13 육교용난간</v>
          </cell>
        </row>
        <row r="665">
          <cell r="A665" t="str">
            <v>3.14 강관말뚝</v>
          </cell>
        </row>
        <row r="666">
          <cell r="A666" t="str">
            <v>a.강관말뚝-자재비</v>
          </cell>
        </row>
        <row r="667">
          <cell r="A667" t="str">
            <v>b.S.I.P</v>
          </cell>
        </row>
        <row r="668">
          <cell r="A668" t="str">
            <v>c.강관파일 두부보강(볼트식)</v>
          </cell>
        </row>
        <row r="669">
          <cell r="A669" t="str">
            <v>d.선단 보강</v>
          </cell>
        </row>
        <row r="670">
          <cell r="A670" t="str">
            <v>3.15 강   교</v>
          </cell>
        </row>
        <row r="671">
          <cell r="A671" t="str">
            <v>a.강교제작(대곡보도육교)</v>
          </cell>
        </row>
        <row r="672">
          <cell r="A672" t="str">
            <v>b.강교운반(대곡보도육교)</v>
          </cell>
        </row>
        <row r="673">
          <cell r="A673" t="str">
            <v>c.강교가설(대곡보도육교)</v>
          </cell>
        </row>
        <row r="674">
          <cell r="A674" t="str">
            <v>3.16 강교 도장</v>
          </cell>
        </row>
        <row r="675">
          <cell r="A675" t="str">
            <v>a.내부도장</v>
          </cell>
        </row>
        <row r="676">
          <cell r="A676" t="str">
            <v>b.외부포장면도장</v>
          </cell>
        </row>
        <row r="677">
          <cell r="A677" t="str">
            <v>c.연결판도장</v>
          </cell>
        </row>
        <row r="678">
          <cell r="A678" t="str">
            <v>d.외부도장</v>
          </cell>
        </row>
        <row r="679">
          <cell r="A679" t="str">
            <v>e.외부도장</v>
          </cell>
        </row>
        <row r="680">
          <cell r="A680" t="str">
            <v>f.내부볼트및연결판도장</v>
          </cell>
        </row>
        <row r="681">
          <cell r="A681" t="str">
            <v>g.외부볼트및연결판도장</v>
          </cell>
        </row>
        <row r="682">
          <cell r="A682" t="str">
            <v>3.17 강교 비파괴 검사비</v>
          </cell>
        </row>
        <row r="683">
          <cell r="A683" t="str">
            <v>a.강교 비파괴 검사비</v>
          </cell>
        </row>
        <row r="684">
          <cell r="A684" t="str">
            <v>b.강교 비파괴 검사비</v>
          </cell>
        </row>
        <row r="685">
          <cell r="A685" t="str">
            <v>3.18 칼라투수콘포장</v>
          </cell>
        </row>
        <row r="686">
          <cell r="A686" t="str">
            <v>3.19가로등설비공사(보도육교)</v>
          </cell>
        </row>
        <row r="687">
          <cell r="A687" t="str">
            <v>3.20한전인입비(보도육교)</v>
          </cell>
        </row>
        <row r="688">
          <cell r="A688" t="str">
            <v>E.송덕암교(R.C 라멘교)</v>
          </cell>
        </row>
        <row r="689">
          <cell r="A689" t="str">
            <v>3.01 터 파 기</v>
          </cell>
        </row>
        <row r="690">
          <cell r="A690" t="str">
            <v>a.육상토사</v>
          </cell>
        </row>
        <row r="691">
          <cell r="A691" t="str">
            <v>b 육상풍화암</v>
          </cell>
        </row>
        <row r="692">
          <cell r="A692" t="str">
            <v>3.02 되메우기(기계70%,인력30%)</v>
          </cell>
        </row>
        <row r="693">
          <cell r="A693" t="str">
            <v>3.03 뒷채움 및 다짐</v>
          </cell>
        </row>
        <row r="694">
          <cell r="A694" t="str">
            <v>3.04 콘크리트 타설</v>
          </cell>
        </row>
        <row r="695">
          <cell r="A695" t="str">
            <v>a.철       근</v>
          </cell>
        </row>
        <row r="696">
          <cell r="A696" t="str">
            <v>b.무       근</v>
          </cell>
        </row>
        <row r="697">
          <cell r="A697" t="str">
            <v>c.펌프카 타설</v>
          </cell>
        </row>
        <row r="698">
          <cell r="A698" t="str">
            <v>3.05 무수축 콘크리트</v>
          </cell>
        </row>
        <row r="699">
          <cell r="A699" t="str">
            <v>3.06 거푸집공</v>
          </cell>
        </row>
        <row r="700">
          <cell r="A700" t="str">
            <v>a.합판거푸집</v>
          </cell>
        </row>
        <row r="701">
          <cell r="A701" t="str">
            <v>-1.거푸집</v>
          </cell>
        </row>
        <row r="702">
          <cell r="A702" t="str">
            <v>-2.거푸집</v>
          </cell>
        </row>
        <row r="703">
          <cell r="A703" t="str">
            <v>-3.거푸집</v>
          </cell>
        </row>
        <row r="704">
          <cell r="A704" t="str">
            <v>b.P.E무늬거푸집</v>
          </cell>
        </row>
        <row r="705">
          <cell r="A705" t="str">
            <v>3.07 동바리</v>
          </cell>
        </row>
        <row r="706">
          <cell r="A706" t="str">
            <v>a.동바리</v>
          </cell>
        </row>
        <row r="707">
          <cell r="A707" t="str">
            <v>b.동바리</v>
          </cell>
        </row>
        <row r="708">
          <cell r="A708" t="str">
            <v>c.강재 동바리공</v>
          </cell>
        </row>
        <row r="709">
          <cell r="A709" t="str">
            <v>d.동바리 수평연결재</v>
          </cell>
        </row>
        <row r="710">
          <cell r="A710" t="str">
            <v>3.08 비계</v>
          </cell>
        </row>
        <row r="711">
          <cell r="A711" t="str">
            <v>3.09 모따기</v>
          </cell>
        </row>
        <row r="712">
          <cell r="A712" t="str">
            <v>3.10 교명주(화강석)</v>
          </cell>
        </row>
        <row r="713">
          <cell r="A713" t="str">
            <v>3.11 교명판및설명판</v>
          </cell>
        </row>
        <row r="714">
          <cell r="A714" t="str">
            <v>a.교명판</v>
          </cell>
        </row>
        <row r="715">
          <cell r="A715" t="str">
            <v>b.설명판</v>
          </cell>
        </row>
        <row r="716">
          <cell r="A716" t="str">
            <v>3.12 표면처리</v>
          </cell>
        </row>
        <row r="717">
          <cell r="A717" t="str">
            <v>a.슬라브 양생</v>
          </cell>
        </row>
        <row r="718">
          <cell r="A718" t="str">
            <v>b.데크휘니샤 면고르기</v>
          </cell>
        </row>
        <row r="719">
          <cell r="A719" t="str">
            <v>3.13 교면방수</v>
          </cell>
        </row>
        <row r="720">
          <cell r="A720" t="str">
            <v>3.14 배면방수</v>
          </cell>
        </row>
        <row r="721">
          <cell r="A721" t="str">
            <v>3.15 전선관부설</v>
          </cell>
        </row>
        <row r="722">
          <cell r="A722" t="str">
            <v>3.16 T.B.M 설치</v>
          </cell>
        </row>
        <row r="723">
          <cell r="A723" t="str">
            <v>3.17 방 호 벽</v>
          </cell>
        </row>
        <row r="724">
          <cell r="A724" t="str">
            <v>a.방호벽(TYPE-2)</v>
          </cell>
        </row>
        <row r="725">
          <cell r="A725" t="str">
            <v>b.방호벽(TYPE-3)</v>
          </cell>
        </row>
        <row r="726">
          <cell r="A726" t="str">
            <v>3.18 중앙분리대</v>
          </cell>
        </row>
        <row r="727">
          <cell r="A727" t="str">
            <v>3.19 스페이서 설치</v>
          </cell>
        </row>
        <row r="728">
          <cell r="A728" t="str">
            <v>a.스페이서 설치</v>
          </cell>
        </row>
        <row r="729">
          <cell r="A729" t="str">
            <v>b.스페이서 설치</v>
          </cell>
        </row>
        <row r="730">
          <cell r="A730" t="str">
            <v>3.20 철근가공 및 조립</v>
          </cell>
        </row>
        <row r="731">
          <cell r="A731" t="str">
            <v>a.보       통</v>
          </cell>
        </row>
        <row r="732">
          <cell r="A732" t="str">
            <v>b.복       잡</v>
          </cell>
        </row>
        <row r="733">
          <cell r="A733" t="str">
            <v>3.21 배수시설공</v>
          </cell>
        </row>
        <row r="734">
          <cell r="A734" t="str">
            <v>a.교량배수물배기공</v>
          </cell>
        </row>
        <row r="735">
          <cell r="A735" t="str">
            <v>b.하층줄눈(성형)</v>
          </cell>
        </row>
        <row r="736">
          <cell r="A736" t="str">
            <v>c.상층줄눈(주입)</v>
          </cell>
        </row>
        <row r="737">
          <cell r="A737" t="str">
            <v>d.표면처리(방수)</v>
          </cell>
        </row>
        <row r="738">
          <cell r="A738" t="str">
            <v>e.하천용 집수구(스턴레스)</v>
          </cell>
        </row>
        <row r="739">
          <cell r="A739" t="str">
            <v>f.교량배수용강관(하천용)</v>
          </cell>
        </row>
        <row r="740">
          <cell r="A740" t="str">
            <v>g.이음부(스텐레스)</v>
          </cell>
        </row>
        <row r="741">
          <cell r="A741" t="str">
            <v>3.22 DOWEL BAR 설치</v>
          </cell>
        </row>
        <row r="742">
          <cell r="A742" t="str">
            <v>3.23 스치로폴</v>
          </cell>
        </row>
        <row r="743">
          <cell r="A743" t="str">
            <v>a.스치로폴</v>
          </cell>
        </row>
        <row r="744">
          <cell r="A744" t="str">
            <v>b.스치로폴</v>
          </cell>
        </row>
        <row r="745">
          <cell r="A745" t="str">
            <v>3.24 교량난간</v>
          </cell>
        </row>
        <row r="746">
          <cell r="A746" t="str">
            <v>F.옹벽공</v>
          </cell>
        </row>
        <row r="747">
          <cell r="A747" t="str">
            <v>3.01 구조물 터파기</v>
          </cell>
        </row>
        <row r="748">
          <cell r="A748" t="str">
            <v>3.02 되메우기(기계70%,인력30%)</v>
          </cell>
        </row>
        <row r="749">
          <cell r="A749" t="str">
            <v>3.03 물 푸 기</v>
          </cell>
        </row>
        <row r="750">
          <cell r="A750" t="str">
            <v>3.04 콘크리트 타설</v>
          </cell>
        </row>
        <row r="751">
          <cell r="A751" t="str">
            <v>a.무      근</v>
          </cell>
        </row>
        <row r="752">
          <cell r="A752" t="str">
            <v>b.무      근</v>
          </cell>
        </row>
        <row r="753">
          <cell r="A753" t="str">
            <v>c.펌프카 타설</v>
          </cell>
        </row>
        <row r="754">
          <cell r="A754" t="str">
            <v>3.05 거푸집공</v>
          </cell>
        </row>
        <row r="755">
          <cell r="A755" t="str">
            <v>a.합판거푸집</v>
          </cell>
        </row>
        <row r="756">
          <cell r="A756" t="str">
            <v>-1.거푸집</v>
          </cell>
        </row>
        <row r="757">
          <cell r="A757" t="str">
            <v>-2.거푸집</v>
          </cell>
        </row>
        <row r="758">
          <cell r="A758" t="str">
            <v>-3.거푸집</v>
          </cell>
        </row>
        <row r="759">
          <cell r="A759" t="str">
            <v>3.06 동바리</v>
          </cell>
        </row>
        <row r="760">
          <cell r="A760" t="str">
            <v>3.07 비계</v>
          </cell>
        </row>
        <row r="761">
          <cell r="A761" t="str">
            <v>3.08 모따기</v>
          </cell>
        </row>
        <row r="762">
          <cell r="A762" t="str">
            <v>3.09 스페이서 설치</v>
          </cell>
        </row>
        <row r="763">
          <cell r="A763" t="str">
            <v>a.스페이서 설치</v>
          </cell>
        </row>
        <row r="764">
          <cell r="A764" t="str">
            <v>b.스페이서 설치</v>
          </cell>
        </row>
        <row r="765">
          <cell r="A765" t="str">
            <v>3.10 철근가공조립</v>
          </cell>
        </row>
        <row r="766">
          <cell r="A766" t="str">
            <v>3.11 옹벽배수시설</v>
          </cell>
        </row>
        <row r="767">
          <cell r="A767" t="str">
            <v>a.DRAIN BOARD</v>
          </cell>
        </row>
        <row r="768">
          <cell r="A768" t="str">
            <v>b.배수 PVC PIPE</v>
          </cell>
        </row>
        <row r="769">
          <cell r="A769" t="str">
            <v>3.12 다웰바 설치(D=32M/M)</v>
          </cell>
        </row>
        <row r="770">
          <cell r="A770" t="str">
            <v>3.13 실런트</v>
          </cell>
        </row>
        <row r="771">
          <cell r="A771" t="str">
            <v>3.14 스치로폴</v>
          </cell>
        </row>
        <row r="772">
          <cell r="A772" t="str">
            <v>3.15 가시설</v>
          </cell>
        </row>
        <row r="773">
          <cell r="A773" t="str">
            <v>a.H-PILE항타(300x300x10x15)</v>
          </cell>
        </row>
        <row r="774">
          <cell r="A774" t="str">
            <v>b.H-PILE항발(300x300x10x15)</v>
          </cell>
        </row>
        <row r="775">
          <cell r="A775" t="str">
            <v>c.RAKER 제작</v>
          </cell>
        </row>
        <row r="776">
          <cell r="A776" t="str">
            <v>d.RAKER 설치 (6∼8m)</v>
          </cell>
        </row>
        <row r="777">
          <cell r="A777" t="str">
            <v>e.RAKER 철거 (6∼8m)</v>
          </cell>
        </row>
        <row r="778">
          <cell r="A778" t="str">
            <v>f.JACK 설치해체</v>
          </cell>
        </row>
        <row r="779">
          <cell r="A779" t="str">
            <v>g.보걸이설치</v>
          </cell>
        </row>
        <row r="780">
          <cell r="A780" t="str">
            <v>h.보걸이철거</v>
          </cell>
        </row>
        <row r="781">
          <cell r="A781" t="str">
            <v>i.띠장설치</v>
          </cell>
        </row>
        <row r="782">
          <cell r="A782" t="str">
            <v>j.띠장철거</v>
          </cell>
        </row>
        <row r="783">
          <cell r="A783" t="str">
            <v>k.토류판 설치</v>
          </cell>
        </row>
        <row r="784">
          <cell r="A784" t="str">
            <v>l.토류판 철거</v>
          </cell>
        </row>
        <row r="785">
          <cell r="A785" t="str">
            <v>m.구조용H형강</v>
          </cell>
        </row>
        <row r="786">
          <cell r="A786" t="str">
            <v>n.구조용H형강</v>
          </cell>
        </row>
        <row r="787">
          <cell r="A787" t="str">
            <v>3.16 부직포</v>
          </cell>
        </row>
        <row r="788">
          <cell r="A788" t="str">
            <v>3.17 기초잡석깔기</v>
          </cell>
        </row>
        <row r="789">
          <cell r="A789" t="str">
            <v>G.블럭식보강옹벽</v>
          </cell>
        </row>
        <row r="790">
          <cell r="A790" t="str">
            <v>3.01 구조물 터파기</v>
          </cell>
        </row>
        <row r="791">
          <cell r="A791" t="str">
            <v>a.육상토사</v>
          </cell>
        </row>
        <row r="792">
          <cell r="A792" t="str">
            <v>b.육상풍화암</v>
          </cell>
        </row>
        <row r="793">
          <cell r="A793" t="str">
            <v>c.육상발파암</v>
          </cell>
        </row>
        <row r="794">
          <cell r="A794" t="str">
            <v>3.02 되메우기(기계70%,인력30%)</v>
          </cell>
        </row>
        <row r="795">
          <cell r="A795" t="str">
            <v>3.03 성토(노  체)</v>
          </cell>
        </row>
        <row r="796">
          <cell r="A796" t="str">
            <v>3.04 기초잡석깔기</v>
          </cell>
        </row>
        <row r="797">
          <cell r="A797" t="str">
            <v>3.05 속채움골재</v>
          </cell>
        </row>
        <row r="798">
          <cell r="A798" t="str">
            <v>3.06 블럭쌓기</v>
          </cell>
        </row>
        <row r="799">
          <cell r="A799" t="str">
            <v>3.07 블럭쌓기</v>
          </cell>
        </row>
        <row r="800">
          <cell r="A800" t="str">
            <v>3.08 지오그리드 설치</v>
          </cell>
        </row>
        <row r="801">
          <cell r="A801" t="str">
            <v>3.09 지오그리드 설치</v>
          </cell>
        </row>
        <row r="802">
          <cell r="A802" t="str">
            <v>3.10 지오그리드 설치</v>
          </cell>
        </row>
        <row r="803">
          <cell r="A803" t="str">
            <v>4.포    장    공</v>
          </cell>
        </row>
        <row r="804">
          <cell r="A804" t="str">
            <v>4.01.동상방지층 포설 및 다짐</v>
          </cell>
        </row>
        <row r="805">
          <cell r="A805" t="str">
            <v>a.T = 40cm</v>
          </cell>
        </row>
        <row r="806">
          <cell r="A806" t="str">
            <v>4.02.보조기층 포설 및 다짐</v>
          </cell>
        </row>
        <row r="807">
          <cell r="A807" t="str">
            <v>a.T = 20cm</v>
          </cell>
        </row>
        <row r="808">
          <cell r="A808" t="str">
            <v>b.T = 30cm</v>
          </cell>
        </row>
        <row r="809">
          <cell r="A809" t="str">
            <v>c.백호우포설</v>
          </cell>
        </row>
        <row r="810">
          <cell r="A810" t="str">
            <v>4.03.콘크리트포설및양생</v>
          </cell>
        </row>
        <row r="811">
          <cell r="A811" t="str">
            <v>4.04.비닐깔기</v>
          </cell>
        </row>
        <row r="812">
          <cell r="A812" t="str">
            <v>4.05.콘크리트 포장용 거푸집</v>
          </cell>
        </row>
        <row r="813">
          <cell r="A813" t="str">
            <v>4.06.와이어메쉬설치</v>
          </cell>
        </row>
        <row r="814">
          <cell r="A814" t="str">
            <v>4.07.부체도로용 줄눈</v>
          </cell>
        </row>
        <row r="815">
          <cell r="A815" t="str">
            <v>4.08 프라임코팅</v>
          </cell>
        </row>
        <row r="816">
          <cell r="A816" t="str">
            <v>4.09.택코팅</v>
          </cell>
        </row>
        <row r="817">
          <cell r="A817" t="str">
            <v>a.택코팅</v>
          </cell>
        </row>
        <row r="818">
          <cell r="A818" t="str">
            <v>b.택코팅</v>
          </cell>
        </row>
        <row r="819">
          <cell r="A819" t="str">
            <v>4.10.캠크리트 기층 포설 및 다짐</v>
          </cell>
        </row>
        <row r="820">
          <cell r="A820" t="str">
            <v>4.11.아스콘 표층 포설 및 다짐</v>
          </cell>
        </row>
        <row r="821">
          <cell r="A821" t="str">
            <v>a.아스콘포설및다짐</v>
          </cell>
        </row>
        <row r="822">
          <cell r="A822" t="str">
            <v>b.아스콘포설및다짐</v>
          </cell>
        </row>
        <row r="823">
          <cell r="A823" t="str">
            <v>4.12.골재구입 및 운반</v>
          </cell>
        </row>
        <row r="824">
          <cell r="A824" t="str">
            <v>a.세골재(모래)</v>
          </cell>
        </row>
        <row r="825">
          <cell r="A825" t="str">
            <v>b.동상방지층재</v>
          </cell>
        </row>
        <row r="826">
          <cell r="A826" t="str">
            <v>c.보조기층재</v>
          </cell>
        </row>
        <row r="827">
          <cell r="A827" t="str">
            <v>d.세굴방지용재</v>
          </cell>
        </row>
        <row r="828">
          <cell r="A828" t="str">
            <v>e.자갈(Ø19m/m)</v>
          </cell>
        </row>
        <row r="829">
          <cell r="A829" t="str">
            <v>f.자갈(D=200M/M)</v>
          </cell>
        </row>
        <row r="830">
          <cell r="A830" t="str">
            <v>g.견치돌(T=35(25*25))</v>
          </cell>
        </row>
        <row r="831">
          <cell r="A831" t="str">
            <v>5.부    대    공</v>
          </cell>
        </row>
        <row r="832">
          <cell r="A832" t="str">
            <v>5.01 교 통 표 지 판</v>
          </cell>
        </row>
        <row r="833">
          <cell r="A833" t="str">
            <v>a.삼각표지판</v>
          </cell>
        </row>
        <row r="834">
          <cell r="A834" t="str">
            <v>b.삼각이중표지판</v>
          </cell>
        </row>
        <row r="835">
          <cell r="A835" t="str">
            <v>c.삼각표지판(부착식)</v>
          </cell>
        </row>
        <row r="836">
          <cell r="A836" t="str">
            <v>d.원형표지판</v>
          </cell>
        </row>
        <row r="837">
          <cell r="A837" t="str">
            <v>e.원형이중표지판</v>
          </cell>
        </row>
        <row r="838">
          <cell r="A838" t="str">
            <v>f.원형표지판(부착식)</v>
          </cell>
        </row>
        <row r="839">
          <cell r="A839" t="str">
            <v>5.02 안 내 표 지 판</v>
          </cell>
        </row>
        <row r="840">
          <cell r="A840" t="str">
            <v>a. 복 주 식</v>
          </cell>
        </row>
        <row r="841">
          <cell r="A841" t="str">
            <v>-1.1지명방향표지판(403-7)</v>
          </cell>
        </row>
        <row r="842">
          <cell r="A842" t="str">
            <v>-2.군계표지판(401-2)</v>
          </cell>
        </row>
        <row r="843">
          <cell r="A843" t="str">
            <v>-3.2지명 이정표지판(402-2)</v>
          </cell>
        </row>
        <row r="844">
          <cell r="A844" t="str">
            <v>-4.2지명 방향표지판(425-2)</v>
          </cell>
        </row>
        <row r="845">
          <cell r="A845" t="str">
            <v>-5.버스정류장표지(427-5)</v>
          </cell>
        </row>
        <row r="846">
          <cell r="A846" t="str">
            <v>b.편 지 식</v>
          </cell>
        </row>
        <row r="847">
          <cell r="A847" t="str">
            <v>-1.2방향예고표지(403-3)</v>
          </cell>
        </row>
        <row r="848">
          <cell r="A848" t="str">
            <v>-2.2방향예고표지(403-5)</v>
          </cell>
        </row>
        <row r="849">
          <cell r="A849" t="str">
            <v>-3.2방향표지(403-4)</v>
          </cell>
        </row>
        <row r="850">
          <cell r="A850" t="str">
            <v>-4.2방향표지(403-6)</v>
          </cell>
        </row>
        <row r="851">
          <cell r="A851" t="str">
            <v>5.03 시선유도표지</v>
          </cell>
        </row>
        <row r="852">
          <cell r="A852" t="str">
            <v>a.델리네이터</v>
          </cell>
        </row>
        <row r="853">
          <cell r="A853" t="str">
            <v>-1.델리네이터</v>
          </cell>
        </row>
        <row r="854">
          <cell r="A854" t="str">
            <v>-2.델리네이터</v>
          </cell>
        </row>
        <row r="855">
          <cell r="A855" t="str">
            <v>-3.델리네이터</v>
          </cell>
        </row>
        <row r="856">
          <cell r="A856" t="str">
            <v>-4.델리네이터</v>
          </cell>
        </row>
        <row r="857">
          <cell r="A857" t="str">
            <v>-5.델리네이터</v>
          </cell>
        </row>
        <row r="858">
          <cell r="A858" t="str">
            <v>b.도로표지병</v>
          </cell>
        </row>
        <row r="859">
          <cell r="A859" t="str">
            <v>-1.도로표지병</v>
          </cell>
        </row>
        <row r="860">
          <cell r="A860" t="str">
            <v>-2.도로표지병</v>
          </cell>
        </row>
        <row r="861">
          <cell r="A861" t="str">
            <v>c.갈매기표지판</v>
          </cell>
        </row>
        <row r="862">
          <cell r="A862" t="str">
            <v>d.소분리대 반사판</v>
          </cell>
        </row>
        <row r="863">
          <cell r="A863" t="str">
            <v>5.04 차선도색</v>
          </cell>
        </row>
        <row r="864">
          <cell r="A864" t="str">
            <v>a.백  색</v>
          </cell>
        </row>
        <row r="865">
          <cell r="A865" t="str">
            <v>-1.실 선</v>
          </cell>
        </row>
        <row r="866">
          <cell r="A866" t="str">
            <v>-2.파 선</v>
          </cell>
        </row>
        <row r="867">
          <cell r="A867" t="str">
            <v>-3.실 선</v>
          </cell>
        </row>
        <row r="868">
          <cell r="A868" t="str">
            <v>b.황  색</v>
          </cell>
        </row>
        <row r="869">
          <cell r="A869" t="str">
            <v>-1.실 선</v>
          </cell>
        </row>
        <row r="870">
          <cell r="A870" t="str">
            <v>-2.실 선</v>
          </cell>
        </row>
        <row r="871">
          <cell r="A871" t="str">
            <v>5.05 가드레일</v>
          </cell>
        </row>
        <row r="872">
          <cell r="A872" t="str">
            <v>a.가드레일</v>
          </cell>
        </row>
        <row r="873">
          <cell r="A873" t="str">
            <v>-1.가드레일</v>
          </cell>
        </row>
        <row r="874">
          <cell r="A874" t="str">
            <v>-2.가드레일</v>
          </cell>
        </row>
        <row r="875">
          <cell r="A875" t="str">
            <v>b.레일포스트</v>
          </cell>
        </row>
        <row r="876">
          <cell r="A876" t="str">
            <v>-1.가드레일</v>
          </cell>
        </row>
        <row r="877">
          <cell r="A877" t="str">
            <v>-2.가드레일</v>
          </cell>
        </row>
        <row r="878">
          <cell r="A878" t="str">
            <v>c.단부레일</v>
          </cell>
        </row>
        <row r="879">
          <cell r="A879" t="str">
            <v>-1.단부레일</v>
          </cell>
        </row>
        <row r="880">
          <cell r="A880" t="str">
            <v>-2.단부레일</v>
          </cell>
        </row>
        <row r="881">
          <cell r="A881" t="str">
            <v>d.가드레일</v>
          </cell>
        </row>
        <row r="882">
          <cell r="A882" t="str">
            <v>e.단부콘크리트</v>
          </cell>
        </row>
        <row r="883">
          <cell r="A883" t="str">
            <v>5.06.중앙분리대</v>
          </cell>
        </row>
        <row r="884">
          <cell r="A884" t="str">
            <v>a.레일포스트</v>
          </cell>
        </row>
        <row r="885">
          <cell r="A885" t="str">
            <v>b.양면가드레일</v>
          </cell>
        </row>
        <row r="886">
          <cell r="A886" t="str">
            <v>c.양면가드레일</v>
          </cell>
        </row>
        <row r="887">
          <cell r="A887" t="str">
            <v>d.라운드레일</v>
          </cell>
        </row>
        <row r="888">
          <cell r="A888" t="str">
            <v>5.07 차 광 망</v>
          </cell>
        </row>
        <row r="889">
          <cell r="A889" t="str">
            <v>a. 토 공 용</v>
          </cell>
        </row>
        <row r="890">
          <cell r="A890" t="str">
            <v>5.08 낙석방지책및낙석방지망</v>
          </cell>
        </row>
        <row r="891">
          <cell r="A891" t="str">
            <v>a 낙석방지책</v>
          </cell>
        </row>
        <row r="892">
          <cell r="A892" t="str">
            <v>-1.낙석방지책</v>
          </cell>
        </row>
        <row r="893">
          <cell r="A893" t="str">
            <v>-1-1.낙석방지책(TYPE-1)</v>
          </cell>
        </row>
        <row r="894">
          <cell r="A894" t="str">
            <v>-1-2.낙석방지책(TYPE-2)</v>
          </cell>
        </row>
        <row r="895">
          <cell r="A895" t="str">
            <v>-2.낙석방지책</v>
          </cell>
        </row>
        <row r="896">
          <cell r="A896" t="str">
            <v>-2-1.낙석방지책(TYPE-1)</v>
          </cell>
        </row>
        <row r="897">
          <cell r="A897" t="str">
            <v>-2-2.낙석방지책(TYPE-2)</v>
          </cell>
        </row>
        <row r="898">
          <cell r="A898" t="str">
            <v>b.낙석방지망</v>
          </cell>
        </row>
        <row r="899">
          <cell r="A899" t="str">
            <v>5.09 미끄럼방지포장</v>
          </cell>
        </row>
        <row r="900">
          <cell r="A900" t="str">
            <v>5.10 충격흡수시설</v>
          </cell>
        </row>
        <row r="901">
          <cell r="A901" t="str">
            <v>5.11 반사경</v>
          </cell>
        </row>
        <row r="902">
          <cell r="A902" t="str">
            <v>5.12 방호시설</v>
          </cell>
        </row>
        <row r="903">
          <cell r="A903" t="str">
            <v>a.암파쇄방호시설</v>
          </cell>
        </row>
        <row r="904">
          <cell r="A904" t="str">
            <v>-1 암파쇄방호시설</v>
          </cell>
        </row>
        <row r="905">
          <cell r="A905" t="str">
            <v>-1-1.설치</v>
          </cell>
        </row>
        <row r="906">
          <cell r="A906" t="str">
            <v>-1-2.철거</v>
          </cell>
        </row>
        <row r="907">
          <cell r="A907" t="str">
            <v>b.안전시설목</v>
          </cell>
        </row>
        <row r="908">
          <cell r="A908" t="str">
            <v>5.13 방 음 벽</v>
          </cell>
        </row>
        <row r="909">
          <cell r="A909" t="str">
            <v>a.방음벽(토공용)</v>
          </cell>
        </row>
        <row r="910">
          <cell r="A910" t="str">
            <v>-1.방음벽</v>
          </cell>
        </row>
        <row r="911">
          <cell r="A911" t="str">
            <v>-2.방음벽</v>
          </cell>
        </row>
        <row r="912">
          <cell r="A912" t="str">
            <v>b.방음벽(교량용)</v>
          </cell>
        </row>
        <row r="913">
          <cell r="A913" t="str">
            <v>-1.방음벽</v>
          </cell>
        </row>
        <row r="914">
          <cell r="A914" t="str">
            <v>c.방음벽기초</v>
          </cell>
        </row>
        <row r="915">
          <cell r="A915" t="str">
            <v>-1. 콘크리트타설</v>
          </cell>
        </row>
        <row r="916">
          <cell r="A916" t="str">
            <v>-2. 콘크리트타설</v>
          </cell>
        </row>
        <row r="917">
          <cell r="A917" t="str">
            <v>-3.거푸집</v>
          </cell>
        </row>
        <row r="918">
          <cell r="A918" t="str">
            <v>-3-1.거푸집</v>
          </cell>
        </row>
        <row r="919">
          <cell r="A919" t="str">
            <v>-3-2.거푸집</v>
          </cell>
        </row>
        <row r="920">
          <cell r="A920" t="str">
            <v>-4.철근가공조립</v>
          </cell>
        </row>
        <row r="921">
          <cell r="A921" t="str">
            <v>-5.비계</v>
          </cell>
        </row>
        <row r="922">
          <cell r="A922" t="str">
            <v>-6.기초잡석깔기</v>
          </cell>
        </row>
        <row r="923">
          <cell r="A923" t="str">
            <v>5.14 절토부 점검로</v>
          </cell>
        </row>
        <row r="924">
          <cell r="A924" t="str">
            <v>a.절토부 점검로</v>
          </cell>
        </row>
        <row r="925">
          <cell r="A925" t="str">
            <v>-1.절토부 점검로</v>
          </cell>
        </row>
        <row r="926">
          <cell r="A926" t="str">
            <v>-2.절토부 점검로</v>
          </cell>
        </row>
        <row r="927">
          <cell r="A927" t="str">
            <v>-3.절토부 점검로</v>
          </cell>
        </row>
        <row r="928">
          <cell r="A928" t="str">
            <v>b.측면부 점검로</v>
          </cell>
        </row>
        <row r="929">
          <cell r="A929" t="str">
            <v>-1.측면부 점검로</v>
          </cell>
        </row>
        <row r="930">
          <cell r="A930" t="str">
            <v>-2.측면부 점검로</v>
          </cell>
        </row>
        <row r="931">
          <cell r="A931" t="str">
            <v>5.15 버스정차대</v>
          </cell>
        </row>
        <row r="932">
          <cell r="A932" t="str">
            <v>a.승강장</v>
          </cell>
        </row>
        <row r="933">
          <cell r="A933" t="str">
            <v>5.16.공사중 환경피해저감시설</v>
          </cell>
        </row>
        <row r="934">
          <cell r="A934" t="str">
            <v>a.가설방음벽및방진망</v>
          </cell>
        </row>
        <row r="935">
          <cell r="A935" t="str">
            <v>b. 오탁방지시설</v>
          </cell>
        </row>
        <row r="936">
          <cell r="A936" t="str">
            <v>c. 오일휀스 설치</v>
          </cell>
        </row>
        <row r="937">
          <cell r="A937" t="str">
            <v>d. 침사지 설치</v>
          </cell>
        </row>
        <row r="938">
          <cell r="A938" t="str">
            <v>-1.터파기</v>
          </cell>
        </row>
        <row r="939">
          <cell r="A939" t="str">
            <v>-2.표토제거</v>
          </cell>
        </row>
        <row r="940">
          <cell r="A940" t="str">
            <v>-3.되메우기</v>
          </cell>
        </row>
        <row r="941">
          <cell r="A941" t="str">
            <v>-4.잔토처리</v>
          </cell>
        </row>
        <row r="942">
          <cell r="A942" t="str">
            <v>5.17 기존가옥철거</v>
          </cell>
        </row>
        <row r="943">
          <cell r="A943" t="str">
            <v>a.가옥 철거</v>
          </cell>
        </row>
        <row r="944">
          <cell r="A944" t="str">
            <v>5.18 접도구역표주 및 준공표지석</v>
          </cell>
        </row>
        <row r="945">
          <cell r="A945" t="str">
            <v>a.접도구역 경계표주</v>
          </cell>
        </row>
        <row r="946">
          <cell r="A946" t="str">
            <v>b.준공표지석</v>
          </cell>
        </row>
        <row r="947">
          <cell r="A947" t="str">
            <v>5.19 보도블럭포장</v>
          </cell>
        </row>
        <row r="948">
          <cell r="A948" t="str">
            <v>a.소형고압블럭</v>
          </cell>
        </row>
        <row r="949">
          <cell r="A949" t="str">
            <v>b.소형고압블럭</v>
          </cell>
        </row>
        <row r="950">
          <cell r="A950" t="str">
            <v>c.도로경계석</v>
          </cell>
        </row>
        <row r="951">
          <cell r="A951" t="str">
            <v>d.보차도경계석</v>
          </cell>
        </row>
        <row r="952">
          <cell r="A952" t="str">
            <v>5.20 비탈면 보호공</v>
          </cell>
        </row>
        <row r="953">
          <cell r="A953" t="str">
            <v>a.돌쌓기</v>
          </cell>
        </row>
        <row r="954">
          <cell r="A954" t="str">
            <v>-1.돌쌓기 기초</v>
          </cell>
        </row>
        <row r="955">
          <cell r="A955" t="str">
            <v>-2.돌쌓기</v>
          </cell>
        </row>
        <row r="956">
          <cell r="A956" t="str">
            <v>b.호안보호블럭</v>
          </cell>
        </row>
        <row r="957">
          <cell r="A957" t="str">
            <v>-1.호안보호블럭기초</v>
          </cell>
        </row>
        <row r="958">
          <cell r="A958" t="str">
            <v>-2.호안보호블럭</v>
          </cell>
        </row>
        <row r="959">
          <cell r="A959" t="str">
            <v>c.기어형블럭</v>
          </cell>
        </row>
        <row r="960">
          <cell r="A960" t="str">
            <v>-1.콘크리트 블럭</v>
          </cell>
        </row>
        <row r="961">
          <cell r="A961" t="str">
            <v>-2.블럭운반</v>
          </cell>
        </row>
        <row r="962">
          <cell r="A962" t="str">
            <v>-3.수상블럭거치</v>
          </cell>
        </row>
        <row r="963">
          <cell r="A963" t="str">
            <v>-4.저면매트부설</v>
          </cell>
        </row>
        <row r="964">
          <cell r="A964" t="str">
            <v>-5.제작장 정지</v>
          </cell>
        </row>
        <row r="965">
          <cell r="A965" t="str">
            <v>-6.달아올림틀 제작</v>
          </cell>
        </row>
        <row r="966">
          <cell r="A966" t="str">
            <v>5.21 세륜세차시설</v>
          </cell>
        </row>
        <row r="967">
          <cell r="A967" t="str">
            <v>5.22 가도공</v>
          </cell>
        </row>
        <row r="968">
          <cell r="A968" t="str">
            <v>-1.흙깍기(토사)</v>
          </cell>
        </row>
        <row r="969">
          <cell r="A969" t="str">
            <v>-2.흙 쌓 기</v>
          </cell>
        </row>
        <row r="970">
          <cell r="A970" t="str">
            <v>-3.가마니쌓기및헐기</v>
          </cell>
        </row>
        <row r="971">
          <cell r="A971" t="str">
            <v>-4.가배수관부설(흄관)</v>
          </cell>
        </row>
        <row r="972">
          <cell r="A972" t="str">
            <v>5.23 가설사무실</v>
          </cell>
        </row>
        <row r="973">
          <cell r="A973" t="str">
            <v>5.24 시공측량비</v>
          </cell>
        </row>
        <row r="974">
          <cell r="A974" t="str">
            <v>5.25 도로대장작성비</v>
          </cell>
        </row>
        <row r="975">
          <cell r="A975" t="str">
            <v>5.26 중기운반비</v>
          </cell>
        </row>
        <row r="976">
          <cell r="A976" t="str">
            <v>5.27 시험비</v>
          </cell>
        </row>
        <row r="977">
          <cell r="A977" t="str">
            <v>5.28 품질관리 차량비</v>
          </cell>
        </row>
        <row r="978">
          <cell r="A978" t="str">
            <v>5.29 살수차운영</v>
          </cell>
        </row>
        <row r="979">
          <cell r="A979" t="str">
            <v>5.30 소 각 장</v>
          </cell>
        </row>
        <row r="980">
          <cell r="A980" t="str">
            <v>5.31 폐기물처리비</v>
          </cell>
        </row>
        <row r="981">
          <cell r="A981" t="str">
            <v>-1.폐아스콘처리비</v>
          </cell>
        </row>
        <row r="982">
          <cell r="A982" t="str">
            <v>-2.폐콘크리트처리비</v>
          </cell>
        </row>
        <row r="983">
          <cell r="A983" t="str">
            <v>-3.혼합폐기물처리비</v>
          </cell>
        </row>
        <row r="984">
          <cell r="A984" t="str">
            <v>5.32 시공상세도 작성비</v>
          </cell>
        </row>
        <row r="985">
          <cell r="A985" t="str">
            <v>5.33 기존도로유지관리비</v>
          </cell>
        </row>
        <row r="986">
          <cell r="A986" t="str">
            <v>a.소파보수</v>
          </cell>
        </row>
        <row r="987">
          <cell r="A987" t="str">
            <v>-1.아스팔트 포장 절단</v>
          </cell>
        </row>
        <row r="988">
          <cell r="A988" t="str">
            <v>-2.아스콘 포장 깨기</v>
          </cell>
        </row>
        <row r="989">
          <cell r="A989" t="str">
            <v>-3.프라임코팅</v>
          </cell>
        </row>
        <row r="990">
          <cell r="A990" t="str">
            <v>-4.택 코 팅</v>
          </cell>
        </row>
        <row r="991">
          <cell r="A991" t="str">
            <v>-5.기층아스콘포설및다짐</v>
          </cell>
        </row>
        <row r="992">
          <cell r="A992" t="str">
            <v>-6.표층아스콘포설및다짐</v>
          </cell>
        </row>
        <row r="993">
          <cell r="A993" t="str">
            <v>-7.자재 및 운반비</v>
          </cell>
        </row>
        <row r="994">
          <cell r="A994" t="str">
            <v>b.덧씌우기</v>
          </cell>
        </row>
        <row r="995">
          <cell r="A995" t="str">
            <v>-1.택 코 팅</v>
          </cell>
        </row>
        <row r="996">
          <cell r="A996" t="str">
            <v>-2.표층아스콘포설및다짐</v>
          </cell>
        </row>
        <row r="997">
          <cell r="A997" t="str">
            <v>-3.자재대 및 운반비</v>
          </cell>
        </row>
        <row r="998">
          <cell r="A998" t="str">
            <v>-3-1.아스팔트 운반</v>
          </cell>
        </row>
        <row r="999">
          <cell r="A999" t="str">
            <v>-3-2.표층</v>
          </cell>
        </row>
        <row r="1000">
          <cell r="A1000" t="str">
            <v>-3-3.아스팔트(유제)</v>
          </cell>
        </row>
        <row r="1001">
          <cell r="A1001" t="str">
            <v>c.차선도색</v>
          </cell>
        </row>
        <row r="1002">
          <cell r="A1002" t="str">
            <v>-1.황색실선</v>
          </cell>
        </row>
        <row r="1003">
          <cell r="A1003" t="str">
            <v>-2.백색실선</v>
          </cell>
        </row>
        <row r="1004">
          <cell r="A1004" t="str">
            <v>5.34 교통관리비</v>
          </cell>
        </row>
        <row r="1005">
          <cell r="A1005" t="str">
            <v>5.35 준공도서작성비</v>
          </cell>
        </row>
        <row r="1006">
          <cell r="A1006" t="str">
            <v>5.36 교량부 시추조사비</v>
          </cell>
        </row>
        <row r="1007">
          <cell r="A1007" t="str">
            <v>-1.기구설치비</v>
          </cell>
        </row>
        <row r="1008">
          <cell r="A1008" t="str">
            <v>-2.토사층</v>
          </cell>
        </row>
        <row r="1009">
          <cell r="A1009" t="str">
            <v>-3.연암층</v>
          </cell>
        </row>
        <row r="1010">
          <cell r="A1010" t="str">
            <v>-4.경암층</v>
          </cell>
        </row>
        <row r="1011">
          <cell r="A1011" t="str">
            <v>5.37 초기안전점검비</v>
          </cell>
        </row>
        <row r="1012">
          <cell r="A1012" t="str">
            <v>5.38 자재운반비</v>
          </cell>
        </row>
        <row r="1013">
          <cell r="A1013" t="str">
            <v>a.시멘트 운반</v>
          </cell>
        </row>
        <row r="1014">
          <cell r="A1014" t="str">
            <v>b.철근 운반</v>
          </cell>
        </row>
        <row r="1015">
          <cell r="A1015" t="str">
            <v>c. 아스팔트 운반</v>
          </cell>
        </row>
        <row r="1016">
          <cell r="A1016" t="str">
            <v>5.39 자 재 대</v>
          </cell>
        </row>
        <row r="1017">
          <cell r="A1017" t="str">
            <v>a.시 멘 트</v>
          </cell>
        </row>
        <row r="1018">
          <cell r="A1018" t="str">
            <v>b.철    근</v>
          </cell>
        </row>
        <row r="1019">
          <cell r="A1019" t="str">
            <v>-1. H13 M/M</v>
          </cell>
        </row>
        <row r="1020">
          <cell r="A1020" t="str">
            <v>-2. H16~32 M/M</v>
          </cell>
        </row>
        <row r="1021">
          <cell r="A1021" t="str">
            <v>-3  D10 M/M</v>
          </cell>
        </row>
        <row r="1022">
          <cell r="A1022" t="str">
            <v>-4  D13 M/M</v>
          </cell>
        </row>
        <row r="1023">
          <cell r="A1023" t="str">
            <v>-5  D16~32 M/M</v>
          </cell>
        </row>
        <row r="1024">
          <cell r="A1024" t="str">
            <v>-6  Ø32 M/M</v>
          </cell>
        </row>
        <row r="1025">
          <cell r="A1025" t="str">
            <v>-7  Ø25 M/M</v>
          </cell>
        </row>
        <row r="1026">
          <cell r="A1026" t="str">
            <v>c.레 미 콘</v>
          </cell>
        </row>
        <row r="1027">
          <cell r="A1027" t="str">
            <v>-1 레 미 콘</v>
          </cell>
        </row>
        <row r="1028">
          <cell r="A1028" t="str">
            <v>-2.레 미 콘(섬유보강)</v>
          </cell>
        </row>
        <row r="1029">
          <cell r="A1029" t="str">
            <v>-3 레 미 콘</v>
          </cell>
        </row>
        <row r="1030">
          <cell r="A1030" t="str">
            <v>-4 레 미 콘</v>
          </cell>
        </row>
        <row r="1031">
          <cell r="A1031" t="str">
            <v>-5 레 미 콘</v>
          </cell>
        </row>
        <row r="1032">
          <cell r="A1032" t="str">
            <v>-6 레 미 콘</v>
          </cell>
        </row>
        <row r="1033">
          <cell r="A1033" t="str">
            <v>-7 레 미 콘</v>
          </cell>
        </row>
        <row r="1034">
          <cell r="A1034" t="str">
            <v>-8 레 미 콘</v>
          </cell>
        </row>
        <row r="1035">
          <cell r="A1035" t="str">
            <v>-9 레 미 콘</v>
          </cell>
        </row>
        <row r="1036">
          <cell r="A1036" t="str">
            <v>-10 레 미 콘</v>
          </cell>
        </row>
        <row r="1037">
          <cell r="A1037" t="str">
            <v>-11 레 미 콘</v>
          </cell>
        </row>
        <row r="1038">
          <cell r="A1038" t="str">
            <v>-12 레 미 콘</v>
          </cell>
        </row>
        <row r="1039">
          <cell r="A1039" t="str">
            <v>-13 레 미 콘</v>
          </cell>
        </row>
        <row r="1040">
          <cell r="A1040" t="str">
            <v>d.아스팔트 콘크리트</v>
          </cell>
        </row>
        <row r="1041">
          <cell r="A1041" t="str">
            <v>-1.기  층</v>
          </cell>
        </row>
        <row r="1042">
          <cell r="A1042" t="str">
            <v>-2.표  층</v>
          </cell>
        </row>
        <row r="1043">
          <cell r="A1043" t="str">
            <v>-3.캠크리트</v>
          </cell>
        </row>
        <row r="1044">
          <cell r="A1044" t="str">
            <v>e..아스팔트</v>
          </cell>
        </row>
        <row r="1045">
          <cell r="A1045" t="str">
            <v>-1.아스팔트</v>
          </cell>
        </row>
        <row r="1046">
          <cell r="A1046" t="str">
            <v>-2.아스팔트</v>
          </cell>
        </row>
        <row r="1047">
          <cell r="A1047" t="str">
            <v>f.VR관</v>
          </cell>
        </row>
        <row r="1048">
          <cell r="A1048" t="str">
            <v>-1.VR관</v>
          </cell>
        </row>
        <row r="1049">
          <cell r="A1049" t="str">
            <v>-2 VR관</v>
          </cell>
        </row>
        <row r="1050">
          <cell r="A1050" t="str">
            <v>-3.VR관</v>
          </cell>
        </row>
        <row r="1051">
          <cell r="A1051" t="str">
            <v>-4.VR관</v>
          </cell>
        </row>
        <row r="1052">
          <cell r="A1052" t="str">
            <v>-5.VR관</v>
          </cell>
        </row>
        <row r="1053">
          <cell r="A1053" t="str">
            <v>-6.VR관</v>
          </cell>
        </row>
        <row r="1054">
          <cell r="A1054" t="str">
            <v>g.흄관</v>
          </cell>
        </row>
        <row r="1055">
          <cell r="A1055" t="str">
            <v>-1.흄관</v>
          </cell>
        </row>
        <row r="1056">
          <cell r="A1056" t="str">
            <v>-2.흄관</v>
          </cell>
        </row>
        <row r="1057">
          <cell r="A1057" t="str">
            <v>h.고재대</v>
          </cell>
        </row>
        <row r="1058">
          <cell r="A1058" t="str">
            <v>간 접 노 무 비</v>
          </cell>
        </row>
        <row r="1059">
          <cell r="A1059" t="str">
            <v>산 재 보 험 료</v>
          </cell>
        </row>
        <row r="1060">
          <cell r="A1060" t="str">
            <v>안 전 관 리 비</v>
          </cell>
        </row>
        <row r="1061">
          <cell r="A1061" t="str">
            <v>기  타  경  비</v>
          </cell>
        </row>
        <row r="1062">
          <cell r="A1062" t="str">
            <v>일 반 관 리 비</v>
          </cell>
        </row>
        <row r="1063">
          <cell r="A1063" t="str">
            <v>이          윤</v>
          </cell>
        </row>
        <row r="1064">
          <cell r="A1064" t="str">
            <v>고 용 보 험 료</v>
          </cell>
        </row>
        <row r="1065">
          <cell r="A1065" t="str">
            <v>퇴직공제 부금비</v>
          </cell>
        </row>
        <row r="1066">
          <cell r="A1066" t="str">
            <v>정기안전 점검비</v>
          </cell>
        </row>
        <row r="1067">
          <cell r="A1067" t="str">
            <v>사후환경영향평가비</v>
          </cell>
        </row>
        <row r="1068">
          <cell r="A1068" t="str">
            <v>공사송해보험료</v>
          </cell>
        </row>
        <row r="1069">
          <cell r="A1069" t="str">
            <v>부 가 가 치 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Exp Eva"/>
      <sheetName val="Prog Eva."/>
      <sheetName val="MTL"/>
      <sheetName val="man p sum."/>
      <sheetName val="fuel "/>
      <sheetName val="spare"/>
      <sheetName val="eq't "/>
      <sheetName val="Summary"/>
      <sheetName val="Fuel Eva."/>
      <sheetName val="Eqt Eva."/>
      <sheetName val="Mat Eva."/>
      <sheetName val="Lab Eva."/>
      <sheetName val="Claim"/>
      <sheetName val="Prob."/>
      <sheetName val="Office Eng'g"/>
      <sheetName val="Beza"/>
      <sheetName val="Dozer"/>
      <sheetName val="Grad, Rol &amp; WT"/>
      <sheetName val="Ex,Load &amp; DT"/>
      <sheetName val="Prod."/>
    </sheetNames>
    <sheetDataSet>
      <sheetData sheetId="0">
        <row r="2">
          <cell r="B2" t="str">
            <v>Reporting Date: Sene 07</v>
          </cell>
        </row>
        <row r="3">
          <cell r="B3" t="str">
            <v>Week No.80</v>
          </cell>
        </row>
        <row r="4">
          <cell r="B4" t="str">
            <v>Duration:  Ginbot 28 - Sene 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Prog Eva."/>
      <sheetName val="MTL"/>
      <sheetName val="Man p."/>
      <sheetName val="fuel "/>
      <sheetName val="spare"/>
      <sheetName val="eq't "/>
      <sheetName val="Exp Eva."/>
      <sheetName val="Claim"/>
      <sheetName val="Prob."/>
      <sheetName val="Fuel Eva."/>
      <sheetName val="Eqt Eva."/>
      <sheetName val="Mat Eva."/>
      <sheetName val="Lab Eva."/>
      <sheetName val="Equ sta."/>
      <sheetName val="eq't plan"/>
      <sheetName val="Exp. plan"/>
      <sheetName val="Summary"/>
      <sheetName val="Work plan"/>
      <sheetName val="Plan 1"/>
      <sheetName val="Sheet3"/>
    </sheetNames>
    <sheetDataSet>
      <sheetData sheetId="0" refreshError="1">
        <row r="2">
          <cell r="B2" t="str">
            <v>Week No. :Week 47</v>
          </cell>
        </row>
        <row r="3">
          <cell r="B3" t="str">
            <v>Duration:Tikemet 7 to Tikemet 13</v>
          </cell>
        </row>
        <row r="4">
          <cell r="B4" t="str">
            <v>Reporting:Date Tikemet 14</v>
          </cell>
        </row>
        <row r="6">
          <cell r="B6" t="str">
            <v>Week No. :Week 48</v>
          </cell>
        </row>
        <row r="7">
          <cell r="B7" t="str">
            <v>Duration:Tikemet 14 to Tikemet 20</v>
          </cell>
        </row>
        <row r="8">
          <cell r="B8" t="str">
            <v>Reporting:Date Tikemet 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Other Expen. "/>
      <sheetName val="IS"/>
      <sheetName val="Summary"/>
      <sheetName val="Claim"/>
      <sheetName val="Man p. "/>
      <sheetName val="MTL"/>
      <sheetName val="fuel "/>
      <sheetName val="spare"/>
      <sheetName val="eq't"/>
      <sheetName val="CPVSA "/>
      <sheetName val="Sheet4"/>
      <sheetName val="Fuel Eva "/>
      <sheetName val="Eqt Eva."/>
      <sheetName val="Map Eva."/>
      <sheetName val="Plan"/>
    </sheetNames>
    <sheetDataSet>
      <sheetData sheetId="0" refreshError="1">
        <row r="2">
          <cell r="B2" t="str">
            <v>Reporting week : Sept.30-October.5, 1996 Week46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q't plan"/>
      <sheetName val="Work plan"/>
      <sheetName val="cost plan"/>
      <sheetName val="OT work"/>
      <sheetName val="OT cost"/>
      <sheetName val="Summary"/>
    </sheetNames>
    <sheetDataSet>
      <sheetData sheetId="0">
        <row r="2">
          <cell r="B2" t="str">
            <v>Reporting:Date Tikemet 23</v>
          </cell>
        </row>
        <row r="3">
          <cell r="B3" t="str">
            <v>Reporting Week:Tekemt 21-Tekemt 27,1996(Week No. 49)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"/>
      <sheetName val="1-IPC"/>
      <sheetName val="2-Loc.&amp;For"/>
      <sheetName val="P.adjust Factor"/>
      <sheetName val="P.adjustment"/>
      <sheetName val="5-Material Credit"/>
      <sheetName val="6-Late Pay.&amp;Intr."/>
      <sheetName val="7-Summary"/>
      <sheetName val="8-Bill-1"/>
      <sheetName val="9-Bill-2"/>
      <sheetName val="10-Bill-3"/>
      <sheetName val="11-Bill-4"/>
      <sheetName val="12-Bill-5"/>
      <sheetName val="13-Bill-6"/>
      <sheetName val="14-Bill-7"/>
      <sheetName val="15-Bill-8"/>
      <sheetName val="16-Bill-9"/>
      <sheetName val="17-Bill-10"/>
      <sheetName val="18-Bill-11"/>
      <sheetName val="19-Prov. Sums"/>
      <sheetName val="20-Dayworks-Total"/>
      <sheetName val="20-Dayworks-Labour"/>
      <sheetName val="20-Dayworks-Material"/>
      <sheetName val="20-Dayworks-Plant"/>
      <sheetName val="B-1-1"/>
      <sheetName val="B-1-2"/>
      <sheetName val="B-1-3"/>
      <sheetName val="B-1-4"/>
      <sheetName val="B-1-5"/>
      <sheetName val="B-1-6"/>
      <sheetName val="B-1-7"/>
      <sheetName val="B-1-8"/>
      <sheetName val="B-1-9"/>
      <sheetName val="B-1-10"/>
      <sheetName val="B-2-1"/>
      <sheetName val="B-2-2"/>
      <sheetName val="B-2-3"/>
      <sheetName val="B-2-4"/>
      <sheetName val="B-2-5"/>
      <sheetName val="B-2-6"/>
      <sheetName val="B-2-7"/>
      <sheetName val="B-2-8"/>
      <sheetName val="B-2-9"/>
      <sheetName val="B-2-10"/>
      <sheetName val="B-2-11"/>
      <sheetName val="B-2-12"/>
      <sheetName val="B-2-13"/>
      <sheetName val="B-2-14"/>
      <sheetName val="B-2-15"/>
      <sheetName val="B-2-16"/>
      <sheetName val="B-2-17"/>
      <sheetName val="B-2-18"/>
      <sheetName val="B-3-1"/>
      <sheetName val="B-3-2"/>
      <sheetName val="B-3-3"/>
      <sheetName val="B-3-4"/>
      <sheetName val="B-3-5"/>
      <sheetName val="B-3-6"/>
      <sheetName val="B-4-1"/>
      <sheetName val="B-4-2"/>
      <sheetName val="B-7-1"/>
      <sheetName val="Summary of Measure"/>
    </sheetNames>
    <sheetDataSet>
      <sheetData sheetId="0">
        <row r="2">
          <cell r="B2" t="str">
            <v>CERTIFICATE: No.11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S"/>
      <sheetName val="IS  "/>
      <sheetName val="I&amp;ES"/>
      <sheetName val="PvsAC "/>
      <sheetName val="mtl"/>
      <sheetName val="man"/>
      <sheetName val="sum eq't "/>
      <sheetName val="spare"/>
      <sheetName val="fuel"/>
      <sheetName val="m.status"/>
      <sheetName val="fuel Eva. (2)"/>
      <sheetName val="Eqt Eva."/>
      <sheetName val="man (sh.)"/>
      <sheetName val="eq't (sh.)"/>
      <sheetName val="O.STANDING PRO."/>
    </sheetNames>
    <sheetDataSet>
      <sheetData sheetId="0">
        <row r="2">
          <cell r="B2" t="str">
            <v>Reporting month :Meskerem 1996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부하"/>
      <sheetName val="TR용량"/>
      <sheetName val="BATT"/>
      <sheetName val="GENCALC"/>
      <sheetName val="CABLE SIZE CALCULATION SHEET"/>
      <sheetName val="IMPEADENCE MAP "/>
      <sheetName val="IMPEADENCE "/>
      <sheetName val="등가거리"/>
      <sheetName val="MCCCALC"/>
      <sheetName val="CABLECALC"/>
      <sheetName val="DATA"/>
      <sheetName val="DATA1"/>
      <sheetName val="MOTOR"/>
      <sheetName val="견적갑지"/>
      <sheetName val="입찰참가보고 (2)"/>
      <sheetName val="집계표"/>
      <sheetName val="내역"/>
      <sheetName val="부대공II"/>
      <sheetName val="가설사무실"/>
      <sheetName val="조직도"/>
      <sheetName val="카메라"/>
      <sheetName val="토목원가계산서"/>
      <sheetName val="토목원가"/>
      <sheetName val="집계장"/>
      <sheetName val="설계내역"/>
      <sheetName val="제외공종"/>
      <sheetName val="000000"/>
      <sheetName val="조명율표"/>
      <sheetName val="CABLE"/>
      <sheetName val="전동기수정"/>
      <sheetName val="전동기적용"/>
      <sheetName val="전동기"/>
      <sheetName val="PACKAGE"/>
      <sheetName val="전선"/>
      <sheetName val="전선관"/>
      <sheetName val="허용전류"/>
      <sheetName val="선로정수"/>
      <sheetName val="전선관(1)"/>
      <sheetName val="부하산정"/>
      <sheetName val="케이블선정"/>
      <sheetName val="Sheet9"/>
      <sheetName val="Sheet10"/>
      <sheetName val="Sheet12"/>
      <sheetName val="Sheet11"/>
      <sheetName val="Sheet13"/>
      <sheetName val="Sheet14"/>
      <sheetName val="Sheet15"/>
      <sheetName val="Sheet16"/>
      <sheetName val="공정현황보고(3.20) (2)"/>
      <sheetName val="추진공정(법인)3.20"/>
      <sheetName val="공정현황보고(3.27) (2)"/>
      <sheetName val="추진공정(법인)3.27"/>
      <sheetName val="공정현황보고(4.2)"/>
      <sheetName val="표지"/>
      <sheetName val="원가계산"/>
      <sheetName val="원가계산기준"/>
      <sheetName val="단가산출서"/>
      <sheetName val="수량산출-재료"/>
      <sheetName val="수량산출-노무"/>
      <sheetName val="산출1-전력"/>
      <sheetName val="산출1-분전반"/>
      <sheetName val="산출2-기기동력"/>
      <sheetName val="산출3-동력"/>
      <sheetName val="산출4-접지"/>
      <sheetName val="산출5-피뢰침"/>
      <sheetName val="산출6-전등"/>
      <sheetName val="산출-전등(TRAY)"/>
      <sheetName val="산출7-전열"/>
      <sheetName val="산출8-조명제어"/>
      <sheetName val="산출9-TRAY"/>
      <sheetName val="단가조사-1"/>
      <sheetName val="단가조사-2"/>
      <sheetName val="일위집계"/>
      <sheetName val="일위대가"/>
      <sheetName val="노임단가"/>
      <sheetName val="설계참고목차"/>
      <sheetName val="수량조서"/>
      <sheetName val="1.철주신설"/>
      <sheetName val="2.철주신설"/>
      <sheetName val="3.철주신설"/>
      <sheetName val="4.비임신설"/>
      <sheetName val="5.기기가대"/>
      <sheetName val="6.철주기초"/>
      <sheetName val="7.기기기초"/>
      <sheetName val="8.기기기초"/>
      <sheetName val="9.기기기초"/>
      <sheetName val="10.단권변압기"/>
      <sheetName val="11.가스절연"/>
      <sheetName val="12.전자식제어반"/>
      <sheetName val="13.고장점표정반"/>
      <sheetName val="14.GP"/>
      <sheetName val="15.전철용RTU"/>
      <sheetName val="16.R-C BANK"/>
      <sheetName val="17.모선배선"/>
      <sheetName val="18.제어및전력케이블"/>
      <sheetName val="19.핏트"/>
      <sheetName val="20.배수로"/>
      <sheetName val="21.스틸그레이팅"/>
      <sheetName val="22.접지장치"/>
      <sheetName val="23.옥외전선관"/>
      <sheetName val="24.옥외외등"/>
      <sheetName val="25.무인화설비"/>
      <sheetName val="26.콘크리트포장"/>
      <sheetName val="27.자갈부설"/>
      <sheetName val="28.휀스"/>
      <sheetName val="29.소내용TR"/>
      <sheetName val="30.고배용VCB"/>
      <sheetName val="31.고배용RTU"/>
      <sheetName val="32.기기기초"/>
      <sheetName val="33.지중케이블"/>
      <sheetName val="34.전력용관로"/>
      <sheetName val="35.장주신설"/>
      <sheetName val="36.맨홀"/>
      <sheetName val="37.운반비"/>
      <sheetName val="운반비(철재류)"/>
      <sheetName val="운반비(전선관)"/>
      <sheetName val="운반비(전선류)"/>
      <sheetName val="호표"/>
      <sheetName val="시중노임표"/>
      <sheetName val="견적단가"/>
      <sheetName val="재료단가"/>
      <sheetName val="Sheet1"/>
      <sheetName val="공사비"/>
      <sheetName val="단가산출"/>
      <sheetName val="가드레일산근"/>
      <sheetName val="수량집계표"/>
      <sheetName val="수량"/>
      <sheetName val="단가비교"/>
      <sheetName val="적용2002"/>
      <sheetName val="중기"/>
      <sheetName val="목차"/>
      <sheetName val="도급내역서"/>
      <sheetName val="1.공사집행계획서"/>
      <sheetName val="2.예산내역검토서"/>
      <sheetName val="3.실행원가내역서"/>
      <sheetName val="4.실행예산단가산출서(단가)"/>
      <sheetName val="4.실행예산단가산출서(금액)"/>
      <sheetName val="5.현장관리비"/>
      <sheetName val="6.공사예정공정표"/>
      <sheetName val="7.인원동원현황"/>
      <sheetName val="8.장비투입현황"/>
      <sheetName val="9.문제점 및 대책"/>
      <sheetName val="10.설계변경 및 추가공사"/>
      <sheetName val="공사수행범위"/>
      <sheetName val="자재투입계획"/>
      <sheetName val="사급자재구입량"/>
      <sheetName val="산출근거"/>
      <sheetName val="사급자재재료표"/>
      <sheetName val="단가비교표"/>
      <sheetName val="Chart1"/>
      <sheetName val="내역서"/>
      <sheetName val="단위내역목록"/>
      <sheetName val="단위내역서"/>
      <sheetName val="총괄표"/>
      <sheetName val="원가(1)"/>
      <sheetName val="원가(2)"/>
      <sheetName val="공량산출서"/>
      <sheetName val="총물량표"/>
      <sheetName val="정산물량표"/>
      <sheetName val="정산세부물량1차분실적"/>
      <sheetName val="정산복구량"/>
      <sheetName val="일위대가표(1)"/>
      <sheetName val="일위대가표(2)"/>
      <sheetName val="자재단가비교표"/>
      <sheetName val="복구량산정 및 전용회선 사용"/>
      <sheetName val="Module1"/>
      <sheetName val="적쒩2002"/>
      <sheetName val="단위내엍목록"/>
      <sheetName val="원가계산서"/>
      <sheetName val="설계내역서"/>
      <sheetName val="제어반공량"/>
      <sheetName val="가격조사"/>
      <sheetName val="제어반견적"/>
      <sheetName val="주요물량"/>
      <sheetName val="ITEM"/>
      <sheetName val="안영판암원가계산서"/>
      <sheetName val="안영-판암간집계표"/>
      <sheetName val="안영복개집계표"/>
      <sheetName val="안영복개터널옥외변전"/>
      <sheetName val="안영복개터널가로등"/>
      <sheetName val="안영복개터널케이블(할증제외)"/>
      <sheetName val="안영복개터널케이블(할증)"/>
      <sheetName val="안영복개터널조명(할증제외)"/>
      <sheetName val="안영복개터널조명(할증)"/>
      <sheetName val="안영복개터널방재(할증제외)"/>
      <sheetName val="안영복개터널방재(할증)"/>
      <sheetName val="안영복개터널소화기(할증제외)"/>
      <sheetName val="안영복개터널소화기(할증)"/>
      <sheetName val="구완집계표"/>
      <sheetName val="구완터널옥외변전"/>
      <sheetName val="구완터널가로등"/>
      <sheetName val="구완터널케이블(할증제외)"/>
      <sheetName val="구완터널케이블(할증)"/>
      <sheetName val="구완터널조명(할증제외)"/>
      <sheetName val="구완터널조명(할증)"/>
      <sheetName val="구완터널방재(할증제외)"/>
      <sheetName val="구완터널방재(할증)"/>
      <sheetName val="구완터널소화기(할증제외)"/>
      <sheetName val="구완터널소화기(할증)"/>
      <sheetName val="안영영업소집계표"/>
      <sheetName val="안영옥외전기"/>
      <sheetName val="안영옥내전기"/>
      <sheetName val="안영옥내약전설비공사"/>
      <sheetName val="안영소방"/>
      <sheetName val="안영TG설비공사"/>
      <sheetName val="안영지명표지판총괄"/>
      <sheetName val="안영지명표지판"/>
      <sheetName val="안영지명표지판2"/>
      <sheetName val="안영IC집계표"/>
      <sheetName val="안영IC"/>
      <sheetName val="안영IC신호등집계표"/>
      <sheetName val="안영IC신호등"/>
      <sheetName val="남대전JC집계표"/>
      <sheetName val="남대전JC"/>
      <sheetName val="교량집계표(안영-판암감)"/>
      <sheetName val="교량점검등(안영-판암간)"/>
      <sheetName val="지급자재집계표"/>
      <sheetName val="안영복개터널지급자재"/>
      <sheetName val="구완터널지급자재"/>
      <sheetName val="안영영업소지급자재"/>
      <sheetName val="안영IC가로등지급자재"/>
      <sheetName val="남대전JC가로등지급자재"/>
      <sheetName val="공구손료 산출내역"/>
      <sheetName val="대비"/>
      <sheetName val="WORK"/>
      <sheetName val="일반공사"/>
      <sheetName val="정부노임단가"/>
      <sheetName val="DS-LOAD"/>
      <sheetName val="2F 회의실견적(5_14 일대)"/>
      <sheetName val="CONCRETE"/>
      <sheetName val="D-3503"/>
      <sheetName val="P礔CKAGE"/>
      <sheetName val="운반비(전선륐)"/>
      <sheetName val="지급자재"/>
      <sheetName val="차액보증"/>
      <sheetName val="A-4"/>
      <sheetName val="남양시작동자105노65기1.3화1.2"/>
      <sheetName val="건축내역"/>
      <sheetName val="날개벽"/>
      <sheetName val="전기일위대가"/>
      <sheetName val="Y-WORK"/>
      <sheetName val="공문"/>
      <sheetName val="갑지"/>
      <sheetName val="항목별사용내역"/>
      <sheetName val="항목별사용금액"/>
      <sheetName val="급여명세서(한국)"/>
      <sheetName val="1.노무비명세서(해동)"/>
      <sheetName val="1.노무비명세서(토목)"/>
      <sheetName val="2.노무비명세서(해동)"/>
      <sheetName val="2.노무비명세서(수직보호망)"/>
      <sheetName val="2.노무비명세서(난간대)"/>
      <sheetName val="2.사진대지"/>
      <sheetName val="3.사진대지"/>
      <sheetName val="Sheet3"/>
      <sheetName val="공통비"/>
      <sheetName val="경비"/>
      <sheetName val="전차선로 물량표"/>
      <sheetName val="코드"/>
      <sheetName val="설계예산내역서"/>
      <sheetName val="노원열병합  건축공사기성내역서"/>
      <sheetName val="공통가설"/>
      <sheetName val="타공종이기"/>
      <sheetName val="소비자가"/>
      <sheetName val="내역분기"/>
      <sheetName val="자재단가"/>
      <sheetName val="Sheet1 (2)"/>
      <sheetName val="31.고_x0000_RTU"/>
      <sheetName val="일위대가서"/>
      <sheetName val="MCC,분전반"/>
      <sheetName val="PANEL"/>
      <sheetName val="신규단가-00.11.30"/>
      <sheetName val="원가계산서-계약"/>
      <sheetName val="계약내역서"/>
      <sheetName val="단가조서"/>
      <sheetName val="견적단가(조명제어)"/>
      <sheetName val="견적단가(등기구)"/>
      <sheetName val="견적단가(수배전반)"/>
      <sheetName val="결과조달"/>
      <sheetName val="CODE"/>
      <sheetName val="98지급계획"/>
      <sheetName val="데이타"/>
      <sheetName val="11.자재단가"/>
      <sheetName val="중기사용료"/>
      <sheetName val="부대내역"/>
      <sheetName val="BLOCK(1)"/>
      <sheetName val="일위대가목차"/>
      <sheetName val="ilch"/>
      <sheetName val="터널조도"/>
      <sheetName val="실행내역"/>
      <sheetName val="노무비"/>
      <sheetName val="출근부"/>
      <sheetName val="설계조건"/>
      <sheetName val="안정계산"/>
      <sheetName val="단면검토"/>
      <sheetName val="VXXXXX"/>
      <sheetName val="전도금청구서"/>
      <sheetName val="전도금청구서 (2)"/>
      <sheetName val="자금분계"/>
      <sheetName val="미지급"/>
      <sheetName val="직영노"/>
      <sheetName val="금전출납 "/>
      <sheetName val="현금출납부"/>
      <sheetName val="식대 "/>
      <sheetName val="장비사용료"/>
      <sheetName val="장비대"/>
      <sheetName val="유류대"/>
      <sheetName val="자재대"/>
      <sheetName val="기성고조서(폐기물) (2)"/>
      <sheetName val="기성고조서(순성토)"/>
      <sheetName val="기성고조서(배수)"/>
      <sheetName val="배수외주내역서"/>
      <sheetName val="Sheet3 (5)"/>
      <sheetName val="Sheet3 (6)"/>
      <sheetName val="SG"/>
      <sheetName val="sw1"/>
      <sheetName val="NOMUBI"/>
      <sheetName val="공사비집계"/>
      <sheetName val="투찰"/>
      <sheetName val="TEL"/>
      <sheetName val="I.설계조건"/>
      <sheetName val="단위중량"/>
      <sheetName val="토공(완충)"/>
      <sheetName val="CTEMCOST"/>
      <sheetName val="c_balju"/>
      <sheetName val="토공"/>
      <sheetName val="001"/>
      <sheetName val="금액내역서"/>
      <sheetName val="L형옹벽(key)"/>
      <sheetName val="연결임시"/>
      <sheetName val="현금"/>
      <sheetName val="#REF"/>
      <sheetName val="수량산출"/>
      <sheetName val="DATE"/>
      <sheetName val="토공계산서(부체도로)"/>
      <sheetName val="K1자재(3차등)"/>
      <sheetName val="총계"/>
      <sheetName val="내역서 "/>
      <sheetName val="준검 내역서"/>
      <sheetName val="기초공"/>
      <sheetName val="기둥(원형)"/>
      <sheetName val="구조물철거타공정이월"/>
      <sheetName val="BQ"/>
      <sheetName val="정렬"/>
      <sheetName val="경비2내역"/>
      <sheetName val="BID"/>
      <sheetName val="ABUT수량-A1"/>
      <sheetName val="건축"/>
      <sheetName val="수목단가"/>
      <sheetName val="시설수량표"/>
      <sheetName val="식재수량표"/>
      <sheetName val="일위목록"/>
      <sheetName val="보합"/>
      <sheetName val="견적시담(송포2공구)"/>
      <sheetName val="현장지지물물량"/>
      <sheetName val="집1"/>
      <sheetName val="8.PILE  (돌출)"/>
      <sheetName val="산거각호표"/>
      <sheetName val="판"/>
      <sheetName val="인건비"/>
      <sheetName val="한강운반비"/>
      <sheetName val="기계내역"/>
      <sheetName val="공통부대비"/>
      <sheetName val="단가조사서"/>
      <sheetName val="간선계산"/>
      <sheetName val="맨홀수량집계"/>
      <sheetName val="7.1유효폭"/>
      <sheetName val="백호우계수"/>
      <sheetName val="말뚝물량"/>
      <sheetName val="중기일위대가"/>
      <sheetName val="BJJIN"/>
      <sheetName val="내역서(총)"/>
      <sheetName val="횡배위치"/>
      <sheetName val="관람석제출"/>
      <sheetName val="danga"/>
      <sheetName val="단가"/>
      <sheetName val="시설물일위"/>
      <sheetName val="B"/>
      <sheetName val="환률"/>
      <sheetName val="토목주소"/>
      <sheetName val="프랜트면허"/>
      <sheetName val="공사개요"/>
      <sheetName val="6호기"/>
      <sheetName val="NEWDRAW"/>
      <sheetName val="겉장"/>
      <sheetName val="기성검사원"/>
      <sheetName val="원가"/>
      <sheetName val="토목"/>
      <sheetName val="조도계산서 (도서)"/>
      <sheetName val="몰탈재료산출"/>
      <sheetName val="TOTAL"/>
      <sheetName val="교각1"/>
      <sheetName val="총집계표"/>
      <sheetName val="교각계산"/>
      <sheetName val="3BL공동구 수량"/>
      <sheetName val="BOQ-Summary_Form A2"/>
      <sheetName val="최초침전지집계표"/>
      <sheetName val="설계예산서"/>
      <sheetName val="가공비"/>
      <sheetName val="수량집계"/>
      <sheetName val="총괄집계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61">
          <cell r="B61">
            <v>2.5</v>
          </cell>
          <cell r="C61" t="str">
            <v>KA</v>
          </cell>
          <cell r="D61">
            <v>4.1717686147384132</v>
          </cell>
          <cell r="E61">
            <v>5.5</v>
          </cell>
        </row>
        <row r="62">
          <cell r="B62">
            <v>5</v>
          </cell>
          <cell r="C62" t="str">
            <v>KA</v>
          </cell>
          <cell r="D62">
            <v>8.3435372294768264</v>
          </cell>
          <cell r="E62">
            <v>14</v>
          </cell>
        </row>
        <row r="63">
          <cell r="B63">
            <v>8</v>
          </cell>
          <cell r="C63" t="str">
            <v>KA</v>
          </cell>
          <cell r="D63">
            <v>13.349659567162922</v>
          </cell>
          <cell r="E63">
            <v>14</v>
          </cell>
        </row>
        <row r="64">
          <cell r="B64">
            <v>12.5</v>
          </cell>
          <cell r="C64" t="str">
            <v>KA</v>
          </cell>
          <cell r="D64">
            <v>20.858843073692068</v>
          </cell>
          <cell r="E64">
            <v>22</v>
          </cell>
        </row>
        <row r="65">
          <cell r="B65">
            <v>16</v>
          </cell>
          <cell r="C65" t="str">
            <v>KA</v>
          </cell>
          <cell r="D65">
            <v>26.699319134325844</v>
          </cell>
          <cell r="E65">
            <v>38</v>
          </cell>
        </row>
        <row r="66">
          <cell r="B66">
            <v>20</v>
          </cell>
          <cell r="C66" t="str">
            <v>KA</v>
          </cell>
          <cell r="D66">
            <v>33.374148917907306</v>
          </cell>
          <cell r="E66">
            <v>38</v>
          </cell>
        </row>
        <row r="67">
          <cell r="B67">
            <v>25</v>
          </cell>
          <cell r="C67" t="str">
            <v>KA</v>
          </cell>
          <cell r="D67">
            <v>41.717686147384136</v>
          </cell>
          <cell r="E67">
            <v>60</v>
          </cell>
        </row>
        <row r="68">
          <cell r="B68">
            <v>40</v>
          </cell>
          <cell r="C68" t="str">
            <v>KA</v>
          </cell>
          <cell r="D68">
            <v>66.748297835814611</v>
          </cell>
          <cell r="E68">
            <v>100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nsistancy"/>
      <sheetName val="Sheet4"/>
      <sheetName val="Exp Eva"/>
      <sheetName val="Prog Eva."/>
      <sheetName val="MTL"/>
      <sheetName val="man p sum."/>
      <sheetName val="spare"/>
      <sheetName val="fuel "/>
      <sheetName val="eq't "/>
      <sheetName val="Summary"/>
      <sheetName val="Fuel Eva."/>
      <sheetName val="Eqt Eva."/>
      <sheetName val="Mat Eva."/>
      <sheetName val="Lab Eva."/>
      <sheetName val="Prob."/>
      <sheetName val="Office Eng'g"/>
      <sheetName val="Beza"/>
      <sheetName val="Dozer"/>
      <sheetName val="Grader"/>
      <sheetName val="Loader"/>
      <sheetName val="DT"/>
      <sheetName val="Excavator"/>
      <sheetName val="crusher"/>
      <sheetName val="Compressor"/>
      <sheetName val="Minor Drainage"/>
    </sheetNames>
    <sheetDataSet>
      <sheetData sheetId="0"/>
      <sheetData sheetId="1">
        <row r="2">
          <cell r="B2" t="str">
            <v>Reporting Date: Yekatit 28</v>
          </cell>
        </row>
        <row r="4">
          <cell r="B4" t="str">
            <v>Duration:  Yek 19- Yek 25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ES"/>
      <sheetName val="I&amp;ES"/>
      <sheetName val="PvsAC "/>
      <sheetName val="man"/>
      <sheetName val="mtl"/>
      <sheetName val="eq't "/>
      <sheetName val="spare"/>
      <sheetName val="fuel"/>
      <sheetName val="m.status"/>
      <sheetName val="Fuel Eva  (2)"/>
      <sheetName val="Eqt Eva."/>
      <sheetName val="man (sh.)"/>
      <sheetName val="eq't (sh.)"/>
      <sheetName val="Prob."/>
      <sheetName val="O.STANDING PRO."/>
    </sheetNames>
    <sheetDataSet>
      <sheetData sheetId="0"/>
      <sheetData sheetId="1"/>
      <sheetData sheetId="2">
        <row r="3">
          <cell r="B3" t="str">
            <v>Reporting Month:Tir, 1996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ES"/>
      <sheetName val="I&amp;ES"/>
      <sheetName val="PvsAC "/>
      <sheetName val="man"/>
      <sheetName val="mtl"/>
      <sheetName val="eq't "/>
      <sheetName val="spare"/>
      <sheetName val="fuel"/>
      <sheetName val="m.status"/>
      <sheetName val="Fuel Eva  (2)"/>
      <sheetName val="Eqt Eva."/>
      <sheetName val="man (sh.)"/>
      <sheetName val="eq't (sh.)"/>
      <sheetName val="Prob."/>
      <sheetName val="O.STANDING PRO."/>
    </sheetNames>
    <sheetDataSet>
      <sheetData sheetId="0"/>
      <sheetData sheetId="1"/>
      <sheetData sheetId="2">
        <row r="3">
          <cell r="B3" t="str">
            <v>Reporting Month:Tir, 1996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락"/>
      <sheetName val="진행"/>
      <sheetName val="일정"/>
      <sheetName val="지분"/>
      <sheetName val="봉투"/>
      <sheetName val="업체"/>
      <sheetName val="FAX"/>
      <sheetName val="또FAX"/>
      <sheetName val="자압"/>
      <sheetName val="부대"/>
      <sheetName val="☞참고"/>
      <sheetName val="구수"/>
      <sheetName val="자료"/>
      <sheetName val="현협"/>
      <sheetName val="견출"/>
      <sheetName val="larou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명    칭</v>
          </cell>
          <cell r="D2" t="str">
            <v>단위</v>
          </cell>
          <cell r="E2" t="str">
            <v>수  량</v>
          </cell>
        </row>
        <row r="3">
          <cell r="B3" t="str">
            <v>1. 앙성-산척간 도로 확장 및 포장공사</v>
          </cell>
        </row>
        <row r="4">
          <cell r="B4" t="str">
            <v>교통표지판</v>
          </cell>
          <cell r="D4" t="str">
            <v>M2</v>
          </cell>
          <cell r="E4">
            <v>927</v>
          </cell>
        </row>
        <row r="5">
          <cell r="B5" t="str">
            <v>삼각표지판 단주식</v>
          </cell>
        </row>
        <row r="6">
          <cell r="B6" t="str">
            <v>단주식</v>
          </cell>
          <cell r="D6" t="str">
            <v>EA</v>
          </cell>
          <cell r="E6">
            <v>39</v>
          </cell>
        </row>
        <row r="7">
          <cell r="B7" t="str">
            <v>내민식</v>
          </cell>
          <cell r="D7" t="str">
            <v>EA</v>
          </cell>
          <cell r="E7">
            <v>31</v>
          </cell>
        </row>
        <row r="8">
          <cell r="B8" t="str">
            <v>원형표지판</v>
          </cell>
        </row>
        <row r="9">
          <cell r="B9" t="str">
            <v>단주식</v>
          </cell>
          <cell r="D9" t="str">
            <v>EA</v>
          </cell>
          <cell r="E9">
            <v>23</v>
          </cell>
        </row>
        <row r="10">
          <cell r="B10" t="str">
            <v>내민식</v>
          </cell>
          <cell r="D10" t="str">
            <v>EA</v>
          </cell>
          <cell r="E10">
            <v>18</v>
          </cell>
        </row>
        <row r="11">
          <cell r="B11" t="str">
            <v>부착식</v>
          </cell>
          <cell r="D11" t="str">
            <v>EA</v>
          </cell>
          <cell r="E11">
            <v>12</v>
          </cell>
        </row>
        <row r="12">
          <cell r="B12" t="str">
            <v>안내표지판</v>
          </cell>
        </row>
        <row r="13">
          <cell r="B13" t="str">
            <v>2방향예고표지</v>
          </cell>
        </row>
        <row r="14">
          <cell r="B14" t="str">
            <v>복주식</v>
          </cell>
          <cell r="D14" t="str">
            <v>EA</v>
          </cell>
          <cell r="E14">
            <v>11</v>
          </cell>
        </row>
        <row r="15">
          <cell r="B15" t="str">
            <v>내민식</v>
          </cell>
          <cell r="D15" t="str">
            <v>EA</v>
          </cell>
          <cell r="E15">
            <v>1</v>
          </cell>
        </row>
        <row r="16">
          <cell r="B16" t="str">
            <v>3방향예고표지</v>
          </cell>
        </row>
        <row r="17">
          <cell r="B17" t="str">
            <v>복주식</v>
          </cell>
          <cell r="D17" t="str">
            <v>EA</v>
          </cell>
          <cell r="E17">
            <v>10</v>
          </cell>
        </row>
        <row r="18">
          <cell r="B18" t="str">
            <v>내민식</v>
          </cell>
          <cell r="D18" t="str">
            <v>EA</v>
          </cell>
          <cell r="E18">
            <v>10</v>
          </cell>
        </row>
        <row r="19">
          <cell r="B19" t="str">
            <v>출구점예고표지</v>
          </cell>
          <cell r="D19" t="str">
            <v>EA</v>
          </cell>
          <cell r="E19">
            <v>22</v>
          </cell>
        </row>
        <row r="20">
          <cell r="B20" t="str">
            <v>보조표지판</v>
          </cell>
          <cell r="D20" t="str">
            <v>EA</v>
          </cell>
          <cell r="E20">
            <v>2</v>
          </cell>
        </row>
        <row r="21">
          <cell r="B21" t="str">
            <v>면경계표지</v>
          </cell>
          <cell r="D21" t="str">
            <v>EA</v>
          </cell>
          <cell r="E21">
            <v>10</v>
          </cell>
        </row>
        <row r="22">
          <cell r="B22" t="str">
            <v>시선유도표지</v>
          </cell>
        </row>
        <row r="23">
          <cell r="B23" t="str">
            <v>갈매기표지판</v>
          </cell>
        </row>
        <row r="24">
          <cell r="B24" t="str">
            <v>"</v>
          </cell>
          <cell r="D24" t="str">
            <v>EA</v>
          </cell>
          <cell r="E24">
            <v>12</v>
          </cell>
        </row>
        <row r="25">
          <cell r="B25" t="str">
            <v>"</v>
          </cell>
          <cell r="D25" t="str">
            <v>EA</v>
          </cell>
          <cell r="E25">
            <v>4</v>
          </cell>
        </row>
        <row r="26">
          <cell r="B26" t="str">
            <v>데리네이터</v>
          </cell>
        </row>
        <row r="27">
          <cell r="B27" t="str">
            <v>"</v>
          </cell>
          <cell r="D27" t="str">
            <v>EA</v>
          </cell>
          <cell r="E27">
            <v>126</v>
          </cell>
        </row>
        <row r="28">
          <cell r="B28" t="str">
            <v>"</v>
          </cell>
          <cell r="D28" t="str">
            <v>EA</v>
          </cell>
          <cell r="E28">
            <v>233</v>
          </cell>
        </row>
        <row r="29">
          <cell r="B29" t="str">
            <v>"</v>
          </cell>
          <cell r="D29" t="str">
            <v>EA</v>
          </cell>
          <cell r="E29">
            <v>70</v>
          </cell>
        </row>
        <row r="30">
          <cell r="B30" t="str">
            <v>"</v>
          </cell>
          <cell r="D30" t="str">
            <v>EA</v>
          </cell>
          <cell r="E30">
            <v>119</v>
          </cell>
        </row>
        <row r="31">
          <cell r="B31" t="str">
            <v>도로표지병</v>
          </cell>
          <cell r="D31" t="str">
            <v>EA</v>
          </cell>
          <cell r="E31">
            <v>2434</v>
          </cell>
        </row>
        <row r="32">
          <cell r="B32" t="str">
            <v>가드레일</v>
          </cell>
        </row>
        <row r="33">
          <cell r="B33" t="str">
            <v>표준레일</v>
          </cell>
          <cell r="D33" t="str">
            <v>경간</v>
          </cell>
          <cell r="E33">
            <v>3940</v>
          </cell>
        </row>
        <row r="34">
          <cell r="B34" t="str">
            <v>단부구간</v>
          </cell>
          <cell r="D34" t="str">
            <v>EA소</v>
          </cell>
          <cell r="E34">
            <v>92</v>
          </cell>
        </row>
        <row r="35">
          <cell r="B35" t="str">
            <v>낙석방지책</v>
          </cell>
        </row>
        <row r="36">
          <cell r="B36" t="str">
            <v>표준구간</v>
          </cell>
          <cell r="D36" t="str">
            <v>경간</v>
          </cell>
          <cell r="E36">
            <v>2287</v>
          </cell>
        </row>
        <row r="37">
          <cell r="B37" t="str">
            <v>단부구간</v>
          </cell>
          <cell r="D37" t="str">
            <v>EA소</v>
          </cell>
          <cell r="E37">
            <v>54</v>
          </cell>
        </row>
        <row r="38">
          <cell r="B38" t="str">
            <v>낙석방지망</v>
          </cell>
          <cell r="D38" t="str">
            <v>㎡</v>
          </cell>
          <cell r="E38">
            <v>1218</v>
          </cell>
        </row>
        <row r="39">
          <cell r="B39" t="str">
            <v>방 음 벽</v>
          </cell>
        </row>
        <row r="40">
          <cell r="B40" t="str">
            <v>토 공 용</v>
          </cell>
        </row>
        <row r="41">
          <cell r="B41" t="str">
            <v>"</v>
          </cell>
          <cell r="D41" t="str">
            <v>M</v>
          </cell>
          <cell r="E41">
            <v>1040</v>
          </cell>
        </row>
        <row r="42">
          <cell r="B42" t="str">
            <v>"</v>
          </cell>
          <cell r="D42" t="str">
            <v>M</v>
          </cell>
          <cell r="E42">
            <v>400</v>
          </cell>
        </row>
        <row r="43">
          <cell r="B43" t="str">
            <v>교 량 용</v>
          </cell>
          <cell r="D43" t="str">
            <v>M</v>
          </cell>
          <cell r="E43">
            <v>120</v>
          </cell>
        </row>
        <row r="45">
          <cell r="B45" t="str">
            <v>2. 강진-장흥간 도로 확장 및 포장공사</v>
          </cell>
        </row>
        <row r="46">
          <cell r="B46" t="str">
            <v>교통표지판(삼각)</v>
          </cell>
          <cell r="D46" t="str">
            <v>EA</v>
          </cell>
          <cell r="E46">
            <v>34</v>
          </cell>
        </row>
        <row r="47">
          <cell r="B47" t="str">
            <v>교통표지판(원형)</v>
          </cell>
          <cell r="D47" t="str">
            <v>EA</v>
          </cell>
          <cell r="E47">
            <v>6</v>
          </cell>
        </row>
        <row r="48">
          <cell r="B48" t="str">
            <v>교통표지판(이중원형)</v>
          </cell>
          <cell r="D48" t="str">
            <v>EA</v>
          </cell>
          <cell r="E48">
            <v>26</v>
          </cell>
        </row>
        <row r="49">
          <cell r="B49" t="str">
            <v>원형표지판</v>
          </cell>
          <cell r="D49" t="str">
            <v>EA</v>
          </cell>
          <cell r="E49">
            <v>6</v>
          </cell>
        </row>
        <row r="50">
          <cell r="B50" t="str">
            <v>2방향예고403-3</v>
          </cell>
          <cell r="D50" t="str">
            <v>EA</v>
          </cell>
          <cell r="E50">
            <v>10</v>
          </cell>
        </row>
        <row r="51">
          <cell r="B51" t="str">
            <v>2방향표지403-4</v>
          </cell>
          <cell r="D51" t="str">
            <v>EA</v>
          </cell>
          <cell r="E51">
            <v>10</v>
          </cell>
        </row>
        <row r="52">
          <cell r="B52" t="str">
            <v>2방향예고403-5</v>
          </cell>
          <cell r="D52" t="str">
            <v>EA</v>
          </cell>
          <cell r="E52">
            <v>3</v>
          </cell>
        </row>
        <row r="53">
          <cell r="B53" t="str">
            <v>2방향표지403-6</v>
          </cell>
          <cell r="D53" t="str">
            <v>EA</v>
          </cell>
          <cell r="E53">
            <v>5</v>
          </cell>
        </row>
        <row r="54">
          <cell r="B54" t="str">
            <v>버스정류장표지판</v>
          </cell>
          <cell r="D54" t="str">
            <v>EA</v>
          </cell>
          <cell r="E54">
            <v>4</v>
          </cell>
        </row>
        <row r="55">
          <cell r="B55" t="str">
            <v>이정표지402-2</v>
          </cell>
          <cell r="D55" t="str">
            <v>EA</v>
          </cell>
          <cell r="E55">
            <v>4</v>
          </cell>
        </row>
        <row r="56">
          <cell r="B56" t="str">
            <v>소형사각표지판</v>
          </cell>
          <cell r="D56" t="str">
            <v>EA</v>
          </cell>
          <cell r="E56">
            <v>2</v>
          </cell>
        </row>
        <row r="57">
          <cell r="B57" t="str">
            <v>하천안내표지</v>
          </cell>
          <cell r="D57" t="str">
            <v>EA</v>
          </cell>
          <cell r="E57">
            <v>2</v>
          </cell>
        </row>
        <row r="58">
          <cell r="B58" t="str">
            <v>출구점2방향표지</v>
          </cell>
          <cell r="D58" t="str">
            <v>EA</v>
          </cell>
          <cell r="E58">
            <v>6</v>
          </cell>
        </row>
        <row r="59">
          <cell r="B59" t="str">
            <v>군계표지</v>
          </cell>
          <cell r="D59" t="str">
            <v>EA</v>
          </cell>
          <cell r="E59">
            <v>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락"/>
      <sheetName val="진행"/>
      <sheetName val="일정"/>
      <sheetName val="지분"/>
      <sheetName val="봉투"/>
      <sheetName val="업체"/>
      <sheetName val="FAX"/>
      <sheetName val="또FAX"/>
      <sheetName val="자압"/>
      <sheetName val="부대"/>
      <sheetName val="☞참고"/>
      <sheetName val="구수"/>
      <sheetName val="자료"/>
      <sheetName val="현협"/>
      <sheetName val="견출"/>
      <sheetName val="larou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명    칭</v>
          </cell>
          <cell r="D2" t="str">
            <v>단위</v>
          </cell>
          <cell r="E2" t="str">
            <v>수  량</v>
          </cell>
        </row>
        <row r="3">
          <cell r="B3" t="str">
            <v>1. 앙성-산척간 도로 확장 및 포장공사</v>
          </cell>
        </row>
        <row r="4">
          <cell r="B4" t="str">
            <v>교통표지판</v>
          </cell>
          <cell r="D4" t="str">
            <v>M2</v>
          </cell>
          <cell r="E4">
            <v>927</v>
          </cell>
        </row>
        <row r="5">
          <cell r="B5" t="str">
            <v>삼각표지판 단주식</v>
          </cell>
        </row>
        <row r="6">
          <cell r="B6" t="str">
            <v>단주식</v>
          </cell>
          <cell r="C6" t="str">
            <v>1 변1200 M/M</v>
          </cell>
          <cell r="D6" t="str">
            <v>EA</v>
          </cell>
          <cell r="E6">
            <v>39</v>
          </cell>
        </row>
        <row r="7">
          <cell r="B7" t="str">
            <v>내민식</v>
          </cell>
          <cell r="C7" t="str">
            <v>1 변1500 M/M</v>
          </cell>
          <cell r="D7" t="str">
            <v>EA</v>
          </cell>
          <cell r="E7">
            <v>31</v>
          </cell>
        </row>
        <row r="8">
          <cell r="B8" t="str">
            <v>원형표지판</v>
          </cell>
        </row>
        <row r="9">
          <cell r="B9" t="str">
            <v>단주식</v>
          </cell>
          <cell r="C9" t="str">
            <v>Φ 900 M/M</v>
          </cell>
          <cell r="D9" t="str">
            <v>EA</v>
          </cell>
          <cell r="E9">
            <v>23</v>
          </cell>
        </row>
        <row r="10">
          <cell r="B10" t="str">
            <v>내민식</v>
          </cell>
          <cell r="C10" t="str">
            <v>Φ 1200 M/M</v>
          </cell>
          <cell r="D10" t="str">
            <v>EA</v>
          </cell>
          <cell r="E10">
            <v>18</v>
          </cell>
        </row>
        <row r="11">
          <cell r="B11" t="str">
            <v>부착식</v>
          </cell>
          <cell r="C11" t="str">
            <v>Φ 600 M/M</v>
          </cell>
          <cell r="D11" t="str">
            <v>EA</v>
          </cell>
          <cell r="E11">
            <v>12</v>
          </cell>
        </row>
        <row r="12">
          <cell r="B12" t="str">
            <v>안내표지판</v>
          </cell>
        </row>
        <row r="13">
          <cell r="B13" t="str">
            <v>2방향예고표지</v>
          </cell>
        </row>
        <row r="14">
          <cell r="B14" t="str">
            <v>복주식</v>
          </cell>
          <cell r="C14" t="str">
            <v>2500*1750 M/M</v>
          </cell>
          <cell r="D14" t="str">
            <v>EA</v>
          </cell>
          <cell r="E14">
            <v>11</v>
          </cell>
        </row>
        <row r="15">
          <cell r="B15" t="str">
            <v>내민식</v>
          </cell>
          <cell r="C15" t="str">
            <v>2900*2000 M/M</v>
          </cell>
          <cell r="D15" t="str">
            <v>EA</v>
          </cell>
          <cell r="E15">
            <v>1</v>
          </cell>
        </row>
        <row r="16">
          <cell r="B16" t="str">
            <v>3방향예고표지</v>
          </cell>
        </row>
        <row r="17">
          <cell r="B17" t="str">
            <v>복주식</v>
          </cell>
          <cell r="C17" t="str">
            <v>3850*1900 M/M</v>
          </cell>
          <cell r="D17" t="str">
            <v>EA</v>
          </cell>
          <cell r="E17">
            <v>10</v>
          </cell>
        </row>
        <row r="18">
          <cell r="B18" t="str">
            <v>내민식</v>
          </cell>
          <cell r="C18" t="str">
            <v>4450*2200 M/M</v>
          </cell>
          <cell r="D18" t="str">
            <v>EA</v>
          </cell>
          <cell r="E18">
            <v>10</v>
          </cell>
        </row>
        <row r="19">
          <cell r="B19" t="str">
            <v>출구점예고표지</v>
          </cell>
          <cell r="C19" t="str">
            <v>2600*1450,복주식</v>
          </cell>
          <cell r="D19" t="str">
            <v>EA</v>
          </cell>
          <cell r="E19">
            <v>22</v>
          </cell>
        </row>
        <row r="20">
          <cell r="B20" t="str">
            <v>보조표지판</v>
          </cell>
          <cell r="C20" t="str">
            <v>한변900M/M,600*200</v>
          </cell>
          <cell r="D20" t="str">
            <v>EA</v>
          </cell>
          <cell r="E20">
            <v>2</v>
          </cell>
        </row>
        <row r="21">
          <cell r="B21" t="str">
            <v>면경계표지</v>
          </cell>
          <cell r="C21" t="str">
            <v>1400*700,복주식</v>
          </cell>
          <cell r="D21" t="str">
            <v>EA</v>
          </cell>
          <cell r="E21">
            <v>10</v>
          </cell>
        </row>
        <row r="22">
          <cell r="B22" t="str">
            <v>시선유도표지</v>
          </cell>
        </row>
        <row r="23">
          <cell r="B23" t="str">
            <v>갈매기표지판</v>
          </cell>
        </row>
        <row r="24">
          <cell r="B24" t="str">
            <v>"</v>
          </cell>
          <cell r="C24" t="str">
            <v>단면,AL 600*300M/M</v>
          </cell>
          <cell r="D24" t="str">
            <v>EA</v>
          </cell>
          <cell r="E24">
            <v>12</v>
          </cell>
        </row>
        <row r="25">
          <cell r="B25" t="str">
            <v>"</v>
          </cell>
          <cell r="C25" t="str">
            <v>양면,AL 600*300M/M</v>
          </cell>
          <cell r="D25" t="str">
            <v>EA</v>
          </cell>
          <cell r="E25">
            <v>4</v>
          </cell>
        </row>
        <row r="26">
          <cell r="B26" t="str">
            <v>데리네이터</v>
          </cell>
        </row>
        <row r="27">
          <cell r="B27" t="str">
            <v>"</v>
          </cell>
          <cell r="C27" t="str">
            <v>토 공 용</v>
          </cell>
          <cell r="D27" t="str">
            <v>EA</v>
          </cell>
          <cell r="E27">
            <v>126</v>
          </cell>
        </row>
        <row r="28">
          <cell r="B28" t="str">
            <v>"</v>
          </cell>
          <cell r="C28" t="str">
            <v>가드레일용</v>
          </cell>
          <cell r="D28" t="str">
            <v>EA</v>
          </cell>
          <cell r="E28">
            <v>233</v>
          </cell>
        </row>
        <row r="29">
          <cell r="B29" t="str">
            <v>"</v>
          </cell>
          <cell r="C29" t="str">
            <v>교 량 용</v>
          </cell>
          <cell r="D29" t="str">
            <v>EA</v>
          </cell>
          <cell r="E29">
            <v>70</v>
          </cell>
        </row>
        <row r="30">
          <cell r="B30" t="str">
            <v>"</v>
          </cell>
          <cell r="C30" t="str">
            <v>옹 벽 용</v>
          </cell>
          <cell r="D30" t="str">
            <v>EA</v>
          </cell>
          <cell r="E30">
            <v>119</v>
          </cell>
        </row>
        <row r="31">
          <cell r="B31" t="str">
            <v>도로표지병</v>
          </cell>
          <cell r="D31" t="str">
            <v>EA</v>
          </cell>
          <cell r="E31">
            <v>2434</v>
          </cell>
        </row>
        <row r="32">
          <cell r="B32" t="str">
            <v>가드레일</v>
          </cell>
        </row>
        <row r="33">
          <cell r="B33" t="str">
            <v>표준레일</v>
          </cell>
          <cell r="C33" t="str">
            <v>H700*W4000 M/M</v>
          </cell>
          <cell r="D33" t="str">
            <v>경간</v>
          </cell>
          <cell r="E33">
            <v>3940</v>
          </cell>
        </row>
        <row r="34">
          <cell r="B34" t="str">
            <v>단부구간</v>
          </cell>
          <cell r="C34" t="str">
            <v>H700*W765 M/M</v>
          </cell>
          <cell r="D34" t="str">
            <v>EA소</v>
          </cell>
          <cell r="E34">
            <v>92</v>
          </cell>
        </row>
        <row r="35">
          <cell r="B35" t="str">
            <v>낙석방지책</v>
          </cell>
        </row>
        <row r="36">
          <cell r="B36" t="str">
            <v>표준구간</v>
          </cell>
          <cell r="C36" t="str">
            <v>H3000*W2000 M/M</v>
          </cell>
          <cell r="D36" t="str">
            <v>경간</v>
          </cell>
          <cell r="E36">
            <v>2287</v>
          </cell>
        </row>
        <row r="37">
          <cell r="B37" t="str">
            <v>단부구간</v>
          </cell>
          <cell r="C37" t="str">
            <v>H3000*W2000 M/M</v>
          </cell>
          <cell r="D37" t="str">
            <v>EA소</v>
          </cell>
          <cell r="E37">
            <v>54</v>
          </cell>
        </row>
        <row r="38">
          <cell r="B38" t="str">
            <v>낙석방지망</v>
          </cell>
          <cell r="C38" t="str">
            <v>H3000*3000 M/M</v>
          </cell>
          <cell r="D38" t="str">
            <v>㎡</v>
          </cell>
          <cell r="E38">
            <v>1218</v>
          </cell>
        </row>
        <row r="39">
          <cell r="B39" t="str">
            <v>방 음 벽</v>
          </cell>
        </row>
        <row r="40">
          <cell r="B40" t="str">
            <v>토 공 용</v>
          </cell>
        </row>
        <row r="41">
          <cell r="B41" t="str">
            <v>"</v>
          </cell>
          <cell r="C41" t="str">
            <v>H=2.0M</v>
          </cell>
          <cell r="D41" t="str">
            <v>M</v>
          </cell>
          <cell r="E41">
            <v>1040</v>
          </cell>
        </row>
        <row r="42">
          <cell r="B42" t="str">
            <v>"</v>
          </cell>
          <cell r="C42" t="str">
            <v>H=4.5M</v>
          </cell>
          <cell r="D42" t="str">
            <v>M</v>
          </cell>
          <cell r="E42">
            <v>400</v>
          </cell>
        </row>
        <row r="43">
          <cell r="B43" t="str">
            <v>교 량 용</v>
          </cell>
          <cell r="C43" t="str">
            <v>H=2.0M</v>
          </cell>
          <cell r="D43" t="str">
            <v>M</v>
          </cell>
          <cell r="E43">
            <v>120</v>
          </cell>
        </row>
        <row r="45">
          <cell r="B45" t="str">
            <v>2. 강진-장흥간 도로 확장 및 포장공사</v>
          </cell>
        </row>
        <row r="46">
          <cell r="B46" t="str">
            <v>교통표지판(삼각)</v>
          </cell>
          <cell r="C46" t="str">
            <v>(L=1200)</v>
          </cell>
          <cell r="D46" t="str">
            <v>EA</v>
          </cell>
          <cell r="E46">
            <v>34</v>
          </cell>
        </row>
        <row r="47">
          <cell r="B47" t="str">
            <v>교통표지판(원형)</v>
          </cell>
          <cell r="C47" t="str">
            <v>(φ900)</v>
          </cell>
          <cell r="D47" t="str">
            <v>EA</v>
          </cell>
          <cell r="E47">
            <v>6</v>
          </cell>
        </row>
        <row r="48">
          <cell r="B48" t="str">
            <v>교통표지판(이중원형)</v>
          </cell>
          <cell r="C48" t="str">
            <v>(D=0.9+0.9)</v>
          </cell>
          <cell r="D48" t="str">
            <v>EA</v>
          </cell>
          <cell r="E48">
            <v>26</v>
          </cell>
        </row>
        <row r="49">
          <cell r="B49" t="str">
            <v>원형표지판</v>
          </cell>
          <cell r="C49" t="str">
            <v>(φ0.9부착식)</v>
          </cell>
          <cell r="D49" t="str">
            <v>EA</v>
          </cell>
          <cell r="E49">
            <v>6</v>
          </cell>
        </row>
        <row r="50">
          <cell r="B50" t="str">
            <v>2방향예고403-3</v>
          </cell>
          <cell r="C50" t="str">
            <v>(2.9*2.0)(내민식)</v>
          </cell>
          <cell r="D50" t="str">
            <v>EA</v>
          </cell>
          <cell r="E50">
            <v>10</v>
          </cell>
        </row>
        <row r="51">
          <cell r="B51" t="str">
            <v>2방향표지403-4</v>
          </cell>
          <cell r="C51" t="str">
            <v>(2.9*2.0)(내민식)</v>
          </cell>
          <cell r="D51" t="str">
            <v>EA</v>
          </cell>
          <cell r="E51">
            <v>10</v>
          </cell>
        </row>
        <row r="52">
          <cell r="B52" t="str">
            <v>2방향예고403-5</v>
          </cell>
          <cell r="C52" t="str">
            <v>(3.0*2.0)(복주식)</v>
          </cell>
          <cell r="D52" t="str">
            <v>EA</v>
          </cell>
          <cell r="E52">
            <v>3</v>
          </cell>
        </row>
        <row r="53">
          <cell r="B53" t="str">
            <v>2방향표지403-6</v>
          </cell>
          <cell r="C53" t="str">
            <v>(3.0*2.0)(복주식)</v>
          </cell>
          <cell r="D53" t="str">
            <v>EA</v>
          </cell>
          <cell r="E53">
            <v>5</v>
          </cell>
        </row>
        <row r="54">
          <cell r="B54" t="str">
            <v>버스정류장표지판</v>
          </cell>
          <cell r="C54" t="str">
            <v>(2.42*1.2)(복주식)</v>
          </cell>
          <cell r="D54" t="str">
            <v>EA</v>
          </cell>
          <cell r="E54">
            <v>4</v>
          </cell>
        </row>
        <row r="55">
          <cell r="B55" t="str">
            <v>이정표지402-2</v>
          </cell>
          <cell r="C55" t="str">
            <v>(3.05*2.1)(내민식)</v>
          </cell>
          <cell r="D55" t="str">
            <v>EA</v>
          </cell>
          <cell r="E55">
            <v>4</v>
          </cell>
        </row>
        <row r="56">
          <cell r="B56" t="str">
            <v>소형사각표지판</v>
          </cell>
          <cell r="C56" t="str">
            <v>(0.6*0.2)</v>
          </cell>
          <cell r="D56" t="str">
            <v>EA</v>
          </cell>
          <cell r="E56">
            <v>2</v>
          </cell>
        </row>
        <row r="57">
          <cell r="B57" t="str">
            <v>하천안내표지</v>
          </cell>
          <cell r="C57" t="str">
            <v>(2.5*1.65)</v>
          </cell>
          <cell r="D57" t="str">
            <v>EA</v>
          </cell>
          <cell r="E57">
            <v>2</v>
          </cell>
        </row>
        <row r="58">
          <cell r="B58" t="str">
            <v>출구점2방향표지</v>
          </cell>
          <cell r="C58" t="str">
            <v>(3.4*0.95)(복주식)</v>
          </cell>
          <cell r="D58" t="str">
            <v>EA</v>
          </cell>
          <cell r="E58">
            <v>6</v>
          </cell>
        </row>
        <row r="59">
          <cell r="B59" t="str">
            <v>군계표지</v>
          </cell>
          <cell r="C59" t="str">
            <v>(1.4*0.70+1.4*0.3)</v>
          </cell>
          <cell r="D59" t="str">
            <v>EA</v>
          </cell>
          <cell r="E59">
            <v>2</v>
          </cell>
        </row>
        <row r="60">
          <cell r="B60" t="str">
            <v>소분리대반사판</v>
          </cell>
          <cell r="C60" t="str">
            <v>(500*300)</v>
          </cell>
          <cell r="D60" t="str">
            <v>EA</v>
          </cell>
          <cell r="E60">
            <v>6</v>
          </cell>
        </row>
        <row r="61">
          <cell r="B61" t="str">
            <v>가드레일</v>
          </cell>
        </row>
        <row r="62">
          <cell r="B62" t="str">
            <v>가드레일</v>
          </cell>
          <cell r="C62" t="str">
            <v>(표준레일)</v>
          </cell>
          <cell r="D62" t="str">
            <v>m</v>
          </cell>
          <cell r="E62">
            <v>61784</v>
          </cell>
        </row>
        <row r="63">
          <cell r="B63" t="str">
            <v>가드레일</v>
          </cell>
          <cell r="C63" t="str">
            <v>(단부레일)</v>
          </cell>
          <cell r="D63" t="str">
            <v>EA</v>
          </cell>
          <cell r="E63">
            <v>99</v>
          </cell>
        </row>
        <row r="64">
          <cell r="B64" t="str">
            <v>가드레일포스트</v>
          </cell>
          <cell r="C64" t="str">
            <v>(L=2.2m)</v>
          </cell>
          <cell r="D64" t="str">
            <v>EA</v>
          </cell>
          <cell r="E64">
            <v>14412</v>
          </cell>
        </row>
        <row r="65">
          <cell r="B65" t="str">
            <v>가드레일포스트</v>
          </cell>
          <cell r="C65" t="str">
            <v>(L=1.93m)</v>
          </cell>
          <cell r="D65" t="str">
            <v>EA</v>
          </cell>
          <cell r="E65">
            <v>27</v>
          </cell>
        </row>
        <row r="66">
          <cell r="B66" t="str">
            <v>가드레일포스트</v>
          </cell>
          <cell r="C66" t="str">
            <v>(L=1.76m)</v>
          </cell>
          <cell r="D66" t="str">
            <v>EA</v>
          </cell>
          <cell r="E66">
            <v>27</v>
          </cell>
        </row>
        <row r="67">
          <cell r="B67" t="str">
            <v>가드레일포스트</v>
          </cell>
          <cell r="C67" t="str">
            <v>(L=1.1m)중분대</v>
          </cell>
          <cell r="D67" t="str">
            <v>EA</v>
          </cell>
          <cell r="E67">
            <v>1092</v>
          </cell>
        </row>
        <row r="68">
          <cell r="B68" t="str">
            <v>라운드레일</v>
          </cell>
          <cell r="C68" t="str">
            <v>(중분대)</v>
          </cell>
          <cell r="D68" t="str">
            <v>EA</v>
          </cell>
          <cell r="E68">
            <v>70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공량산출서"/>
      <sheetName val="수량산출서"/>
      <sheetName val="공량산출서약전"/>
      <sheetName val="수량산출서약전"/>
      <sheetName val="V-VESSEL (WITH DEMISTER)"/>
      <sheetName val="공종별집계"/>
      <sheetName val="JUCKEYK"/>
      <sheetName val="자압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ES"/>
      <sheetName val="I&amp;ES"/>
      <sheetName val="PvsAC "/>
      <sheetName val="man"/>
      <sheetName val="mtl"/>
      <sheetName val="eq't "/>
      <sheetName val="spare"/>
      <sheetName val="fuel"/>
      <sheetName val="m.status"/>
      <sheetName val="Fuel Eva  (2)"/>
      <sheetName val="Eqt Eva."/>
      <sheetName val="man (sh.)"/>
      <sheetName val="eq't (sh.)"/>
      <sheetName val="Prob."/>
      <sheetName val="O.STANDING PRO."/>
    </sheetNames>
    <sheetDataSet>
      <sheetData sheetId="0"/>
      <sheetData sheetId="1"/>
      <sheetData sheetId="2">
        <row r="3">
          <cell r="B3" t="str">
            <v>Reporting Month:Tir, 1996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curve (2)"/>
      <sheetName val="S curve"/>
      <sheetName val="Cash Flow"/>
      <sheetName val="Sheet1"/>
      <sheetName val="Sheet2"/>
      <sheetName val="Sheet3"/>
      <sheetName val="공종별집계"/>
      <sheetName val="Sheet6"/>
    </sheetNames>
    <sheetDataSet>
      <sheetData sheetId="0"/>
      <sheetData sheetId="1"/>
      <sheetData sheetId="2">
        <row r="6">
          <cell r="G6">
            <v>184376476</v>
          </cell>
        </row>
        <row r="10">
          <cell r="K10">
            <v>0.71446958566088004</v>
          </cell>
        </row>
      </sheetData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"/>
      <sheetName val="장비"/>
      <sheetName val="자재"/>
      <sheetName val="산집"/>
      <sheetName val="산근1"/>
      <sheetName val="산근2"/>
    </sheetNames>
    <sheetDataSet>
      <sheetData sheetId="0" refreshError="1">
        <row r="3">
          <cell r="D3">
            <v>70000</v>
          </cell>
        </row>
        <row r="6">
          <cell r="H6">
            <v>80000</v>
          </cell>
        </row>
        <row r="7">
          <cell r="H7">
            <v>70000</v>
          </cell>
        </row>
        <row r="8">
          <cell r="D8">
            <v>50000</v>
          </cell>
          <cell r="H8">
            <v>100000</v>
          </cell>
        </row>
        <row r="9">
          <cell r="D9">
            <v>90000</v>
          </cell>
        </row>
        <row r="10">
          <cell r="D10">
            <v>100000</v>
          </cell>
        </row>
        <row r="11">
          <cell r="D11">
            <v>80000</v>
          </cell>
        </row>
      </sheetData>
      <sheetData sheetId="1" refreshError="1">
        <row r="16">
          <cell r="M16">
            <v>20000</v>
          </cell>
        </row>
        <row r="17">
          <cell r="M17">
            <v>9570</v>
          </cell>
        </row>
        <row r="20">
          <cell r="M20">
            <v>25000</v>
          </cell>
        </row>
        <row r="21">
          <cell r="M21">
            <v>4134</v>
          </cell>
        </row>
        <row r="32">
          <cell r="M32">
            <v>17000</v>
          </cell>
        </row>
        <row r="33">
          <cell r="M33">
            <v>6593</v>
          </cell>
        </row>
        <row r="36">
          <cell r="M36">
            <v>25000</v>
          </cell>
        </row>
        <row r="37">
          <cell r="M37">
            <v>8052</v>
          </cell>
        </row>
        <row r="40">
          <cell r="M40">
            <v>20000</v>
          </cell>
        </row>
        <row r="41">
          <cell r="M41">
            <v>3855</v>
          </cell>
        </row>
        <row r="44">
          <cell r="M44">
            <v>18000</v>
          </cell>
        </row>
        <row r="45">
          <cell r="M45">
            <v>3175</v>
          </cell>
        </row>
        <row r="48">
          <cell r="M48">
            <v>20000</v>
          </cell>
        </row>
        <row r="49">
          <cell r="M49">
            <v>3477</v>
          </cell>
        </row>
        <row r="52">
          <cell r="M52">
            <v>20000</v>
          </cell>
        </row>
        <row r="53">
          <cell r="M53">
            <v>5343</v>
          </cell>
        </row>
        <row r="56">
          <cell r="M56">
            <v>20000</v>
          </cell>
        </row>
        <row r="57">
          <cell r="M57">
            <v>4422</v>
          </cell>
        </row>
        <row r="84">
          <cell r="M84">
            <v>40000</v>
          </cell>
        </row>
        <row r="85">
          <cell r="M85">
            <v>4216</v>
          </cell>
        </row>
        <row r="100">
          <cell r="M100">
            <v>23000</v>
          </cell>
        </row>
        <row r="101">
          <cell r="M101">
            <v>3024</v>
          </cell>
        </row>
        <row r="104">
          <cell r="M104">
            <v>11000</v>
          </cell>
        </row>
        <row r="105">
          <cell r="M105">
            <v>4838</v>
          </cell>
        </row>
        <row r="124">
          <cell r="M124">
            <v>1500</v>
          </cell>
        </row>
        <row r="125">
          <cell r="M125">
            <v>2305</v>
          </cell>
        </row>
        <row r="132">
          <cell r="M132">
            <v>4500</v>
          </cell>
        </row>
        <row r="133">
          <cell r="M133">
            <v>5254</v>
          </cell>
        </row>
        <row r="144">
          <cell r="M144">
            <v>500</v>
          </cell>
        </row>
        <row r="160">
          <cell r="M160">
            <v>9000</v>
          </cell>
        </row>
        <row r="161">
          <cell r="M161">
            <v>4273</v>
          </cell>
        </row>
        <row r="164">
          <cell r="M164">
            <v>9000</v>
          </cell>
        </row>
        <row r="165">
          <cell r="M165">
            <v>7541</v>
          </cell>
        </row>
        <row r="176">
          <cell r="M176">
            <v>3000</v>
          </cell>
        </row>
        <row r="177">
          <cell r="M177">
            <v>4989</v>
          </cell>
        </row>
        <row r="188">
          <cell r="M188">
            <v>50</v>
          </cell>
        </row>
        <row r="220">
          <cell r="M220">
            <v>2202</v>
          </cell>
        </row>
        <row r="221">
          <cell r="M221">
            <v>1113</v>
          </cell>
        </row>
        <row r="236">
          <cell r="M236">
            <v>1500</v>
          </cell>
        </row>
        <row r="237">
          <cell r="M237">
            <v>0</v>
          </cell>
        </row>
        <row r="240">
          <cell r="M240">
            <v>4000</v>
          </cell>
        </row>
        <row r="241">
          <cell r="M241">
            <v>1723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Other Expen. "/>
      <sheetName val="IS"/>
      <sheetName val="Summary"/>
      <sheetName val="Claim"/>
      <sheetName val="MTL"/>
      <sheetName val="Man p."/>
      <sheetName val="fuel "/>
      <sheetName val="spare"/>
      <sheetName val="eq't "/>
      <sheetName val="CPVSA "/>
      <sheetName val="Fuel Eva"/>
      <sheetName val="Eqt Eva."/>
      <sheetName val="Map Eva."/>
      <sheetName val="Plan"/>
      <sheetName val="Plan 1"/>
      <sheetName val="Sheet3"/>
      <sheetName val="Progress"/>
      <sheetName val="Expense"/>
      <sheetName val="Cement"/>
      <sheetName val="Labour "/>
      <sheetName val="Equipmen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락"/>
      <sheetName val="진행"/>
      <sheetName val="일정"/>
      <sheetName val="지분"/>
      <sheetName val="봉투"/>
      <sheetName val="업체"/>
      <sheetName val="FAX"/>
      <sheetName val="또FAX"/>
      <sheetName val="자압"/>
      <sheetName val="부대"/>
      <sheetName val="☞참고"/>
      <sheetName val="구수"/>
      <sheetName val="자료"/>
      <sheetName val="현협"/>
      <sheetName val="견출"/>
      <sheetName val="larou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명    칭</v>
          </cell>
          <cell r="D2" t="str">
            <v>단위</v>
          </cell>
          <cell r="E2" t="str">
            <v>수  량</v>
          </cell>
        </row>
        <row r="3">
          <cell r="B3" t="str">
            <v>1. 앙성-산척간 도로 확장 및 포장공사</v>
          </cell>
        </row>
        <row r="4">
          <cell r="B4" t="str">
            <v>교통표지판</v>
          </cell>
          <cell r="D4" t="str">
            <v>M2</v>
          </cell>
          <cell r="E4">
            <v>927</v>
          </cell>
        </row>
        <row r="5">
          <cell r="B5" t="str">
            <v>삼각표지판 단주식</v>
          </cell>
        </row>
        <row r="6">
          <cell r="B6" t="str">
            <v>단주식</v>
          </cell>
          <cell r="D6" t="str">
            <v>EA</v>
          </cell>
          <cell r="E6">
            <v>39</v>
          </cell>
        </row>
        <row r="7">
          <cell r="B7" t="str">
            <v>내민식</v>
          </cell>
          <cell r="D7" t="str">
            <v>EA</v>
          </cell>
          <cell r="E7">
            <v>31</v>
          </cell>
        </row>
        <row r="8">
          <cell r="B8" t="str">
            <v>원형표지판</v>
          </cell>
        </row>
        <row r="9">
          <cell r="B9" t="str">
            <v>단주식</v>
          </cell>
          <cell r="D9" t="str">
            <v>EA</v>
          </cell>
          <cell r="E9">
            <v>23</v>
          </cell>
        </row>
        <row r="10">
          <cell r="B10" t="str">
            <v>내민식</v>
          </cell>
          <cell r="D10" t="str">
            <v>EA</v>
          </cell>
          <cell r="E10">
            <v>18</v>
          </cell>
        </row>
        <row r="11">
          <cell r="B11" t="str">
            <v>부착식</v>
          </cell>
          <cell r="D11" t="str">
            <v>EA</v>
          </cell>
          <cell r="E11">
            <v>12</v>
          </cell>
        </row>
        <row r="12">
          <cell r="B12" t="str">
            <v>안내표지판</v>
          </cell>
        </row>
        <row r="13">
          <cell r="B13" t="str">
            <v>2방향예고표지</v>
          </cell>
        </row>
        <row r="14">
          <cell r="B14" t="str">
            <v>복주식</v>
          </cell>
          <cell r="D14" t="str">
            <v>EA</v>
          </cell>
          <cell r="E14">
            <v>11</v>
          </cell>
        </row>
        <row r="15">
          <cell r="B15" t="str">
            <v>내민식</v>
          </cell>
          <cell r="D15" t="str">
            <v>EA</v>
          </cell>
          <cell r="E15">
            <v>1</v>
          </cell>
        </row>
        <row r="16">
          <cell r="B16" t="str">
            <v>3방향예고표지</v>
          </cell>
        </row>
        <row r="17">
          <cell r="B17" t="str">
            <v>복주식</v>
          </cell>
          <cell r="D17" t="str">
            <v>EA</v>
          </cell>
          <cell r="E17">
            <v>10</v>
          </cell>
        </row>
        <row r="18">
          <cell r="B18" t="str">
            <v>내민식</v>
          </cell>
          <cell r="D18" t="str">
            <v>EA</v>
          </cell>
          <cell r="E18">
            <v>10</v>
          </cell>
        </row>
        <row r="19">
          <cell r="B19" t="str">
            <v>출구점예고표지</v>
          </cell>
          <cell r="D19" t="str">
            <v>EA</v>
          </cell>
          <cell r="E19">
            <v>22</v>
          </cell>
        </row>
        <row r="20">
          <cell r="B20" t="str">
            <v>보조표지판</v>
          </cell>
          <cell r="D20" t="str">
            <v>EA</v>
          </cell>
          <cell r="E20">
            <v>2</v>
          </cell>
        </row>
        <row r="21">
          <cell r="B21" t="str">
            <v>면경계표지</v>
          </cell>
          <cell r="D21" t="str">
            <v>EA</v>
          </cell>
          <cell r="E21">
            <v>10</v>
          </cell>
        </row>
        <row r="22">
          <cell r="B22" t="str">
            <v>시선유도표지</v>
          </cell>
        </row>
        <row r="23">
          <cell r="B23" t="str">
            <v>갈매기표지판</v>
          </cell>
        </row>
        <row r="24">
          <cell r="B24" t="str">
            <v>"</v>
          </cell>
          <cell r="D24" t="str">
            <v>EA</v>
          </cell>
          <cell r="E24">
            <v>12</v>
          </cell>
        </row>
        <row r="25">
          <cell r="B25" t="str">
            <v>"</v>
          </cell>
          <cell r="D25" t="str">
            <v>EA</v>
          </cell>
          <cell r="E25">
            <v>4</v>
          </cell>
        </row>
        <row r="26">
          <cell r="B26" t="str">
            <v>데리네이터</v>
          </cell>
        </row>
        <row r="27">
          <cell r="B27" t="str">
            <v>"</v>
          </cell>
          <cell r="D27" t="str">
            <v>EA</v>
          </cell>
          <cell r="E27">
            <v>126</v>
          </cell>
        </row>
        <row r="28">
          <cell r="B28" t="str">
            <v>"</v>
          </cell>
          <cell r="D28" t="str">
            <v>EA</v>
          </cell>
          <cell r="E28">
            <v>233</v>
          </cell>
        </row>
        <row r="29">
          <cell r="B29" t="str">
            <v>"</v>
          </cell>
          <cell r="D29" t="str">
            <v>EA</v>
          </cell>
          <cell r="E29">
            <v>70</v>
          </cell>
        </row>
        <row r="30">
          <cell r="B30" t="str">
            <v>"</v>
          </cell>
          <cell r="D30" t="str">
            <v>EA</v>
          </cell>
          <cell r="E30">
            <v>119</v>
          </cell>
        </row>
        <row r="31">
          <cell r="B31" t="str">
            <v>도로표지병</v>
          </cell>
          <cell r="D31" t="str">
            <v>EA</v>
          </cell>
          <cell r="E31">
            <v>2434</v>
          </cell>
        </row>
        <row r="32">
          <cell r="B32" t="str">
            <v>가드레일</v>
          </cell>
        </row>
        <row r="33">
          <cell r="B33" t="str">
            <v>표준레일</v>
          </cell>
          <cell r="D33" t="str">
            <v>경간</v>
          </cell>
          <cell r="E33">
            <v>3940</v>
          </cell>
        </row>
        <row r="34">
          <cell r="B34" t="str">
            <v>단부구간</v>
          </cell>
          <cell r="D34" t="str">
            <v>EA소</v>
          </cell>
          <cell r="E34">
            <v>92</v>
          </cell>
        </row>
        <row r="35">
          <cell r="B35" t="str">
            <v>낙석방지책</v>
          </cell>
        </row>
        <row r="36">
          <cell r="B36" t="str">
            <v>표준구간</v>
          </cell>
          <cell r="D36" t="str">
            <v>경간</v>
          </cell>
          <cell r="E36">
            <v>2287</v>
          </cell>
        </row>
        <row r="37">
          <cell r="B37" t="str">
            <v>단부구간</v>
          </cell>
          <cell r="D37" t="str">
            <v>EA소</v>
          </cell>
          <cell r="E37">
            <v>54</v>
          </cell>
        </row>
        <row r="38">
          <cell r="B38" t="str">
            <v>낙석방지망</v>
          </cell>
          <cell r="D38" t="str">
            <v>㎡</v>
          </cell>
          <cell r="E38">
            <v>1218</v>
          </cell>
        </row>
        <row r="39">
          <cell r="B39" t="str">
            <v>방 음 벽</v>
          </cell>
        </row>
        <row r="40">
          <cell r="B40" t="str">
            <v>토 공 용</v>
          </cell>
        </row>
        <row r="41">
          <cell r="B41" t="str">
            <v>"</v>
          </cell>
          <cell r="D41" t="str">
            <v>M</v>
          </cell>
          <cell r="E41">
            <v>1040</v>
          </cell>
        </row>
        <row r="42">
          <cell r="B42" t="str">
            <v>"</v>
          </cell>
          <cell r="D42" t="str">
            <v>M</v>
          </cell>
          <cell r="E42">
            <v>400</v>
          </cell>
        </row>
        <row r="43">
          <cell r="B43" t="str">
            <v>교 량 용</v>
          </cell>
          <cell r="D43" t="str">
            <v>M</v>
          </cell>
          <cell r="E43">
            <v>120</v>
          </cell>
        </row>
        <row r="45">
          <cell r="B45" t="str">
            <v>2. 강진-장흥간 도로 확장 및 포장공사</v>
          </cell>
        </row>
        <row r="46">
          <cell r="B46" t="str">
            <v>교통표지판(삼각)</v>
          </cell>
          <cell r="D46" t="str">
            <v>EA</v>
          </cell>
          <cell r="E46">
            <v>34</v>
          </cell>
        </row>
        <row r="47">
          <cell r="B47" t="str">
            <v>교통표지판(원형)</v>
          </cell>
          <cell r="D47" t="str">
            <v>EA</v>
          </cell>
          <cell r="E47">
            <v>6</v>
          </cell>
        </row>
        <row r="48">
          <cell r="B48" t="str">
            <v>교통표지판(이중원형)</v>
          </cell>
          <cell r="D48" t="str">
            <v>EA</v>
          </cell>
          <cell r="E48">
            <v>26</v>
          </cell>
        </row>
        <row r="49">
          <cell r="B49" t="str">
            <v>원형표지판</v>
          </cell>
          <cell r="D49" t="str">
            <v>EA</v>
          </cell>
          <cell r="E49">
            <v>6</v>
          </cell>
        </row>
        <row r="50">
          <cell r="B50" t="str">
            <v>2방향예고403-3</v>
          </cell>
          <cell r="D50" t="str">
            <v>EA</v>
          </cell>
          <cell r="E50">
            <v>10</v>
          </cell>
        </row>
        <row r="51">
          <cell r="B51" t="str">
            <v>2방향표지403-4</v>
          </cell>
          <cell r="D51" t="str">
            <v>EA</v>
          </cell>
          <cell r="E51">
            <v>10</v>
          </cell>
        </row>
        <row r="52">
          <cell r="B52" t="str">
            <v>2방향예고403-5</v>
          </cell>
          <cell r="D52" t="str">
            <v>EA</v>
          </cell>
          <cell r="E52">
            <v>3</v>
          </cell>
        </row>
        <row r="53">
          <cell r="B53" t="str">
            <v>2방향표지403-6</v>
          </cell>
          <cell r="D53" t="str">
            <v>EA</v>
          </cell>
          <cell r="E53">
            <v>5</v>
          </cell>
        </row>
        <row r="54">
          <cell r="B54" t="str">
            <v>버스정류장표지판</v>
          </cell>
          <cell r="D54" t="str">
            <v>EA</v>
          </cell>
          <cell r="E54">
            <v>4</v>
          </cell>
        </row>
        <row r="55">
          <cell r="B55" t="str">
            <v>이정표지402-2</v>
          </cell>
          <cell r="D55" t="str">
            <v>EA</v>
          </cell>
          <cell r="E55">
            <v>4</v>
          </cell>
        </row>
        <row r="56">
          <cell r="B56" t="str">
            <v>소형사각표지판</v>
          </cell>
          <cell r="D56" t="str">
            <v>EA</v>
          </cell>
          <cell r="E56">
            <v>2</v>
          </cell>
        </row>
        <row r="57">
          <cell r="B57" t="str">
            <v>하천안내표지</v>
          </cell>
          <cell r="D57" t="str">
            <v>EA</v>
          </cell>
          <cell r="E57">
            <v>2</v>
          </cell>
        </row>
        <row r="58">
          <cell r="B58" t="str">
            <v>출구점2방향표지</v>
          </cell>
          <cell r="D58" t="str">
            <v>EA</v>
          </cell>
          <cell r="E58">
            <v>6</v>
          </cell>
        </row>
        <row r="59">
          <cell r="B59" t="str">
            <v>군계표지</v>
          </cell>
          <cell r="D59" t="str">
            <v>EA</v>
          </cell>
          <cell r="E59">
            <v>2</v>
          </cell>
        </row>
        <row r="60">
          <cell r="B60" t="str">
            <v>소분리대반사판</v>
          </cell>
          <cell r="D60" t="str">
            <v>EA</v>
          </cell>
          <cell r="E60">
            <v>6</v>
          </cell>
        </row>
        <row r="61">
          <cell r="B61" t="str">
            <v>가드레일</v>
          </cell>
        </row>
        <row r="62">
          <cell r="B62" t="str">
            <v>가드레일</v>
          </cell>
          <cell r="D62" t="str">
            <v>m</v>
          </cell>
          <cell r="E62">
            <v>61784</v>
          </cell>
        </row>
        <row r="63">
          <cell r="B63" t="str">
            <v>가드레일</v>
          </cell>
          <cell r="D63" t="str">
            <v>EA</v>
          </cell>
          <cell r="E63">
            <v>99</v>
          </cell>
        </row>
        <row r="64">
          <cell r="B64" t="str">
            <v>가드레일포스트</v>
          </cell>
          <cell r="D64" t="str">
            <v>EA</v>
          </cell>
          <cell r="E64">
            <v>14412</v>
          </cell>
        </row>
        <row r="65">
          <cell r="B65" t="str">
            <v>가드레일포스트</v>
          </cell>
          <cell r="D65" t="str">
            <v>EA</v>
          </cell>
          <cell r="E65">
            <v>27</v>
          </cell>
        </row>
        <row r="66">
          <cell r="B66" t="str">
            <v>가드레일포스트</v>
          </cell>
          <cell r="D66" t="str">
            <v>EA</v>
          </cell>
          <cell r="E66">
            <v>27</v>
          </cell>
        </row>
        <row r="67">
          <cell r="B67" t="str">
            <v>가드레일포스트</v>
          </cell>
          <cell r="D67" t="str">
            <v>EA</v>
          </cell>
          <cell r="E67">
            <v>1092</v>
          </cell>
        </row>
        <row r="68">
          <cell r="B68" t="str">
            <v>라운드레일</v>
          </cell>
          <cell r="D68" t="str">
            <v>EA</v>
          </cell>
          <cell r="E68">
            <v>70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2"/>
      <sheetName val="Workexc."/>
      <sheetName val="Phy"/>
      <sheetName val="Mat."/>
      <sheetName val="Equ"/>
      <sheetName val="Eqt sta."/>
      <sheetName val="man"/>
      <sheetName val="PRO.LOS"/>
      <sheetName val="Claim"/>
      <sheetName val="Fuel eva."/>
    </sheetNames>
    <sheetDataSet>
      <sheetData sheetId="0"/>
      <sheetData sheetId="1"/>
      <sheetData sheetId="2">
        <row r="2">
          <cell r="B2" t="str">
            <v>Reporting Year:1995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평야부물량"/>
      <sheetName val="평야공사비"/>
      <sheetName val="수원물량"/>
      <sheetName val="진입도로공사비"/>
      <sheetName val="공사비예비관리공감측설산출내역"/>
      <sheetName val="수원공공사비"/>
      <sheetName val="부대공사"/>
      <sheetName val="시험비산출내역"/>
      <sheetName val="중기운반산출"/>
      <sheetName val="총괄표"/>
      <sheetName val="요율"/>
      <sheetName val="자재대"/>
      <sheetName val="수지예산"/>
      <sheetName val="잡지출산출내역"/>
      <sheetName val="Sheet2"/>
      <sheetName val="표지"/>
      <sheetName val="건축"/>
      <sheetName val="관리,공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9">
          <cell r="M19">
            <v>2.8900000000000002E-2</v>
          </cell>
        </row>
        <row r="20">
          <cell r="M20">
            <v>4.3400000000000001E-2</v>
          </cell>
        </row>
        <row r="21">
          <cell r="M21">
            <v>1.52E-2</v>
          </cell>
        </row>
      </sheetData>
      <sheetData sheetId="12" refreshError="1">
        <row r="22">
          <cell r="BE22">
            <v>283445000</v>
          </cell>
          <cell r="BG22">
            <v>244052000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옥외보안등"/>
      <sheetName val="전기실"/>
      <sheetName val="전력간선"/>
      <sheetName val="동력설비"/>
      <sheetName val="전등설비"/>
      <sheetName val="전열공사"/>
      <sheetName val="피뢰침설비"/>
      <sheetName val="SNOW"/>
      <sheetName val="주차관제"/>
      <sheetName val="자탐.유도등"/>
      <sheetName val="전화설비"/>
      <sheetName val="TV설비"/>
      <sheetName val="방송설비"/>
      <sheetName val="강당음향"/>
      <sheetName val="CCTV"/>
      <sheetName val="무선통신"/>
      <sheetName val="전기내역서"/>
      <sheetName val="통신내역서"/>
      <sheetName val="전기지급자재"/>
      <sheetName val="통신지급자재"/>
      <sheetName val="감독차량비"/>
      <sheetName val="원가계산"/>
      <sheetName val="총괄표"/>
      <sheetName val="노무비"/>
      <sheetName val="laroux"/>
      <sheetName val="도급예정1199"/>
      <sheetName val="외주대비"/>
      <sheetName val="수정실행"/>
      <sheetName val="단가산출근거"/>
      <sheetName val="현장인원투입"/>
      <sheetName val="장비투입계획"/>
      <sheetName val="현황사진"/>
      <sheetName val="옹벽"/>
      <sheetName val="외주대비-구조물"/>
      <sheetName val="외주대비 -석축"/>
      <sheetName val="외주대비-구조물 (2)"/>
      <sheetName val="견적표지 (3)"/>
      <sheetName val="정태현"/>
      <sheetName val="경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">
          <cell r="B2">
            <v>53181</v>
          </cell>
        </row>
        <row r="8">
          <cell r="B8">
            <v>70804</v>
          </cell>
        </row>
        <row r="12">
          <cell r="B12">
            <v>103707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계"/>
      <sheetName val="비교(전체)"/>
      <sheetName val="현장경비(전체)"/>
      <sheetName val="비교(삼척교)"/>
      <sheetName val="비교(분할)"/>
      <sheetName val="현장경비(분할)"/>
      <sheetName val="비교(삼척교) (2)"/>
      <sheetName val="Sheet3"/>
      <sheetName val="Sheet2"/>
      <sheetName val="Sheet1"/>
    </sheetNames>
    <sheetDataSet>
      <sheetData sheetId="0" refreshError="1">
        <row r="3">
          <cell r="B3" t="str">
            <v>ITNUM</v>
          </cell>
          <cell r="C3" t="str">
            <v>공    종</v>
          </cell>
          <cell r="D3" t="str">
            <v>규    격</v>
          </cell>
          <cell r="E3" t="str">
            <v>수  량</v>
          </cell>
          <cell r="F3" t="str">
            <v>단위</v>
          </cell>
          <cell r="G3" t="str">
            <v>단  가</v>
          </cell>
          <cell r="H3" t="str">
            <v>금   액</v>
          </cell>
        </row>
        <row r="4">
          <cell r="B4">
            <v>1</v>
          </cell>
          <cell r="C4" t="str">
            <v>토      공</v>
          </cell>
          <cell r="H4">
            <v>22243667455</v>
          </cell>
        </row>
        <row r="5">
          <cell r="B5">
            <v>2</v>
          </cell>
          <cell r="C5" t="str">
            <v>배  수  공</v>
          </cell>
          <cell r="H5">
            <v>5967567764</v>
          </cell>
        </row>
        <row r="6">
          <cell r="B6">
            <v>3</v>
          </cell>
          <cell r="C6" t="str">
            <v>구조물  공</v>
          </cell>
          <cell r="H6">
            <v>25604531247</v>
          </cell>
        </row>
        <row r="7">
          <cell r="B7">
            <v>4</v>
          </cell>
          <cell r="C7" t="str">
            <v>터  널  공</v>
          </cell>
          <cell r="H7">
            <v>11753390470</v>
          </cell>
        </row>
        <row r="8">
          <cell r="B8">
            <v>5</v>
          </cell>
          <cell r="C8" t="str">
            <v>포  장  공</v>
          </cell>
          <cell r="H8">
            <v>8838290340</v>
          </cell>
        </row>
        <row r="9">
          <cell r="B9">
            <v>6</v>
          </cell>
          <cell r="C9" t="str">
            <v>안전시설공</v>
          </cell>
          <cell r="H9">
            <v>1808475120</v>
          </cell>
        </row>
        <row r="10">
          <cell r="B10">
            <v>7</v>
          </cell>
          <cell r="C10" t="str">
            <v>부  대  공</v>
          </cell>
          <cell r="H10">
            <v>9616005090</v>
          </cell>
        </row>
        <row r="12">
          <cell r="C12" t="str">
            <v>순공사비 계</v>
          </cell>
          <cell r="H12">
            <v>85831927486</v>
          </cell>
        </row>
        <row r="13">
          <cell r="C13" t="str">
            <v>간접 노무비</v>
          </cell>
          <cell r="E13">
            <v>1</v>
          </cell>
          <cell r="F13" t="str">
            <v>식</v>
          </cell>
          <cell r="H13">
            <v>5993476000</v>
          </cell>
        </row>
        <row r="14">
          <cell r="C14" t="str">
            <v>산재 보험료</v>
          </cell>
          <cell r="E14">
            <v>1</v>
          </cell>
          <cell r="F14" t="str">
            <v>식</v>
          </cell>
          <cell r="H14">
            <v>1400000000</v>
          </cell>
        </row>
        <row r="15">
          <cell r="C15" t="str">
            <v>안전 관리비</v>
          </cell>
          <cell r="E15">
            <v>1</v>
          </cell>
          <cell r="F15" t="str">
            <v>식</v>
          </cell>
          <cell r="H15">
            <v>1322394000</v>
          </cell>
        </row>
        <row r="16">
          <cell r="C16" t="str">
            <v>기타   경비</v>
          </cell>
          <cell r="E16">
            <v>1</v>
          </cell>
          <cell r="F16" t="str">
            <v>식</v>
          </cell>
          <cell r="H16">
            <v>4994563000</v>
          </cell>
        </row>
        <row r="18">
          <cell r="C18" t="str">
            <v>계</v>
          </cell>
          <cell r="H18">
            <v>99542360486</v>
          </cell>
        </row>
        <row r="19">
          <cell r="C19" t="str">
            <v>일반 관리비</v>
          </cell>
          <cell r="E19">
            <v>1</v>
          </cell>
          <cell r="F19" t="str">
            <v>식</v>
          </cell>
          <cell r="H19">
            <v>4495107000</v>
          </cell>
        </row>
        <row r="20">
          <cell r="C20" t="str">
            <v>이       윤</v>
          </cell>
          <cell r="E20">
            <v>1</v>
          </cell>
          <cell r="F20" t="str">
            <v>식</v>
          </cell>
          <cell r="H20">
            <v>5091354514</v>
          </cell>
        </row>
        <row r="21">
          <cell r="C21" t="str">
            <v>전  기   공</v>
          </cell>
          <cell r="E21">
            <v>1</v>
          </cell>
          <cell r="F21" t="str">
            <v>식</v>
          </cell>
          <cell r="H21">
            <v>1650000000</v>
          </cell>
        </row>
        <row r="22">
          <cell r="C22" t="str">
            <v>고용 보험료</v>
          </cell>
          <cell r="E22">
            <v>1</v>
          </cell>
          <cell r="F22" t="str">
            <v>식</v>
          </cell>
          <cell r="H22">
            <v>221178000</v>
          </cell>
        </row>
        <row r="24">
          <cell r="C24" t="str">
            <v>합        계</v>
          </cell>
          <cell r="H24">
            <v>111000000000</v>
          </cell>
        </row>
        <row r="25">
          <cell r="C25" t="str">
            <v>부가 가치세</v>
          </cell>
          <cell r="E25">
            <v>1</v>
          </cell>
          <cell r="F25" t="str">
            <v>식</v>
          </cell>
          <cell r="H25">
            <v>11100000000</v>
          </cell>
        </row>
        <row r="27">
          <cell r="C27" t="str">
            <v>총       계</v>
          </cell>
          <cell r="H27">
            <v>122100000000</v>
          </cell>
        </row>
        <row r="37">
          <cell r="B37" t="str">
            <v>1.</v>
          </cell>
          <cell r="C37" t="str">
            <v>토  공</v>
          </cell>
          <cell r="H37">
            <v>22243667455</v>
          </cell>
        </row>
        <row r="38">
          <cell r="B38" t="str">
            <v>1)</v>
          </cell>
          <cell r="C38" t="str">
            <v>구조물철거</v>
          </cell>
        </row>
        <row r="39">
          <cell r="B39" t="str">
            <v>가.</v>
          </cell>
          <cell r="C39" t="str">
            <v>철근콘크리트깨기</v>
          </cell>
          <cell r="D39" t="str">
            <v>(T=30cm미만)</v>
          </cell>
          <cell r="E39">
            <v>368</v>
          </cell>
          <cell r="F39" t="str">
            <v>M3</v>
          </cell>
          <cell r="G39">
            <v>100000</v>
          </cell>
          <cell r="H39">
            <v>36800000</v>
          </cell>
        </row>
        <row r="40">
          <cell r="B40" t="str">
            <v>나.</v>
          </cell>
          <cell r="C40" t="str">
            <v>무근콘크리트깨기</v>
          </cell>
          <cell r="D40" t="str">
            <v>(T=30Cm미만)</v>
          </cell>
          <cell r="E40">
            <v>49</v>
          </cell>
          <cell r="F40" t="str">
            <v>M3</v>
          </cell>
          <cell r="G40">
            <v>40000</v>
          </cell>
          <cell r="H40">
            <v>1960000</v>
          </cell>
        </row>
        <row r="41">
          <cell r="B41" t="str">
            <v>다.</v>
          </cell>
          <cell r="C41" t="str">
            <v>P.C BEAM 철거</v>
          </cell>
          <cell r="D41" t="str">
            <v>(L=30M)</v>
          </cell>
          <cell r="E41">
            <v>20</v>
          </cell>
          <cell r="F41" t="str">
            <v>본</v>
          </cell>
          <cell r="G41">
            <v>700000</v>
          </cell>
          <cell r="H41">
            <v>14000000</v>
          </cell>
        </row>
        <row r="42">
          <cell r="B42" t="str">
            <v>라.</v>
          </cell>
          <cell r="C42" t="str">
            <v>아스팔트포장깨기</v>
          </cell>
          <cell r="D42" t="str">
            <v>(기계100%)</v>
          </cell>
          <cell r="E42">
            <v>67</v>
          </cell>
          <cell r="F42" t="str">
            <v>M3</v>
          </cell>
          <cell r="G42">
            <v>8500</v>
          </cell>
          <cell r="H42">
            <v>569500</v>
          </cell>
        </row>
        <row r="43">
          <cell r="B43" t="str">
            <v>마.</v>
          </cell>
          <cell r="C43" t="str">
            <v>아스팔트절단</v>
          </cell>
          <cell r="E43">
            <v>121</v>
          </cell>
          <cell r="F43" t="str">
            <v>M</v>
          </cell>
          <cell r="G43">
            <v>1800</v>
          </cell>
          <cell r="H43">
            <v>217800</v>
          </cell>
        </row>
        <row r="44">
          <cell r="B44" t="str">
            <v>2)</v>
          </cell>
          <cell r="C44" t="str">
            <v>표토제거</v>
          </cell>
          <cell r="H44">
            <v>0</v>
          </cell>
        </row>
        <row r="45">
          <cell r="B45" t="str">
            <v>가.</v>
          </cell>
          <cell r="C45" t="str">
            <v>표토제거</v>
          </cell>
          <cell r="D45" t="str">
            <v>(답구간)</v>
          </cell>
          <cell r="E45">
            <v>5345</v>
          </cell>
          <cell r="F45" t="str">
            <v>M2</v>
          </cell>
          <cell r="G45">
            <v>260</v>
          </cell>
          <cell r="H45">
            <v>1389700</v>
          </cell>
        </row>
        <row r="46">
          <cell r="B46" t="str">
            <v>나.</v>
          </cell>
          <cell r="C46" t="str">
            <v>표토제거</v>
          </cell>
          <cell r="D46" t="str">
            <v>(답외구간)</v>
          </cell>
          <cell r="E46">
            <v>333154</v>
          </cell>
          <cell r="F46" t="str">
            <v>M2</v>
          </cell>
          <cell r="G46">
            <v>190</v>
          </cell>
          <cell r="H46">
            <v>63299260</v>
          </cell>
        </row>
        <row r="47">
          <cell r="B47" t="str">
            <v>3)</v>
          </cell>
          <cell r="C47" t="str">
            <v>벌개 제근</v>
          </cell>
          <cell r="E47">
            <v>307806</v>
          </cell>
          <cell r="F47" t="str">
            <v>M2</v>
          </cell>
          <cell r="G47">
            <v>200</v>
          </cell>
          <cell r="H47">
            <v>61561200</v>
          </cell>
        </row>
        <row r="48">
          <cell r="B48" t="str">
            <v>4)</v>
          </cell>
          <cell r="C48" t="str">
            <v>노반준비공</v>
          </cell>
          <cell r="D48" t="str">
            <v>(절토구간)</v>
          </cell>
          <cell r="E48">
            <v>36928</v>
          </cell>
          <cell r="F48" t="str">
            <v>M2</v>
          </cell>
          <cell r="G48">
            <v>35</v>
          </cell>
          <cell r="H48">
            <v>1292480</v>
          </cell>
        </row>
        <row r="49">
          <cell r="B49" t="str">
            <v>5)</v>
          </cell>
          <cell r="C49" t="str">
            <v>흙깍기공</v>
          </cell>
          <cell r="H49">
            <v>0</v>
          </cell>
        </row>
        <row r="50">
          <cell r="B50" t="str">
            <v>가.</v>
          </cell>
          <cell r="C50" t="str">
            <v>흙깍기</v>
          </cell>
          <cell r="D50" t="str">
            <v>(토  사)</v>
          </cell>
          <cell r="E50">
            <v>337555</v>
          </cell>
          <cell r="F50" t="str">
            <v>M3</v>
          </cell>
          <cell r="G50">
            <v>480</v>
          </cell>
          <cell r="H50">
            <v>162026400</v>
          </cell>
        </row>
        <row r="51">
          <cell r="B51" t="str">
            <v>나.</v>
          </cell>
          <cell r="C51" t="str">
            <v>흙깍기</v>
          </cell>
          <cell r="D51" t="str">
            <v>(리핑암)</v>
          </cell>
          <cell r="E51">
            <v>356727</v>
          </cell>
          <cell r="F51" t="str">
            <v>M3</v>
          </cell>
          <cell r="G51">
            <v>1000</v>
          </cell>
          <cell r="H51">
            <v>356727000</v>
          </cell>
        </row>
        <row r="52">
          <cell r="B52" t="str">
            <v>다.</v>
          </cell>
          <cell r="C52" t="str">
            <v>흙깍기</v>
          </cell>
          <cell r="D52" t="str">
            <v>(발파암,편절)</v>
          </cell>
          <cell r="E52">
            <v>13887</v>
          </cell>
          <cell r="F52" t="str">
            <v>M3</v>
          </cell>
          <cell r="G52">
            <v>15000</v>
          </cell>
          <cell r="H52">
            <v>208305000</v>
          </cell>
        </row>
        <row r="53">
          <cell r="B53" t="str">
            <v>라.</v>
          </cell>
          <cell r="C53" t="str">
            <v>흙깍기</v>
          </cell>
          <cell r="D53" t="str">
            <v>(발파암,브레이카)</v>
          </cell>
          <cell r="E53">
            <v>26034</v>
          </cell>
          <cell r="F53" t="str">
            <v>M3</v>
          </cell>
          <cell r="G53">
            <v>12000</v>
          </cell>
          <cell r="H53">
            <v>312408000</v>
          </cell>
        </row>
        <row r="54">
          <cell r="B54" t="str">
            <v>마.</v>
          </cell>
          <cell r="C54" t="str">
            <v>흙깍기</v>
          </cell>
          <cell r="D54" t="str">
            <v>(발파암,크로울러)</v>
          </cell>
          <cell r="E54">
            <v>1321466</v>
          </cell>
          <cell r="F54" t="str">
            <v>M3</v>
          </cell>
          <cell r="G54">
            <v>6600</v>
          </cell>
          <cell r="H54">
            <v>8721675600</v>
          </cell>
        </row>
        <row r="55">
          <cell r="B55" t="str">
            <v>6)</v>
          </cell>
          <cell r="C55" t="str">
            <v>흙운반공</v>
          </cell>
          <cell r="H55">
            <v>0</v>
          </cell>
        </row>
        <row r="56">
          <cell r="B56" t="str">
            <v>가.</v>
          </cell>
          <cell r="C56" t="str">
            <v>무대</v>
          </cell>
          <cell r="D56" t="str">
            <v>(토  사)</v>
          </cell>
          <cell r="E56">
            <v>189005</v>
          </cell>
          <cell r="F56" t="str">
            <v>M3</v>
          </cell>
          <cell r="H56">
            <v>0</v>
          </cell>
        </row>
        <row r="57">
          <cell r="B57" t="str">
            <v>나.</v>
          </cell>
          <cell r="C57" t="str">
            <v>무대</v>
          </cell>
          <cell r="D57" t="str">
            <v>(리핑암)</v>
          </cell>
          <cell r="E57">
            <v>33404</v>
          </cell>
          <cell r="F57" t="str">
            <v>M3</v>
          </cell>
          <cell r="H57">
            <v>0</v>
          </cell>
        </row>
        <row r="58">
          <cell r="B58" t="str">
            <v>다.</v>
          </cell>
          <cell r="C58" t="str">
            <v>무대</v>
          </cell>
          <cell r="D58" t="str">
            <v>(발파암)</v>
          </cell>
          <cell r="E58">
            <v>48631</v>
          </cell>
          <cell r="F58" t="str">
            <v>M3</v>
          </cell>
          <cell r="G58">
            <v>1600</v>
          </cell>
          <cell r="H58">
            <v>77809600</v>
          </cell>
        </row>
        <row r="59">
          <cell r="B59" t="str">
            <v>라.</v>
          </cell>
          <cell r="C59" t="str">
            <v>도자운반</v>
          </cell>
          <cell r="D59" t="str">
            <v>(토  사)</v>
          </cell>
          <cell r="E59">
            <v>32189</v>
          </cell>
          <cell r="F59" t="str">
            <v>M3</v>
          </cell>
          <cell r="G59">
            <v>430</v>
          </cell>
          <cell r="H59">
            <v>13841270</v>
          </cell>
        </row>
        <row r="60">
          <cell r="B60" t="str">
            <v>마.</v>
          </cell>
          <cell r="C60" t="str">
            <v>도쟈운반</v>
          </cell>
          <cell r="D60" t="str">
            <v>(리핑암)</v>
          </cell>
          <cell r="E60">
            <v>22448</v>
          </cell>
          <cell r="F60" t="str">
            <v>M3</v>
          </cell>
          <cell r="G60">
            <v>450</v>
          </cell>
          <cell r="H60">
            <v>10101600</v>
          </cell>
        </row>
        <row r="61">
          <cell r="B61" t="str">
            <v>바.</v>
          </cell>
          <cell r="C61" t="str">
            <v>도쟈운반</v>
          </cell>
          <cell r="D61" t="str">
            <v>(발파암)</v>
          </cell>
          <cell r="E61">
            <v>56508</v>
          </cell>
          <cell r="F61" t="str">
            <v>M3</v>
          </cell>
          <cell r="G61">
            <v>2600</v>
          </cell>
          <cell r="H61">
            <v>146920800</v>
          </cell>
        </row>
        <row r="62">
          <cell r="B62" t="str">
            <v>사.</v>
          </cell>
          <cell r="C62" t="str">
            <v>덤프운반</v>
          </cell>
          <cell r="D62" t="str">
            <v>(토  사)</v>
          </cell>
          <cell r="E62">
            <v>310096</v>
          </cell>
          <cell r="F62" t="str">
            <v>M3</v>
          </cell>
          <cell r="G62">
            <v>1500</v>
          </cell>
          <cell r="H62">
            <v>465144000</v>
          </cell>
        </row>
        <row r="63">
          <cell r="B63" t="str">
            <v>아.</v>
          </cell>
          <cell r="C63" t="str">
            <v>덤프운반</v>
          </cell>
          <cell r="D63" t="str">
            <v>(리핑암)</v>
          </cell>
          <cell r="E63">
            <v>302569</v>
          </cell>
          <cell r="F63" t="str">
            <v>M3</v>
          </cell>
          <cell r="G63">
            <v>2100</v>
          </cell>
          <cell r="H63">
            <v>635394900</v>
          </cell>
        </row>
        <row r="64">
          <cell r="B64" t="str">
            <v>자.</v>
          </cell>
          <cell r="C64" t="str">
            <v>덤프운반</v>
          </cell>
          <cell r="D64" t="str">
            <v>(발파암)</v>
          </cell>
          <cell r="E64">
            <v>1157191</v>
          </cell>
          <cell r="F64" t="str">
            <v>M3</v>
          </cell>
          <cell r="G64">
            <v>6400</v>
          </cell>
          <cell r="H64">
            <v>7406022400</v>
          </cell>
        </row>
        <row r="65">
          <cell r="B65" t="str">
            <v>차.</v>
          </cell>
          <cell r="C65" t="str">
            <v>순성토운반</v>
          </cell>
          <cell r="D65" t="str">
            <v>(토  사)</v>
          </cell>
          <cell r="E65">
            <v>127366</v>
          </cell>
          <cell r="F65" t="str">
            <v>M3</v>
          </cell>
          <cell r="G65">
            <v>2700</v>
          </cell>
          <cell r="H65">
            <v>343888200</v>
          </cell>
        </row>
        <row r="66">
          <cell r="B66" t="str">
            <v>7)</v>
          </cell>
          <cell r="C66" t="str">
            <v>흙쌓기 및 다짐공</v>
          </cell>
          <cell r="H66">
            <v>0</v>
          </cell>
        </row>
        <row r="67">
          <cell r="B67" t="str">
            <v>가.</v>
          </cell>
          <cell r="C67" t="str">
            <v>흙쌓기</v>
          </cell>
          <cell r="D67" t="str">
            <v>(노체)</v>
          </cell>
          <cell r="E67">
            <v>2234880</v>
          </cell>
          <cell r="F67" t="str">
            <v>M3</v>
          </cell>
          <cell r="G67">
            <v>550</v>
          </cell>
          <cell r="H67">
            <v>1229184000</v>
          </cell>
        </row>
        <row r="68">
          <cell r="B68" t="str">
            <v>나.</v>
          </cell>
          <cell r="C68" t="str">
            <v>흙쌓기</v>
          </cell>
          <cell r="D68" t="str">
            <v>(노상)</v>
          </cell>
          <cell r="E68">
            <v>277285</v>
          </cell>
          <cell r="F68" t="str">
            <v>M3</v>
          </cell>
          <cell r="G68">
            <v>800</v>
          </cell>
          <cell r="H68">
            <v>221828000</v>
          </cell>
        </row>
        <row r="69">
          <cell r="B69" t="str">
            <v>다.</v>
          </cell>
          <cell r="C69" t="str">
            <v>비다짐 성토</v>
          </cell>
          <cell r="D69" t="str">
            <v>(녹지대조성)</v>
          </cell>
          <cell r="E69">
            <v>43865</v>
          </cell>
          <cell r="F69" t="str">
            <v>M3</v>
          </cell>
          <cell r="G69">
            <v>120</v>
          </cell>
          <cell r="H69">
            <v>5263800</v>
          </cell>
        </row>
        <row r="70">
          <cell r="B70" t="str">
            <v>8)</v>
          </cell>
          <cell r="C70" t="str">
            <v>측구뚝쌓기</v>
          </cell>
          <cell r="E70">
            <v>1038</v>
          </cell>
          <cell r="F70" t="str">
            <v>M3</v>
          </cell>
          <cell r="G70">
            <v>2100</v>
          </cell>
          <cell r="H70">
            <v>2179800</v>
          </cell>
        </row>
        <row r="71">
          <cell r="B71" t="str">
            <v>9)</v>
          </cell>
          <cell r="C71" t="str">
            <v>비탈면보호공</v>
          </cell>
          <cell r="H71">
            <v>0</v>
          </cell>
        </row>
        <row r="72">
          <cell r="B72" t="str">
            <v>가.</v>
          </cell>
          <cell r="C72" t="str">
            <v>성토부법면다짐</v>
          </cell>
          <cell r="E72">
            <v>277599</v>
          </cell>
          <cell r="F72" t="str">
            <v>M2</v>
          </cell>
          <cell r="G72">
            <v>75</v>
          </cell>
          <cell r="H72">
            <v>20819925</v>
          </cell>
        </row>
        <row r="73">
          <cell r="B73" t="str">
            <v>나.</v>
          </cell>
          <cell r="C73" t="str">
            <v>줄떼</v>
          </cell>
          <cell r="E73">
            <v>277599</v>
          </cell>
          <cell r="F73" t="str">
            <v>M2</v>
          </cell>
          <cell r="G73">
            <v>3500</v>
          </cell>
          <cell r="H73">
            <v>971596500</v>
          </cell>
        </row>
        <row r="74">
          <cell r="B74" t="str">
            <v>다.</v>
          </cell>
          <cell r="C74" t="str">
            <v>평떼</v>
          </cell>
          <cell r="E74">
            <v>48072</v>
          </cell>
          <cell r="F74" t="str">
            <v>M2</v>
          </cell>
          <cell r="G74">
            <v>6800</v>
          </cell>
          <cell r="H74">
            <v>326889600</v>
          </cell>
        </row>
        <row r="75">
          <cell r="B75" t="str">
            <v>라.</v>
          </cell>
          <cell r="C75" t="str">
            <v>암절개면보호식재공</v>
          </cell>
          <cell r="D75" t="str">
            <v>(T=10cm)</v>
          </cell>
          <cell r="E75">
            <v>196</v>
          </cell>
          <cell r="F75" t="str">
            <v>M2</v>
          </cell>
          <cell r="G75">
            <v>36000</v>
          </cell>
          <cell r="H75">
            <v>7056000</v>
          </cell>
        </row>
        <row r="76">
          <cell r="B76" t="str">
            <v>마.</v>
          </cell>
          <cell r="C76" t="str">
            <v>암절개면보호식재공</v>
          </cell>
          <cell r="D76" t="str">
            <v>(T=15cm)</v>
          </cell>
          <cell r="E76">
            <v>235</v>
          </cell>
          <cell r="F76" t="str">
            <v>M2</v>
          </cell>
          <cell r="G76">
            <v>46000</v>
          </cell>
          <cell r="H76">
            <v>10810000</v>
          </cell>
        </row>
        <row r="77">
          <cell r="B77" t="str">
            <v>10)</v>
          </cell>
          <cell r="C77" t="str">
            <v>면고르기</v>
          </cell>
          <cell r="H77">
            <v>0</v>
          </cell>
        </row>
        <row r="78">
          <cell r="B78" t="str">
            <v>가.</v>
          </cell>
          <cell r="C78" t="str">
            <v>절토부면고르기</v>
          </cell>
          <cell r="D78" t="str">
            <v>(리핑암)</v>
          </cell>
          <cell r="E78">
            <v>33435</v>
          </cell>
          <cell r="F78" t="str">
            <v>M2</v>
          </cell>
          <cell r="G78">
            <v>2100</v>
          </cell>
          <cell r="H78">
            <v>70213500</v>
          </cell>
        </row>
        <row r="79">
          <cell r="B79" t="str">
            <v>나.</v>
          </cell>
          <cell r="C79" t="str">
            <v>절토부면고르기</v>
          </cell>
          <cell r="D79" t="str">
            <v>(발파암)</v>
          </cell>
          <cell r="E79">
            <v>90295</v>
          </cell>
          <cell r="F79" t="str">
            <v>M2</v>
          </cell>
          <cell r="G79">
            <v>3500</v>
          </cell>
          <cell r="H79">
            <v>316032500</v>
          </cell>
        </row>
        <row r="80">
          <cell r="B80" t="str">
            <v>11)</v>
          </cell>
          <cell r="C80" t="str">
            <v>층따기</v>
          </cell>
          <cell r="E80">
            <v>26204</v>
          </cell>
          <cell r="F80" t="str">
            <v>M3</v>
          </cell>
          <cell r="G80">
            <v>780</v>
          </cell>
          <cell r="H80">
            <v>20439120</v>
          </cell>
        </row>
        <row r="81">
          <cell r="B81" t="str">
            <v>2.</v>
          </cell>
          <cell r="C81" t="str">
            <v>배수공</v>
          </cell>
          <cell r="H81">
            <v>5967567764</v>
          </cell>
        </row>
        <row r="82">
          <cell r="B82" t="str">
            <v>1)</v>
          </cell>
          <cell r="C82" t="str">
            <v>측구터파기</v>
          </cell>
          <cell r="H82">
            <v>0</v>
          </cell>
        </row>
        <row r="83">
          <cell r="B83" t="str">
            <v>가.</v>
          </cell>
          <cell r="C83" t="str">
            <v>측구터파기</v>
          </cell>
          <cell r="D83" t="str">
            <v>(토사)</v>
          </cell>
          <cell r="E83">
            <v>29532</v>
          </cell>
          <cell r="F83" t="str">
            <v>M3</v>
          </cell>
          <cell r="G83">
            <v>3800</v>
          </cell>
          <cell r="H83">
            <v>112221600</v>
          </cell>
        </row>
        <row r="84">
          <cell r="B84" t="str">
            <v>나.</v>
          </cell>
          <cell r="C84" t="str">
            <v>측구터파기</v>
          </cell>
          <cell r="D84" t="str">
            <v>(발파암)</v>
          </cell>
          <cell r="E84">
            <v>2238</v>
          </cell>
          <cell r="F84" t="str">
            <v>M3</v>
          </cell>
          <cell r="G84">
            <v>120000</v>
          </cell>
          <cell r="H84">
            <v>268560000</v>
          </cell>
        </row>
        <row r="85">
          <cell r="B85" t="str">
            <v>2)</v>
          </cell>
          <cell r="C85" t="str">
            <v>구조물터파기</v>
          </cell>
          <cell r="H85">
            <v>0</v>
          </cell>
        </row>
        <row r="86">
          <cell r="B86" t="str">
            <v>가.</v>
          </cell>
          <cell r="C86" t="str">
            <v>육상터파기</v>
          </cell>
          <cell r="H86">
            <v>0</v>
          </cell>
        </row>
        <row r="87">
          <cell r="B87" t="str">
            <v>a.</v>
          </cell>
          <cell r="C87" t="str">
            <v>구조물터파기</v>
          </cell>
          <cell r="D87" t="str">
            <v>(육상토사0∼4m)</v>
          </cell>
          <cell r="E87">
            <v>40402</v>
          </cell>
          <cell r="F87" t="str">
            <v>M3</v>
          </cell>
          <cell r="G87">
            <v>3200</v>
          </cell>
          <cell r="H87">
            <v>129286400</v>
          </cell>
        </row>
        <row r="88">
          <cell r="B88" t="str">
            <v>b.</v>
          </cell>
          <cell r="C88" t="str">
            <v>구조물터파기</v>
          </cell>
          <cell r="D88" t="str">
            <v>(육상풍화암0∼4m)</v>
          </cell>
          <cell r="E88">
            <v>129</v>
          </cell>
          <cell r="F88" t="str">
            <v>M3</v>
          </cell>
          <cell r="G88">
            <v>55000</v>
          </cell>
          <cell r="H88">
            <v>7095000</v>
          </cell>
        </row>
        <row r="89">
          <cell r="B89" t="str">
            <v>c.</v>
          </cell>
          <cell r="C89" t="str">
            <v>구조물터파기</v>
          </cell>
          <cell r="D89" t="str">
            <v>(육상발파암0∼4m)</v>
          </cell>
          <cell r="E89">
            <v>4166</v>
          </cell>
          <cell r="F89" t="str">
            <v>M3</v>
          </cell>
          <cell r="G89">
            <v>100000</v>
          </cell>
          <cell r="H89">
            <v>416600000</v>
          </cell>
        </row>
        <row r="90">
          <cell r="B90" t="str">
            <v>나.</v>
          </cell>
          <cell r="C90" t="str">
            <v>수중터파기</v>
          </cell>
          <cell r="H90">
            <v>0</v>
          </cell>
        </row>
        <row r="91">
          <cell r="B91" t="str">
            <v>a.</v>
          </cell>
          <cell r="C91" t="str">
            <v>구조물터파기</v>
          </cell>
          <cell r="D91" t="str">
            <v>(수중토사0∼4m)</v>
          </cell>
          <cell r="E91">
            <v>1500</v>
          </cell>
          <cell r="F91" t="str">
            <v>M3</v>
          </cell>
          <cell r="G91">
            <v>6500</v>
          </cell>
          <cell r="H91">
            <v>9750000</v>
          </cell>
        </row>
        <row r="92">
          <cell r="B92" t="str">
            <v>3)</v>
          </cell>
          <cell r="C92" t="str">
            <v>되메우기 및 다짐공</v>
          </cell>
          <cell r="D92" t="str">
            <v>(인력10％+기계90％)</v>
          </cell>
          <cell r="E92">
            <v>35369</v>
          </cell>
          <cell r="F92" t="str">
            <v>M3</v>
          </cell>
          <cell r="G92">
            <v>2000</v>
          </cell>
          <cell r="H92">
            <v>70738000</v>
          </cell>
        </row>
        <row r="93">
          <cell r="B93" t="str">
            <v>4)</v>
          </cell>
          <cell r="C93" t="str">
            <v>측구공</v>
          </cell>
          <cell r="H93">
            <v>0</v>
          </cell>
        </row>
        <row r="94">
          <cell r="B94" t="str">
            <v>가.</v>
          </cell>
          <cell r="C94" t="str">
            <v>V형 측구 TYPE-2</v>
          </cell>
          <cell r="D94" t="str">
            <v>(H=0.60M)</v>
          </cell>
          <cell r="E94">
            <v>5096</v>
          </cell>
          <cell r="F94" t="str">
            <v>M</v>
          </cell>
          <cell r="G94">
            <v>48000</v>
          </cell>
          <cell r="H94">
            <v>244608000</v>
          </cell>
        </row>
        <row r="95">
          <cell r="B95" t="str">
            <v>나.</v>
          </cell>
          <cell r="C95" t="str">
            <v>산마루측구</v>
          </cell>
          <cell r="E95">
            <v>4061</v>
          </cell>
          <cell r="F95" t="str">
            <v>M</v>
          </cell>
          <cell r="G95">
            <v>51000</v>
          </cell>
          <cell r="H95">
            <v>207111000</v>
          </cell>
        </row>
        <row r="96">
          <cell r="B96" t="str">
            <v>다.</v>
          </cell>
          <cell r="C96" t="str">
            <v>L형 측구</v>
          </cell>
          <cell r="H96">
            <v>0</v>
          </cell>
        </row>
        <row r="97">
          <cell r="B97" t="str">
            <v>a.</v>
          </cell>
          <cell r="C97" t="str">
            <v>L형측구 TYPE-1</v>
          </cell>
          <cell r="D97" t="str">
            <v>(H=0.45)</v>
          </cell>
          <cell r="E97">
            <v>7088</v>
          </cell>
          <cell r="F97" t="str">
            <v>M</v>
          </cell>
          <cell r="G97">
            <v>2700</v>
          </cell>
          <cell r="H97">
            <v>19137600</v>
          </cell>
        </row>
        <row r="98">
          <cell r="B98" t="str">
            <v>b.</v>
          </cell>
          <cell r="C98" t="str">
            <v>L형측구 TYPE-2</v>
          </cell>
          <cell r="D98" t="str">
            <v>(H=1.2M)</v>
          </cell>
          <cell r="E98">
            <v>3355</v>
          </cell>
          <cell r="F98" t="str">
            <v>M</v>
          </cell>
          <cell r="G98">
            <v>61000</v>
          </cell>
          <cell r="H98">
            <v>204655000</v>
          </cell>
        </row>
        <row r="99">
          <cell r="B99" t="str">
            <v>c.</v>
          </cell>
          <cell r="C99" t="str">
            <v>L형측구 TYPE-3</v>
          </cell>
          <cell r="D99" t="str">
            <v>(부체도로)</v>
          </cell>
          <cell r="E99">
            <v>2960</v>
          </cell>
          <cell r="F99" t="str">
            <v>M</v>
          </cell>
          <cell r="G99">
            <v>11500</v>
          </cell>
          <cell r="H99">
            <v>34040000</v>
          </cell>
        </row>
        <row r="100">
          <cell r="B100" t="str">
            <v>라.</v>
          </cell>
          <cell r="C100" t="str">
            <v>U형측구</v>
          </cell>
          <cell r="H100">
            <v>0</v>
          </cell>
        </row>
        <row r="101">
          <cell r="B101" t="str">
            <v>a.</v>
          </cell>
          <cell r="C101" t="str">
            <v>U형측구 TYPE-1</v>
          </cell>
          <cell r="D101" t="str">
            <v>(H=0.15)</v>
          </cell>
          <cell r="E101">
            <v>180</v>
          </cell>
          <cell r="F101" t="str">
            <v>M</v>
          </cell>
          <cell r="G101">
            <v>31000</v>
          </cell>
          <cell r="H101">
            <v>5580000</v>
          </cell>
        </row>
        <row r="102">
          <cell r="B102" t="str">
            <v>b.</v>
          </cell>
          <cell r="C102" t="str">
            <v>U형측구 TYPE-4</v>
          </cell>
          <cell r="D102" t="str">
            <v>(H=1.00M)</v>
          </cell>
          <cell r="E102">
            <v>420</v>
          </cell>
          <cell r="F102" t="str">
            <v>M</v>
          </cell>
          <cell r="G102">
            <v>126000</v>
          </cell>
          <cell r="H102">
            <v>52920000</v>
          </cell>
        </row>
        <row r="103">
          <cell r="B103" t="str">
            <v>c.</v>
          </cell>
          <cell r="C103" t="str">
            <v>U형측구 TYPE-5</v>
          </cell>
          <cell r="D103" t="str">
            <v>(H=0.60M)</v>
          </cell>
          <cell r="E103">
            <v>360</v>
          </cell>
          <cell r="F103" t="str">
            <v>M</v>
          </cell>
          <cell r="G103">
            <v>43000</v>
          </cell>
          <cell r="H103">
            <v>15480000</v>
          </cell>
        </row>
        <row r="104">
          <cell r="B104" t="str">
            <v>d.</v>
          </cell>
          <cell r="C104" t="str">
            <v>U형측구 TYPE-6</v>
          </cell>
          <cell r="D104" t="str">
            <v>(H=0.50M)</v>
          </cell>
          <cell r="E104">
            <v>2093</v>
          </cell>
          <cell r="F104" t="str">
            <v>M</v>
          </cell>
          <cell r="G104">
            <v>40000</v>
          </cell>
          <cell r="H104">
            <v>83720000</v>
          </cell>
        </row>
        <row r="105">
          <cell r="B105" t="str">
            <v>마.</v>
          </cell>
          <cell r="C105" t="str">
            <v>맹암거</v>
          </cell>
          <cell r="H105">
            <v>0</v>
          </cell>
        </row>
        <row r="106">
          <cell r="B106" t="str">
            <v>a.</v>
          </cell>
          <cell r="C106" t="str">
            <v>맹암거 TYPE-1</v>
          </cell>
          <cell r="D106" t="str">
            <v>(유공관+부직포)</v>
          </cell>
          <cell r="E106">
            <v>1492</v>
          </cell>
          <cell r="F106" t="str">
            <v>M</v>
          </cell>
          <cell r="G106">
            <v>8500</v>
          </cell>
          <cell r="H106">
            <v>12682000</v>
          </cell>
        </row>
        <row r="107">
          <cell r="B107" t="str">
            <v>b.</v>
          </cell>
          <cell r="C107" t="str">
            <v>맹암거 TYPE-2</v>
          </cell>
          <cell r="D107" t="str">
            <v>(유공관)</v>
          </cell>
          <cell r="E107">
            <v>9002</v>
          </cell>
          <cell r="F107" t="str">
            <v>M</v>
          </cell>
          <cell r="G107">
            <v>6000</v>
          </cell>
          <cell r="H107">
            <v>54012000</v>
          </cell>
        </row>
        <row r="108">
          <cell r="B108" t="str">
            <v>c.</v>
          </cell>
          <cell r="C108" t="str">
            <v>맹암거 TYPE-3</v>
          </cell>
          <cell r="D108" t="str">
            <v>(부직포)</v>
          </cell>
          <cell r="E108">
            <v>1182</v>
          </cell>
          <cell r="F108" t="str">
            <v>M</v>
          </cell>
          <cell r="G108">
            <v>5300</v>
          </cell>
          <cell r="H108">
            <v>6264600</v>
          </cell>
        </row>
        <row r="109">
          <cell r="B109" t="str">
            <v>5)</v>
          </cell>
          <cell r="C109" t="str">
            <v>배수관공</v>
          </cell>
          <cell r="H109">
            <v>0</v>
          </cell>
        </row>
        <row r="110">
          <cell r="B110" t="str">
            <v>가.</v>
          </cell>
          <cell r="C110" t="str">
            <v>횡배수관</v>
          </cell>
          <cell r="H110">
            <v>0</v>
          </cell>
        </row>
        <row r="111">
          <cell r="B111" t="str">
            <v>a.</v>
          </cell>
          <cell r="C111" t="str">
            <v>횡배수관접합및부설</v>
          </cell>
          <cell r="D111" t="str">
            <v>(Φ 800m/m)</v>
          </cell>
          <cell r="E111">
            <v>822</v>
          </cell>
          <cell r="F111" t="str">
            <v>M</v>
          </cell>
          <cell r="G111">
            <v>112000</v>
          </cell>
          <cell r="H111">
            <v>92064000</v>
          </cell>
        </row>
        <row r="112">
          <cell r="B112" t="str">
            <v>b.</v>
          </cell>
          <cell r="C112" t="str">
            <v>횡배수관접합및부설</v>
          </cell>
          <cell r="D112" t="str">
            <v>(Φ 1000m/m)</v>
          </cell>
          <cell r="E112">
            <v>112</v>
          </cell>
          <cell r="F112" t="str">
            <v>M</v>
          </cell>
          <cell r="G112">
            <v>159000</v>
          </cell>
          <cell r="H112">
            <v>17808000</v>
          </cell>
        </row>
        <row r="113">
          <cell r="B113" t="str">
            <v>c.</v>
          </cell>
          <cell r="C113" t="str">
            <v>횡배수관접합및부설</v>
          </cell>
          <cell r="D113" t="str">
            <v>(Φ 1200m/m)</v>
          </cell>
          <cell r="E113">
            <v>33</v>
          </cell>
          <cell r="F113" t="str">
            <v>M</v>
          </cell>
          <cell r="G113">
            <v>230000</v>
          </cell>
          <cell r="H113">
            <v>7590000</v>
          </cell>
        </row>
        <row r="114">
          <cell r="B114" t="str">
            <v>나.</v>
          </cell>
          <cell r="C114" t="str">
            <v>보강흄관</v>
          </cell>
          <cell r="H114">
            <v>0</v>
          </cell>
        </row>
        <row r="115">
          <cell r="B115" t="str">
            <v>a.</v>
          </cell>
          <cell r="C115" t="str">
            <v>보강흄관접합및부설</v>
          </cell>
          <cell r="D115" t="str">
            <v>(Φ 800M/M)</v>
          </cell>
          <cell r="E115">
            <v>2026</v>
          </cell>
          <cell r="F115" t="str">
            <v>M</v>
          </cell>
          <cell r="G115">
            <v>133000</v>
          </cell>
          <cell r="H115">
            <v>269458000</v>
          </cell>
        </row>
        <row r="116">
          <cell r="B116" t="str">
            <v>b.</v>
          </cell>
          <cell r="C116" t="str">
            <v>보강흄관접합및부설</v>
          </cell>
          <cell r="D116" t="str">
            <v>(Φ 1000M/M)</v>
          </cell>
          <cell r="E116">
            <v>332</v>
          </cell>
          <cell r="F116" t="str">
            <v>M</v>
          </cell>
          <cell r="G116">
            <v>184000</v>
          </cell>
          <cell r="H116">
            <v>61088000</v>
          </cell>
        </row>
        <row r="117">
          <cell r="B117" t="str">
            <v>c.</v>
          </cell>
          <cell r="C117" t="str">
            <v>보강흄관접합및부설</v>
          </cell>
          <cell r="D117" t="str">
            <v>(Φ 1200M/M)</v>
          </cell>
          <cell r="E117">
            <v>544</v>
          </cell>
          <cell r="F117" t="str">
            <v>M</v>
          </cell>
          <cell r="G117">
            <v>261000</v>
          </cell>
          <cell r="H117">
            <v>141984000</v>
          </cell>
        </row>
        <row r="118">
          <cell r="B118" t="str">
            <v>다.</v>
          </cell>
          <cell r="C118" t="str">
            <v>종배수관</v>
          </cell>
          <cell r="H118">
            <v>0</v>
          </cell>
        </row>
        <row r="119">
          <cell r="B119" t="str">
            <v>a.</v>
          </cell>
          <cell r="C119" t="str">
            <v>종배수관접합및부설</v>
          </cell>
          <cell r="D119" t="str">
            <v>(Φ 600 m/m)</v>
          </cell>
          <cell r="E119">
            <v>733</v>
          </cell>
          <cell r="F119" t="str">
            <v>M</v>
          </cell>
          <cell r="G119">
            <v>55000</v>
          </cell>
          <cell r="H119">
            <v>40315000</v>
          </cell>
        </row>
        <row r="120">
          <cell r="B120" t="str">
            <v>b.</v>
          </cell>
          <cell r="C120" t="str">
            <v>종배수관접합및부설</v>
          </cell>
          <cell r="D120" t="str">
            <v>(Φ 800m/m)</v>
          </cell>
          <cell r="E120">
            <v>223</v>
          </cell>
          <cell r="F120" t="str">
            <v>M</v>
          </cell>
          <cell r="G120">
            <v>88000</v>
          </cell>
          <cell r="H120">
            <v>19624000</v>
          </cell>
        </row>
        <row r="121">
          <cell r="B121" t="str">
            <v>c.</v>
          </cell>
          <cell r="C121" t="str">
            <v>종배수관접합및부설</v>
          </cell>
          <cell r="D121" t="str">
            <v>(Φ 1000m/m)</v>
          </cell>
          <cell r="E121">
            <v>205</v>
          </cell>
          <cell r="F121" t="str">
            <v>M</v>
          </cell>
          <cell r="G121">
            <v>164000</v>
          </cell>
          <cell r="H121">
            <v>33620000</v>
          </cell>
        </row>
        <row r="122">
          <cell r="B122" t="str">
            <v>라.</v>
          </cell>
          <cell r="C122" t="str">
            <v>기존배수관접합부세척</v>
          </cell>
          <cell r="E122">
            <v>2</v>
          </cell>
          <cell r="F122" t="str">
            <v>EA</v>
          </cell>
          <cell r="G122">
            <v>3400</v>
          </cell>
          <cell r="H122">
            <v>6800</v>
          </cell>
        </row>
        <row r="123">
          <cell r="B123" t="str">
            <v>마.</v>
          </cell>
          <cell r="C123" t="str">
            <v>면벽공</v>
          </cell>
          <cell r="H123">
            <v>0</v>
          </cell>
        </row>
        <row r="124">
          <cell r="B124" t="str">
            <v>a.</v>
          </cell>
          <cell r="C124" t="str">
            <v>합판거푸집</v>
          </cell>
          <cell r="D124" t="str">
            <v>(3회)</v>
          </cell>
          <cell r="E124">
            <v>1150</v>
          </cell>
          <cell r="F124" t="str">
            <v>M2</v>
          </cell>
          <cell r="G124">
            <v>17000</v>
          </cell>
          <cell r="H124">
            <v>19550000</v>
          </cell>
        </row>
        <row r="125">
          <cell r="B125" t="str">
            <v>b.</v>
          </cell>
          <cell r="C125" t="str">
            <v>합판거푸집</v>
          </cell>
          <cell r="D125" t="str">
            <v>(4회)</v>
          </cell>
          <cell r="E125">
            <v>401</v>
          </cell>
          <cell r="F125" t="str">
            <v>M2</v>
          </cell>
          <cell r="G125">
            <v>14500</v>
          </cell>
          <cell r="H125">
            <v>5814500</v>
          </cell>
        </row>
        <row r="126">
          <cell r="B126" t="str">
            <v>c.</v>
          </cell>
          <cell r="C126" t="str">
            <v>콘크리트타설</v>
          </cell>
          <cell r="D126" t="str">
            <v>(소형,진동기제외)</v>
          </cell>
          <cell r="E126">
            <v>269</v>
          </cell>
          <cell r="F126" t="str">
            <v>M3</v>
          </cell>
          <cell r="G126">
            <v>28000</v>
          </cell>
          <cell r="H126">
            <v>7532000</v>
          </cell>
        </row>
        <row r="127">
          <cell r="B127" t="str">
            <v>6)</v>
          </cell>
          <cell r="C127" t="str">
            <v>집수정</v>
          </cell>
          <cell r="H127">
            <v>0</v>
          </cell>
        </row>
        <row r="128">
          <cell r="B128" t="str">
            <v>가.</v>
          </cell>
          <cell r="C128" t="str">
            <v>합판거푸집</v>
          </cell>
          <cell r="D128" t="str">
            <v>(4회)</v>
          </cell>
          <cell r="E128">
            <v>2555</v>
          </cell>
          <cell r="F128" t="str">
            <v>M2</v>
          </cell>
          <cell r="G128">
            <v>14500</v>
          </cell>
          <cell r="H128">
            <v>37047500</v>
          </cell>
        </row>
        <row r="129">
          <cell r="B129" t="str">
            <v>나.</v>
          </cell>
          <cell r="C129" t="str">
            <v>콘크리트타설</v>
          </cell>
          <cell r="D129" t="str">
            <v>(철근,진동기포함)</v>
          </cell>
          <cell r="E129">
            <v>2</v>
          </cell>
          <cell r="F129" t="str">
            <v>M3</v>
          </cell>
          <cell r="G129">
            <v>18000</v>
          </cell>
          <cell r="H129">
            <v>36000</v>
          </cell>
        </row>
        <row r="130">
          <cell r="B130" t="str">
            <v>다.</v>
          </cell>
          <cell r="C130" t="str">
            <v>콘크리트타설</v>
          </cell>
          <cell r="D130" t="str">
            <v>(소형,진동기제외)</v>
          </cell>
          <cell r="E130">
            <v>267</v>
          </cell>
          <cell r="F130" t="str">
            <v>M3</v>
          </cell>
          <cell r="G130">
            <v>28000</v>
          </cell>
          <cell r="H130">
            <v>7476000</v>
          </cell>
        </row>
        <row r="131">
          <cell r="B131" t="str">
            <v>라.</v>
          </cell>
          <cell r="C131" t="str">
            <v>철근가공조립</v>
          </cell>
          <cell r="D131" t="str">
            <v>(간단)</v>
          </cell>
          <cell r="E131">
            <v>15.754</v>
          </cell>
          <cell r="F131" t="str">
            <v>TON</v>
          </cell>
          <cell r="G131">
            <v>230000</v>
          </cell>
          <cell r="H131">
            <v>3623420</v>
          </cell>
        </row>
        <row r="132">
          <cell r="B132" t="str">
            <v>마.</v>
          </cell>
          <cell r="C132" t="str">
            <v>집수정뚜껑소형</v>
          </cell>
          <cell r="D132" t="str">
            <v>(1130×860)</v>
          </cell>
          <cell r="E132">
            <v>70</v>
          </cell>
          <cell r="F132" t="str">
            <v>EA</v>
          </cell>
          <cell r="G132">
            <v>91000</v>
          </cell>
          <cell r="H132">
            <v>6370000</v>
          </cell>
        </row>
        <row r="133">
          <cell r="B133" t="str">
            <v>바.</v>
          </cell>
          <cell r="C133" t="str">
            <v>콘크리트뚜껑</v>
          </cell>
          <cell r="D133" t="str">
            <v>(부체도로용뚜껑)</v>
          </cell>
          <cell r="E133">
            <v>29</v>
          </cell>
          <cell r="F133" t="str">
            <v>EA</v>
          </cell>
          <cell r="G133">
            <v>11000</v>
          </cell>
          <cell r="H133">
            <v>319000</v>
          </cell>
        </row>
        <row r="134">
          <cell r="B134" t="str">
            <v>사.</v>
          </cell>
          <cell r="C134" t="str">
            <v>집수정연결관</v>
          </cell>
          <cell r="D134" t="str">
            <v>(D=300m/m)</v>
          </cell>
          <cell r="E134">
            <v>17</v>
          </cell>
          <cell r="F134" t="str">
            <v>M</v>
          </cell>
          <cell r="G134">
            <v>6000</v>
          </cell>
          <cell r="H134">
            <v>102000</v>
          </cell>
        </row>
        <row r="135">
          <cell r="B135" t="str">
            <v>7)</v>
          </cell>
          <cell r="C135" t="str">
            <v>암 거</v>
          </cell>
          <cell r="H135">
            <v>0</v>
          </cell>
        </row>
        <row r="136">
          <cell r="B136" t="str">
            <v>가.</v>
          </cell>
          <cell r="C136" t="str">
            <v>합판거푸집</v>
          </cell>
          <cell r="D136" t="str">
            <v>(3회)</v>
          </cell>
          <cell r="E136">
            <v>33494</v>
          </cell>
          <cell r="F136" t="str">
            <v>M2</v>
          </cell>
          <cell r="G136">
            <v>17000</v>
          </cell>
          <cell r="H136">
            <v>569398000</v>
          </cell>
        </row>
        <row r="137">
          <cell r="B137" t="str">
            <v>나.</v>
          </cell>
          <cell r="C137" t="str">
            <v>합판거푸집</v>
          </cell>
          <cell r="D137" t="str">
            <v>(4회)</v>
          </cell>
          <cell r="E137">
            <v>1579</v>
          </cell>
          <cell r="F137" t="str">
            <v>M2</v>
          </cell>
          <cell r="G137">
            <v>14500</v>
          </cell>
          <cell r="H137">
            <v>22895500</v>
          </cell>
        </row>
        <row r="138">
          <cell r="B138" t="str">
            <v>다.</v>
          </cell>
          <cell r="C138" t="str">
            <v>코팅거푸집</v>
          </cell>
          <cell r="D138" t="str">
            <v>(3회)</v>
          </cell>
          <cell r="E138">
            <v>2820</v>
          </cell>
          <cell r="F138" t="str">
            <v>M2</v>
          </cell>
          <cell r="G138">
            <v>17000</v>
          </cell>
          <cell r="H138">
            <v>47940000</v>
          </cell>
        </row>
        <row r="139">
          <cell r="B139" t="str">
            <v>라.</v>
          </cell>
          <cell r="C139" t="str">
            <v>콘크리트타설</v>
          </cell>
          <cell r="D139" t="str">
            <v>(펌프카타설,0~15m)</v>
          </cell>
          <cell r="E139">
            <v>14318</v>
          </cell>
          <cell r="F139" t="str">
            <v>M3</v>
          </cell>
          <cell r="G139">
            <v>9000</v>
          </cell>
          <cell r="H139">
            <v>128862000</v>
          </cell>
        </row>
        <row r="140">
          <cell r="B140" t="str">
            <v>마.</v>
          </cell>
          <cell r="C140" t="str">
            <v>콘크리트타설</v>
          </cell>
          <cell r="D140" t="str">
            <v>(무근,진동기제외)</v>
          </cell>
          <cell r="E140">
            <v>1914</v>
          </cell>
          <cell r="F140" t="str">
            <v>M3</v>
          </cell>
          <cell r="G140">
            <v>17000</v>
          </cell>
          <cell r="H140">
            <v>32538000</v>
          </cell>
        </row>
        <row r="141">
          <cell r="B141" t="str">
            <v>바.</v>
          </cell>
          <cell r="C141" t="str">
            <v>철근가공조립</v>
          </cell>
          <cell r="D141" t="str">
            <v>(복잡)</v>
          </cell>
          <cell r="E141">
            <v>1598.5730000000001</v>
          </cell>
          <cell r="F141" t="str">
            <v>TON</v>
          </cell>
          <cell r="G141">
            <v>390000</v>
          </cell>
          <cell r="H141">
            <v>623443470</v>
          </cell>
        </row>
        <row r="142">
          <cell r="B142" t="str">
            <v>사.</v>
          </cell>
          <cell r="C142" t="str">
            <v>P.V.C PIPE</v>
          </cell>
          <cell r="D142" t="str">
            <v>(D=100 m/m)</v>
          </cell>
          <cell r="E142">
            <v>948</v>
          </cell>
          <cell r="F142" t="str">
            <v>M</v>
          </cell>
          <cell r="G142">
            <v>960</v>
          </cell>
          <cell r="H142">
            <v>910080</v>
          </cell>
        </row>
        <row r="143">
          <cell r="B143" t="str">
            <v>아.</v>
          </cell>
          <cell r="C143" t="str">
            <v>시공이음</v>
          </cell>
          <cell r="D143" t="str">
            <v>(지수판)</v>
          </cell>
          <cell r="E143">
            <v>934</v>
          </cell>
          <cell r="F143" t="str">
            <v>M</v>
          </cell>
          <cell r="G143">
            <v>9500</v>
          </cell>
          <cell r="H143">
            <v>8873000</v>
          </cell>
        </row>
        <row r="144">
          <cell r="B144" t="str">
            <v>자.</v>
          </cell>
          <cell r="C144" t="str">
            <v>뒷채움</v>
          </cell>
          <cell r="D144" t="str">
            <v>(선택층재 암거,교량)</v>
          </cell>
          <cell r="E144">
            <v>44755</v>
          </cell>
          <cell r="F144" t="str">
            <v>M3</v>
          </cell>
          <cell r="G144">
            <v>11500</v>
          </cell>
          <cell r="H144">
            <v>514682500</v>
          </cell>
        </row>
        <row r="145">
          <cell r="B145" t="str">
            <v>차.</v>
          </cell>
          <cell r="C145" t="str">
            <v>기초 잡석깔기</v>
          </cell>
          <cell r="E145">
            <v>1233</v>
          </cell>
          <cell r="F145" t="str">
            <v>M3</v>
          </cell>
          <cell r="G145">
            <v>28000</v>
          </cell>
          <cell r="H145">
            <v>34524000</v>
          </cell>
        </row>
        <row r="146">
          <cell r="B146" t="str">
            <v>카.</v>
          </cell>
          <cell r="C146" t="str">
            <v>아스팔트 코팅</v>
          </cell>
          <cell r="D146" t="str">
            <v>(2회)</v>
          </cell>
          <cell r="E146">
            <v>12515</v>
          </cell>
          <cell r="F146" t="str">
            <v>M2</v>
          </cell>
          <cell r="G146">
            <v>4000</v>
          </cell>
          <cell r="H146">
            <v>50060000</v>
          </cell>
        </row>
        <row r="147">
          <cell r="B147" t="str">
            <v>타.</v>
          </cell>
          <cell r="C147" t="str">
            <v>부직포설치</v>
          </cell>
          <cell r="E147">
            <v>351</v>
          </cell>
          <cell r="F147" t="str">
            <v>M2</v>
          </cell>
          <cell r="G147">
            <v>2100</v>
          </cell>
          <cell r="H147">
            <v>737100</v>
          </cell>
        </row>
        <row r="148">
          <cell r="B148" t="str">
            <v>파.</v>
          </cell>
          <cell r="C148" t="str">
            <v>물푸기</v>
          </cell>
          <cell r="D148" t="str">
            <v>(암거)</v>
          </cell>
          <cell r="E148">
            <v>1</v>
          </cell>
          <cell r="F148" t="str">
            <v>식</v>
          </cell>
          <cell r="G148">
            <v>1600000</v>
          </cell>
          <cell r="H148">
            <v>1600000</v>
          </cell>
        </row>
        <row r="149">
          <cell r="B149" t="str">
            <v>하.</v>
          </cell>
          <cell r="C149" t="str">
            <v>비 계(암거)</v>
          </cell>
          <cell r="D149" t="str">
            <v>(강관)</v>
          </cell>
          <cell r="E149">
            <v>1</v>
          </cell>
          <cell r="F149" t="str">
            <v>식</v>
          </cell>
          <cell r="G149">
            <v>140000000</v>
          </cell>
          <cell r="H149">
            <v>140000000</v>
          </cell>
        </row>
        <row r="150">
          <cell r="B150" t="str">
            <v>거.</v>
          </cell>
          <cell r="C150" t="str">
            <v>강관동바리(암거)</v>
          </cell>
          <cell r="D150" t="str">
            <v>(3개월)</v>
          </cell>
          <cell r="E150">
            <v>1</v>
          </cell>
          <cell r="F150" t="str">
            <v>식</v>
          </cell>
          <cell r="G150">
            <v>105000000</v>
          </cell>
          <cell r="H150">
            <v>105000000</v>
          </cell>
        </row>
        <row r="151">
          <cell r="B151" t="str">
            <v>8)</v>
          </cell>
          <cell r="C151" t="str">
            <v>수로보호공</v>
          </cell>
          <cell r="H151">
            <v>0</v>
          </cell>
        </row>
        <row r="152">
          <cell r="B152" t="str">
            <v>가.</v>
          </cell>
          <cell r="C152" t="str">
            <v>합판거푸집</v>
          </cell>
          <cell r="D152" t="str">
            <v>(4회)</v>
          </cell>
          <cell r="E152">
            <v>88</v>
          </cell>
          <cell r="F152" t="str">
            <v>M2</v>
          </cell>
          <cell r="G152">
            <v>14500</v>
          </cell>
          <cell r="H152">
            <v>1276000</v>
          </cell>
        </row>
        <row r="153">
          <cell r="B153" t="str">
            <v>나.</v>
          </cell>
          <cell r="C153" t="str">
            <v>합판거푸집</v>
          </cell>
          <cell r="D153" t="str">
            <v>(6회)</v>
          </cell>
          <cell r="E153">
            <v>211</v>
          </cell>
          <cell r="F153" t="str">
            <v>M2</v>
          </cell>
          <cell r="G153">
            <v>11900</v>
          </cell>
          <cell r="H153">
            <v>2510900</v>
          </cell>
        </row>
        <row r="154">
          <cell r="B154" t="str">
            <v>다.</v>
          </cell>
          <cell r="C154" t="str">
            <v>콘크리트타설</v>
          </cell>
          <cell r="D154" t="str">
            <v>(무근,진동기제외)</v>
          </cell>
          <cell r="E154">
            <v>512</v>
          </cell>
          <cell r="F154" t="str">
            <v>M3</v>
          </cell>
          <cell r="G154">
            <v>17000</v>
          </cell>
          <cell r="H154">
            <v>8704000</v>
          </cell>
        </row>
        <row r="155">
          <cell r="B155" t="str">
            <v>라.</v>
          </cell>
          <cell r="C155" t="str">
            <v>돌붙임</v>
          </cell>
          <cell r="D155" t="str">
            <v>(뒷길이30cm,깬잡석)</v>
          </cell>
          <cell r="E155">
            <v>924</v>
          </cell>
          <cell r="F155" t="str">
            <v>M2</v>
          </cell>
          <cell r="G155">
            <v>20000</v>
          </cell>
          <cell r="H155">
            <v>18480000</v>
          </cell>
        </row>
        <row r="156">
          <cell r="B156" t="str">
            <v>마.</v>
          </cell>
          <cell r="C156" t="str">
            <v>깬잡석 뒷채움</v>
          </cell>
          <cell r="E156">
            <v>92</v>
          </cell>
          <cell r="F156" t="str">
            <v>M3</v>
          </cell>
          <cell r="G156">
            <v>38000</v>
          </cell>
          <cell r="H156">
            <v>3496000</v>
          </cell>
        </row>
        <row r="157">
          <cell r="B157" t="str">
            <v>바.</v>
          </cell>
          <cell r="C157" t="str">
            <v>몰탈</v>
          </cell>
          <cell r="D157" t="str">
            <v>1:1</v>
          </cell>
          <cell r="E157">
            <v>16.396000000000001</v>
          </cell>
          <cell r="F157" t="str">
            <v>M3</v>
          </cell>
          <cell r="G157">
            <v>34000</v>
          </cell>
          <cell r="H157">
            <v>557464</v>
          </cell>
        </row>
        <row r="158">
          <cell r="B158" t="str">
            <v>사.</v>
          </cell>
          <cell r="C158" t="str">
            <v>P.V.C PIPE</v>
          </cell>
          <cell r="D158" t="str">
            <v>(φ50m/m)</v>
          </cell>
          <cell r="E158">
            <v>166</v>
          </cell>
          <cell r="F158" t="str">
            <v>M</v>
          </cell>
          <cell r="G158">
            <v>950</v>
          </cell>
          <cell r="H158">
            <v>157700</v>
          </cell>
        </row>
        <row r="159">
          <cell r="B159" t="str">
            <v>9)</v>
          </cell>
          <cell r="C159" t="str">
            <v>콘크리트다이크</v>
          </cell>
          <cell r="H159">
            <v>0</v>
          </cell>
        </row>
        <row r="160">
          <cell r="B160" t="str">
            <v>가.</v>
          </cell>
          <cell r="C160" t="str">
            <v>콘크리트다이크</v>
          </cell>
          <cell r="D160" t="str">
            <v>(기계타설)</v>
          </cell>
          <cell r="E160">
            <v>24518</v>
          </cell>
          <cell r="F160" t="str">
            <v>M</v>
          </cell>
          <cell r="G160">
            <v>600</v>
          </cell>
          <cell r="H160">
            <v>14710800</v>
          </cell>
        </row>
        <row r="161">
          <cell r="B161" t="str">
            <v>나.</v>
          </cell>
          <cell r="C161" t="str">
            <v>콘크리트다이크</v>
          </cell>
          <cell r="D161" t="str">
            <v>(프리캐스트)</v>
          </cell>
          <cell r="E161">
            <v>388</v>
          </cell>
          <cell r="F161" t="str">
            <v>M</v>
          </cell>
          <cell r="G161">
            <v>9300</v>
          </cell>
          <cell r="H161">
            <v>3608400</v>
          </cell>
        </row>
        <row r="162">
          <cell r="B162" t="str">
            <v>다.</v>
          </cell>
          <cell r="C162" t="str">
            <v>L형측구 TYPE-3</v>
          </cell>
          <cell r="D162" t="str">
            <v>(부체도로)</v>
          </cell>
          <cell r="E162">
            <v>902</v>
          </cell>
          <cell r="F162" t="str">
            <v>M</v>
          </cell>
          <cell r="G162">
            <v>11500</v>
          </cell>
          <cell r="H162">
            <v>10373000</v>
          </cell>
        </row>
        <row r="163">
          <cell r="B163" t="str">
            <v>10)</v>
          </cell>
          <cell r="C163" t="str">
            <v>절토부 소단배수로</v>
          </cell>
          <cell r="D163" t="str">
            <v>(암구간)</v>
          </cell>
          <cell r="E163">
            <v>1521</v>
          </cell>
          <cell r="F163" t="str">
            <v>M</v>
          </cell>
          <cell r="G163">
            <v>6800</v>
          </cell>
          <cell r="H163">
            <v>10342800</v>
          </cell>
        </row>
        <row r="164">
          <cell r="B164" t="str">
            <v>11)</v>
          </cell>
          <cell r="C164" t="str">
            <v>길어깨다이크집수거</v>
          </cell>
          <cell r="H164">
            <v>0</v>
          </cell>
        </row>
        <row r="165">
          <cell r="B165" t="str">
            <v>가.</v>
          </cell>
          <cell r="C165" t="str">
            <v>노견다이크집수거</v>
          </cell>
          <cell r="D165" t="str">
            <v>(TYPE-1, L형)</v>
          </cell>
          <cell r="E165">
            <v>190</v>
          </cell>
          <cell r="F165" t="str">
            <v>EA</v>
          </cell>
          <cell r="G165">
            <v>75000</v>
          </cell>
          <cell r="H165">
            <v>14250000</v>
          </cell>
        </row>
        <row r="166">
          <cell r="B166" t="str">
            <v>나.</v>
          </cell>
          <cell r="C166" t="str">
            <v>노견다이크집수거</v>
          </cell>
          <cell r="D166" t="str">
            <v>(TYPE-2, T형)</v>
          </cell>
          <cell r="E166">
            <v>9</v>
          </cell>
          <cell r="F166" t="str">
            <v>EA</v>
          </cell>
          <cell r="G166">
            <v>140000</v>
          </cell>
          <cell r="H166">
            <v>1260000</v>
          </cell>
        </row>
        <row r="167">
          <cell r="B167" t="str">
            <v>12)</v>
          </cell>
          <cell r="C167" t="str">
            <v>도수로 설치공</v>
          </cell>
          <cell r="H167">
            <v>0</v>
          </cell>
        </row>
        <row r="168">
          <cell r="B168" t="str">
            <v>가.</v>
          </cell>
          <cell r="C168" t="str">
            <v>합판거푸집</v>
          </cell>
          <cell r="D168" t="str">
            <v>(4회)</v>
          </cell>
          <cell r="E168">
            <v>9363</v>
          </cell>
          <cell r="F168" t="str">
            <v>M2</v>
          </cell>
          <cell r="G168">
            <v>14500</v>
          </cell>
          <cell r="H168">
            <v>135763500</v>
          </cell>
        </row>
        <row r="169">
          <cell r="B169" t="str">
            <v>나.</v>
          </cell>
          <cell r="C169" t="str">
            <v>철근가공조립</v>
          </cell>
          <cell r="D169" t="str">
            <v>(간단)</v>
          </cell>
          <cell r="E169">
            <v>54.887999999999998</v>
          </cell>
          <cell r="F169" t="str">
            <v>TON</v>
          </cell>
          <cell r="G169">
            <v>230000</v>
          </cell>
          <cell r="H169">
            <v>12624240</v>
          </cell>
        </row>
        <row r="170">
          <cell r="B170" t="str">
            <v>다.</v>
          </cell>
          <cell r="C170" t="str">
            <v>콘크리트타설</v>
          </cell>
          <cell r="D170" t="str">
            <v>(철근,진동기제외)</v>
          </cell>
          <cell r="E170">
            <v>152</v>
          </cell>
          <cell r="F170" t="str">
            <v>M3</v>
          </cell>
          <cell r="G170">
            <v>18000</v>
          </cell>
          <cell r="H170">
            <v>2736000</v>
          </cell>
        </row>
        <row r="171">
          <cell r="B171" t="str">
            <v>라.</v>
          </cell>
          <cell r="C171" t="str">
            <v>콘크리트타설</v>
          </cell>
          <cell r="D171" t="str">
            <v>(소형,진동기제외)</v>
          </cell>
          <cell r="E171">
            <v>1107</v>
          </cell>
          <cell r="F171" t="str">
            <v>M3</v>
          </cell>
          <cell r="G171">
            <v>28000</v>
          </cell>
          <cell r="H171">
            <v>30996000</v>
          </cell>
        </row>
        <row r="172">
          <cell r="B172" t="str">
            <v>13)</v>
          </cell>
          <cell r="C172" t="str">
            <v>노면배수공</v>
          </cell>
          <cell r="H172">
            <v>0</v>
          </cell>
        </row>
        <row r="173">
          <cell r="B173" t="str">
            <v>가.</v>
          </cell>
          <cell r="C173" t="str">
            <v>중분대용횡배수관</v>
          </cell>
          <cell r="D173" t="str">
            <v>(D=300M/M)</v>
          </cell>
          <cell r="E173">
            <v>488</v>
          </cell>
          <cell r="F173" t="str">
            <v>M</v>
          </cell>
          <cell r="G173">
            <v>44000</v>
          </cell>
          <cell r="H173">
            <v>21472000</v>
          </cell>
        </row>
        <row r="174">
          <cell r="B174" t="str">
            <v>나.</v>
          </cell>
          <cell r="C174" t="str">
            <v>중분대종배수관</v>
          </cell>
          <cell r="D174" t="str">
            <v>(L형측구용,D=300M/M)</v>
          </cell>
          <cell r="E174">
            <v>4311</v>
          </cell>
          <cell r="F174" t="str">
            <v>M</v>
          </cell>
          <cell r="G174">
            <v>25000</v>
          </cell>
          <cell r="H174">
            <v>107775000</v>
          </cell>
        </row>
        <row r="175">
          <cell r="B175" t="str">
            <v>다.</v>
          </cell>
          <cell r="C175" t="str">
            <v>중분대종배수관</v>
          </cell>
          <cell r="D175" t="str">
            <v>(L형측구용,D=600M/M)</v>
          </cell>
          <cell r="E175">
            <v>4087</v>
          </cell>
          <cell r="F175" t="str">
            <v>M</v>
          </cell>
          <cell r="G175">
            <v>54000</v>
          </cell>
          <cell r="H175">
            <v>220698000</v>
          </cell>
        </row>
        <row r="176">
          <cell r="B176" t="str">
            <v>라.</v>
          </cell>
          <cell r="C176" t="str">
            <v>중분대집수정</v>
          </cell>
          <cell r="D176" t="str">
            <v>(형식1,양종방향)</v>
          </cell>
          <cell r="E176">
            <v>35</v>
          </cell>
          <cell r="F176" t="str">
            <v>EA</v>
          </cell>
          <cell r="G176">
            <v>221000</v>
          </cell>
          <cell r="H176">
            <v>7735000</v>
          </cell>
        </row>
        <row r="177">
          <cell r="B177" t="str">
            <v>마.</v>
          </cell>
          <cell r="C177" t="str">
            <v>중분대집수정</v>
          </cell>
          <cell r="D177" t="str">
            <v>(형식2,종횡방향)</v>
          </cell>
          <cell r="E177">
            <v>187</v>
          </cell>
          <cell r="F177" t="str">
            <v>EA</v>
          </cell>
          <cell r="G177">
            <v>218000</v>
          </cell>
          <cell r="H177">
            <v>40766000</v>
          </cell>
        </row>
        <row r="178">
          <cell r="B178" t="str">
            <v>바.</v>
          </cell>
          <cell r="C178" t="str">
            <v>중분대집수정</v>
          </cell>
          <cell r="D178" t="str">
            <v>(형식3,양종횡방향)</v>
          </cell>
          <cell r="E178">
            <v>4</v>
          </cell>
          <cell r="F178" t="str">
            <v>EA</v>
          </cell>
          <cell r="G178">
            <v>214000</v>
          </cell>
          <cell r="H178">
            <v>856000</v>
          </cell>
        </row>
        <row r="179">
          <cell r="B179" t="str">
            <v>14)</v>
          </cell>
          <cell r="C179" t="str">
            <v>용배수로</v>
          </cell>
          <cell r="H179">
            <v>0</v>
          </cell>
        </row>
        <row r="180">
          <cell r="B180" t="str">
            <v>가.</v>
          </cell>
          <cell r="C180" t="str">
            <v>합판거푸집</v>
          </cell>
          <cell r="D180" t="str">
            <v>(3회)</v>
          </cell>
          <cell r="E180">
            <v>2082</v>
          </cell>
          <cell r="F180" t="str">
            <v>M2</v>
          </cell>
          <cell r="G180">
            <v>17000</v>
          </cell>
          <cell r="H180">
            <v>35394000</v>
          </cell>
        </row>
        <row r="181">
          <cell r="B181" t="str">
            <v>나.</v>
          </cell>
          <cell r="C181" t="str">
            <v>합판거푸집</v>
          </cell>
          <cell r="D181" t="str">
            <v>(4회)</v>
          </cell>
          <cell r="E181">
            <v>2326</v>
          </cell>
          <cell r="F181" t="str">
            <v>M2</v>
          </cell>
          <cell r="G181">
            <v>14500</v>
          </cell>
          <cell r="H181">
            <v>33727000</v>
          </cell>
        </row>
        <row r="182">
          <cell r="B182" t="str">
            <v>다.</v>
          </cell>
          <cell r="C182" t="str">
            <v>철근가공조립</v>
          </cell>
          <cell r="D182" t="str">
            <v>(간단)</v>
          </cell>
          <cell r="E182">
            <v>20.663</v>
          </cell>
          <cell r="F182" t="str">
            <v>TON</v>
          </cell>
          <cell r="G182">
            <v>230000</v>
          </cell>
          <cell r="H182">
            <v>4752490</v>
          </cell>
        </row>
        <row r="183">
          <cell r="B183" t="str">
            <v>라.</v>
          </cell>
          <cell r="C183" t="str">
            <v>콘크리트타설</v>
          </cell>
          <cell r="D183" t="str">
            <v>(철근,진동기포함)</v>
          </cell>
          <cell r="E183">
            <v>567</v>
          </cell>
          <cell r="F183" t="str">
            <v>M3</v>
          </cell>
          <cell r="G183">
            <v>18000</v>
          </cell>
          <cell r="H183">
            <v>10206000</v>
          </cell>
        </row>
        <row r="184">
          <cell r="B184" t="str">
            <v>마.</v>
          </cell>
          <cell r="C184" t="str">
            <v>콘크리트타설</v>
          </cell>
          <cell r="D184" t="str">
            <v>(무근,진동기제외)</v>
          </cell>
          <cell r="E184">
            <v>100</v>
          </cell>
          <cell r="F184" t="str">
            <v>M3</v>
          </cell>
          <cell r="G184">
            <v>17000</v>
          </cell>
          <cell r="H184">
            <v>1700000</v>
          </cell>
        </row>
        <row r="185">
          <cell r="B185" t="str">
            <v>15)</v>
          </cell>
          <cell r="C185" t="str">
            <v>맨 홀</v>
          </cell>
          <cell r="H185">
            <v>0</v>
          </cell>
        </row>
        <row r="186">
          <cell r="B186" t="str">
            <v>가.</v>
          </cell>
          <cell r="C186" t="str">
            <v>합판거푸집</v>
          </cell>
          <cell r="D186" t="str">
            <v>(4회)</v>
          </cell>
          <cell r="E186">
            <v>17</v>
          </cell>
          <cell r="F186" t="str">
            <v>M2</v>
          </cell>
          <cell r="G186">
            <v>14500</v>
          </cell>
          <cell r="H186">
            <v>246500</v>
          </cell>
        </row>
        <row r="187">
          <cell r="B187" t="str">
            <v>나.</v>
          </cell>
          <cell r="C187" t="str">
            <v>합판거푸집</v>
          </cell>
          <cell r="D187" t="str">
            <v>(6회)</v>
          </cell>
          <cell r="E187">
            <v>1</v>
          </cell>
          <cell r="F187" t="str">
            <v>M2</v>
          </cell>
          <cell r="G187">
            <v>11900</v>
          </cell>
          <cell r="H187">
            <v>11900</v>
          </cell>
        </row>
        <row r="188">
          <cell r="B188" t="str">
            <v>다.</v>
          </cell>
          <cell r="C188" t="str">
            <v>강재거푸집</v>
          </cell>
          <cell r="E188">
            <v>1</v>
          </cell>
          <cell r="F188" t="str">
            <v>M2</v>
          </cell>
          <cell r="G188">
            <v>5800</v>
          </cell>
          <cell r="H188">
            <v>5800</v>
          </cell>
        </row>
        <row r="189">
          <cell r="B189" t="str">
            <v>라.</v>
          </cell>
          <cell r="C189" t="str">
            <v>목재거푸집</v>
          </cell>
          <cell r="D189" t="str">
            <v>(3회)</v>
          </cell>
          <cell r="E189">
            <v>15</v>
          </cell>
          <cell r="F189" t="str">
            <v>M2</v>
          </cell>
          <cell r="G189">
            <v>27000</v>
          </cell>
          <cell r="H189">
            <v>405000</v>
          </cell>
        </row>
        <row r="190">
          <cell r="B190" t="str">
            <v>마.</v>
          </cell>
          <cell r="C190" t="str">
            <v>콘크리트타설</v>
          </cell>
          <cell r="D190" t="str">
            <v>(철근,진동기포함)</v>
          </cell>
          <cell r="E190">
            <v>1</v>
          </cell>
          <cell r="F190" t="str">
            <v>M3</v>
          </cell>
          <cell r="G190">
            <v>18000</v>
          </cell>
          <cell r="H190">
            <v>18000</v>
          </cell>
        </row>
        <row r="191">
          <cell r="B191" t="str">
            <v>바.</v>
          </cell>
          <cell r="C191" t="str">
            <v>콘크리트타설</v>
          </cell>
          <cell r="D191" t="str">
            <v>(무근,진동기제외)</v>
          </cell>
          <cell r="E191">
            <v>4</v>
          </cell>
          <cell r="F191" t="str">
            <v>M3</v>
          </cell>
          <cell r="G191">
            <v>17000</v>
          </cell>
          <cell r="H191">
            <v>68000</v>
          </cell>
        </row>
        <row r="192">
          <cell r="B192" t="str">
            <v>사.</v>
          </cell>
          <cell r="C192" t="str">
            <v>철근가공조립</v>
          </cell>
          <cell r="D192" t="str">
            <v>(간단)</v>
          </cell>
          <cell r="E192">
            <v>4.5999999999999999E-2</v>
          </cell>
          <cell r="F192" t="str">
            <v>TON</v>
          </cell>
          <cell r="G192">
            <v>230000</v>
          </cell>
          <cell r="H192">
            <v>10580</v>
          </cell>
        </row>
        <row r="193">
          <cell r="B193" t="str">
            <v>16)</v>
          </cell>
          <cell r="C193" t="str">
            <v>용수잠관</v>
          </cell>
          <cell r="H193">
            <v>0</v>
          </cell>
        </row>
        <row r="194">
          <cell r="B194" t="str">
            <v>가.</v>
          </cell>
          <cell r="C194" t="str">
            <v>합판거푸집</v>
          </cell>
          <cell r="D194" t="str">
            <v>(4회)</v>
          </cell>
          <cell r="E194">
            <v>86</v>
          </cell>
          <cell r="F194" t="str">
            <v>M2</v>
          </cell>
          <cell r="G194">
            <v>14500</v>
          </cell>
          <cell r="H194">
            <v>1247000</v>
          </cell>
        </row>
        <row r="195">
          <cell r="B195" t="str">
            <v>나.</v>
          </cell>
          <cell r="C195" t="str">
            <v>철근가공조립</v>
          </cell>
          <cell r="D195" t="str">
            <v>(간단)</v>
          </cell>
          <cell r="E195">
            <v>1.744</v>
          </cell>
          <cell r="F195" t="str">
            <v>TON</v>
          </cell>
          <cell r="G195">
            <v>230000</v>
          </cell>
          <cell r="H195">
            <v>401120</v>
          </cell>
        </row>
        <row r="196">
          <cell r="B196" t="str">
            <v>다.</v>
          </cell>
          <cell r="C196" t="str">
            <v>콘크리트타설</v>
          </cell>
          <cell r="D196" t="str">
            <v>(철근,진동기포함)</v>
          </cell>
          <cell r="E196">
            <v>1</v>
          </cell>
          <cell r="F196" t="str">
            <v>M3</v>
          </cell>
          <cell r="G196">
            <v>18000</v>
          </cell>
          <cell r="H196">
            <v>18000</v>
          </cell>
        </row>
        <row r="197">
          <cell r="B197" t="str">
            <v>라.</v>
          </cell>
          <cell r="C197" t="str">
            <v>콘크리트타설</v>
          </cell>
          <cell r="D197" t="str">
            <v>(무근,진동기제외)</v>
          </cell>
          <cell r="E197">
            <v>17</v>
          </cell>
          <cell r="F197" t="str">
            <v>M3</v>
          </cell>
          <cell r="G197">
            <v>17000</v>
          </cell>
          <cell r="H197">
            <v>289000</v>
          </cell>
        </row>
        <row r="198">
          <cell r="B198" t="str">
            <v>마.</v>
          </cell>
          <cell r="C198" t="str">
            <v>덮개</v>
          </cell>
          <cell r="D198" t="str">
            <v>(1.8×4.5)</v>
          </cell>
          <cell r="E198">
            <v>24</v>
          </cell>
          <cell r="F198" t="str">
            <v>EA</v>
          </cell>
          <cell r="G198">
            <v>14000</v>
          </cell>
          <cell r="H198">
            <v>336000</v>
          </cell>
        </row>
        <row r="199">
          <cell r="B199" t="str">
            <v>17)</v>
          </cell>
          <cell r="C199" t="str">
            <v>콘크리트생산및운반</v>
          </cell>
          <cell r="H199">
            <v>0</v>
          </cell>
        </row>
        <row r="200">
          <cell r="B200" t="str">
            <v>가.</v>
          </cell>
          <cell r="C200" t="str">
            <v>콘크리트생산</v>
          </cell>
          <cell r="D200" t="str">
            <v>32-240-15</v>
          </cell>
          <cell r="E200">
            <v>14318</v>
          </cell>
          <cell r="F200" t="str">
            <v>M3</v>
          </cell>
          <cell r="G200">
            <v>5000</v>
          </cell>
          <cell r="H200">
            <v>71590000</v>
          </cell>
        </row>
        <row r="201">
          <cell r="B201" t="str">
            <v>나.</v>
          </cell>
          <cell r="C201" t="str">
            <v>콘크리트생산</v>
          </cell>
          <cell r="D201" t="str">
            <v>19-210-4</v>
          </cell>
          <cell r="E201">
            <v>4027</v>
          </cell>
          <cell r="F201" t="str">
            <v>M3</v>
          </cell>
          <cell r="G201">
            <v>16000</v>
          </cell>
          <cell r="H201">
            <v>64432000</v>
          </cell>
        </row>
        <row r="202">
          <cell r="B202" t="str">
            <v>다.</v>
          </cell>
          <cell r="C202" t="str">
            <v>콘크리트운반</v>
          </cell>
          <cell r="D202" t="str">
            <v>(B/P-현장)</v>
          </cell>
          <cell r="E202">
            <v>18345</v>
          </cell>
          <cell r="F202" t="str">
            <v>M3</v>
          </cell>
          <cell r="G202">
            <v>3500</v>
          </cell>
          <cell r="H202">
            <v>64207500</v>
          </cell>
        </row>
        <row r="203">
          <cell r="B203" t="str">
            <v>3.</v>
          </cell>
          <cell r="C203" t="str">
            <v>구조물공</v>
          </cell>
          <cell r="H203">
            <v>25604531247</v>
          </cell>
        </row>
        <row r="204">
          <cell r="B204" t="str">
            <v>3.1</v>
          </cell>
          <cell r="C204" t="str">
            <v>교량공</v>
          </cell>
          <cell r="H204">
            <v>0</v>
          </cell>
        </row>
        <row r="205">
          <cell r="B205" t="str">
            <v>1)</v>
          </cell>
          <cell r="C205" t="str">
            <v>구조물터파기</v>
          </cell>
          <cell r="H205">
            <v>0</v>
          </cell>
        </row>
        <row r="206">
          <cell r="B206" t="str">
            <v>가.</v>
          </cell>
          <cell r="C206" t="str">
            <v>육상터파기</v>
          </cell>
          <cell r="H206">
            <v>0</v>
          </cell>
        </row>
        <row r="207">
          <cell r="B207" t="str">
            <v>a.</v>
          </cell>
          <cell r="C207" t="str">
            <v>구조물터파기</v>
          </cell>
          <cell r="D207" t="str">
            <v>(육상토사0∼4m)</v>
          </cell>
          <cell r="E207">
            <v>54561</v>
          </cell>
          <cell r="F207" t="str">
            <v>M3</v>
          </cell>
          <cell r="G207">
            <v>3200</v>
          </cell>
          <cell r="H207">
            <v>174595200</v>
          </cell>
        </row>
        <row r="208">
          <cell r="B208" t="str">
            <v>b.</v>
          </cell>
          <cell r="C208" t="str">
            <v>구조물터파기</v>
          </cell>
          <cell r="D208" t="str">
            <v>(육상토사4m이상)</v>
          </cell>
          <cell r="E208">
            <v>8979</v>
          </cell>
          <cell r="F208" t="str">
            <v>M3</v>
          </cell>
          <cell r="G208">
            <v>6000</v>
          </cell>
          <cell r="H208">
            <v>53874000</v>
          </cell>
        </row>
        <row r="209">
          <cell r="B209" t="str">
            <v>c.</v>
          </cell>
          <cell r="C209" t="str">
            <v>구조물터파기</v>
          </cell>
          <cell r="D209" t="str">
            <v>(육상풍화암0∼4m)</v>
          </cell>
          <cell r="E209">
            <v>3215</v>
          </cell>
          <cell r="F209" t="str">
            <v>M3</v>
          </cell>
          <cell r="G209">
            <v>55000</v>
          </cell>
          <cell r="H209">
            <v>176825000</v>
          </cell>
        </row>
        <row r="210">
          <cell r="B210" t="str">
            <v>d.</v>
          </cell>
          <cell r="C210" t="str">
            <v>구조물터파기</v>
          </cell>
          <cell r="D210" t="str">
            <v>(육상풍화암4m이상)</v>
          </cell>
          <cell r="E210">
            <v>3114</v>
          </cell>
          <cell r="F210" t="str">
            <v>M3</v>
          </cell>
          <cell r="G210">
            <v>68000</v>
          </cell>
          <cell r="H210">
            <v>211752000</v>
          </cell>
        </row>
        <row r="211">
          <cell r="B211" t="str">
            <v>e.</v>
          </cell>
          <cell r="C211" t="str">
            <v>구조물터파기</v>
          </cell>
          <cell r="D211" t="str">
            <v>(육상발파암4m이상)</v>
          </cell>
          <cell r="E211">
            <v>1534</v>
          </cell>
          <cell r="F211" t="str">
            <v>M3</v>
          </cell>
          <cell r="G211">
            <v>160000</v>
          </cell>
          <cell r="H211">
            <v>245440000</v>
          </cell>
        </row>
        <row r="212">
          <cell r="B212" t="str">
            <v>f.</v>
          </cell>
          <cell r="C212" t="str">
            <v>크람셸굴착및잔토처리</v>
          </cell>
          <cell r="E212">
            <v>1367</v>
          </cell>
          <cell r="F212" t="str">
            <v>M3</v>
          </cell>
          <cell r="G212">
            <v>5000</v>
          </cell>
          <cell r="H212">
            <v>6835000</v>
          </cell>
        </row>
        <row r="213">
          <cell r="B213" t="str">
            <v>나.</v>
          </cell>
          <cell r="C213" t="str">
            <v>수중터파기</v>
          </cell>
          <cell r="H213">
            <v>0</v>
          </cell>
        </row>
        <row r="214">
          <cell r="B214" t="str">
            <v>a.</v>
          </cell>
          <cell r="C214" t="str">
            <v>구조물터파기</v>
          </cell>
          <cell r="D214" t="str">
            <v>(수중토사0∼4m)</v>
          </cell>
          <cell r="E214">
            <v>21406</v>
          </cell>
          <cell r="F214" t="str">
            <v>M3</v>
          </cell>
          <cell r="G214">
            <v>6500</v>
          </cell>
          <cell r="H214">
            <v>139139000</v>
          </cell>
        </row>
        <row r="215">
          <cell r="B215" t="str">
            <v>b.</v>
          </cell>
          <cell r="C215" t="str">
            <v>구조물터파기</v>
          </cell>
          <cell r="D215" t="str">
            <v>(수중토사4m이상)</v>
          </cell>
          <cell r="E215">
            <v>1412</v>
          </cell>
          <cell r="F215" t="str">
            <v>M3</v>
          </cell>
          <cell r="G215">
            <v>12000</v>
          </cell>
          <cell r="H215">
            <v>16944000</v>
          </cell>
        </row>
        <row r="216">
          <cell r="B216" t="str">
            <v>c.</v>
          </cell>
          <cell r="C216" t="str">
            <v>구조물터파기</v>
          </cell>
          <cell r="D216" t="str">
            <v>(수중터파기4m이상)</v>
          </cell>
          <cell r="E216">
            <v>123</v>
          </cell>
          <cell r="F216" t="str">
            <v>M3</v>
          </cell>
          <cell r="G216">
            <v>130000</v>
          </cell>
          <cell r="H216">
            <v>15990000</v>
          </cell>
        </row>
        <row r="217">
          <cell r="B217" t="str">
            <v>2)</v>
          </cell>
          <cell r="C217" t="str">
            <v>되메우기 및 다짐공</v>
          </cell>
          <cell r="D217" t="str">
            <v>(인력10％+기계90％)</v>
          </cell>
          <cell r="E217">
            <v>61534</v>
          </cell>
          <cell r="F217" t="str">
            <v>M3</v>
          </cell>
          <cell r="G217">
            <v>2000</v>
          </cell>
          <cell r="H217">
            <v>123068000</v>
          </cell>
        </row>
        <row r="218">
          <cell r="B218" t="str">
            <v>3)</v>
          </cell>
          <cell r="C218" t="str">
            <v>뒷채움</v>
          </cell>
          <cell r="D218" t="str">
            <v>(선택층재 암거,교량)</v>
          </cell>
          <cell r="E218">
            <v>11655</v>
          </cell>
          <cell r="F218" t="str">
            <v>M3</v>
          </cell>
          <cell r="G218">
            <v>11500</v>
          </cell>
          <cell r="H218">
            <v>134032500</v>
          </cell>
        </row>
        <row r="219">
          <cell r="B219" t="str">
            <v>4)</v>
          </cell>
          <cell r="C219" t="str">
            <v>가시설공</v>
          </cell>
          <cell r="D219" t="str">
            <v>삼척교</v>
          </cell>
          <cell r="H219">
            <v>0</v>
          </cell>
        </row>
        <row r="220">
          <cell r="B220" t="str">
            <v>가.</v>
          </cell>
          <cell r="C220" t="str">
            <v>SHEET PILE 항타</v>
          </cell>
          <cell r="E220">
            <v>288</v>
          </cell>
          <cell r="F220" t="str">
            <v>본</v>
          </cell>
          <cell r="G220">
            <v>90000</v>
          </cell>
          <cell r="H220">
            <v>25920000</v>
          </cell>
        </row>
        <row r="221">
          <cell r="B221" t="str">
            <v>나.</v>
          </cell>
          <cell r="C221" t="str">
            <v>SHEET PILE 항발</v>
          </cell>
          <cell r="E221">
            <v>288</v>
          </cell>
          <cell r="F221" t="str">
            <v>본</v>
          </cell>
          <cell r="G221">
            <v>28000</v>
          </cell>
          <cell r="H221">
            <v>8064000</v>
          </cell>
        </row>
        <row r="222">
          <cell r="B222" t="str">
            <v>다.</v>
          </cell>
          <cell r="C222" t="str">
            <v>SHEET PILE청소및정리</v>
          </cell>
          <cell r="E222">
            <v>288</v>
          </cell>
          <cell r="F222" t="str">
            <v>본</v>
          </cell>
          <cell r="G222">
            <v>11000</v>
          </cell>
          <cell r="H222">
            <v>3168000</v>
          </cell>
        </row>
        <row r="223">
          <cell r="B223" t="str">
            <v>라.</v>
          </cell>
          <cell r="C223" t="str">
            <v>SHEET PILE 운반</v>
          </cell>
          <cell r="E223">
            <v>206.88399999999999</v>
          </cell>
          <cell r="F223" t="str">
            <v>TON</v>
          </cell>
          <cell r="G223">
            <v>23000</v>
          </cell>
          <cell r="H223">
            <v>4758332</v>
          </cell>
        </row>
        <row r="224">
          <cell r="B224" t="str">
            <v>마.</v>
          </cell>
          <cell r="C224" t="str">
            <v>SHEET PILE 자재손료</v>
          </cell>
          <cell r="E224">
            <v>206.88399999999999</v>
          </cell>
          <cell r="F224" t="str">
            <v>TON</v>
          </cell>
          <cell r="G224">
            <v>120000</v>
          </cell>
          <cell r="H224">
            <v>24826080</v>
          </cell>
        </row>
        <row r="225">
          <cell r="B225" t="str">
            <v>바.</v>
          </cell>
          <cell r="C225" t="str">
            <v>H-PILE 설치및철거</v>
          </cell>
          <cell r="E225">
            <v>750</v>
          </cell>
          <cell r="F225" t="str">
            <v>M</v>
          </cell>
          <cell r="G225">
            <v>12000</v>
          </cell>
          <cell r="H225">
            <v>9000000</v>
          </cell>
        </row>
        <row r="226">
          <cell r="B226" t="str">
            <v>사</v>
          </cell>
          <cell r="C226" t="str">
            <v>버팀보제작및설치</v>
          </cell>
          <cell r="H226">
            <v>0</v>
          </cell>
        </row>
        <row r="227">
          <cell r="B227" t="str">
            <v>a.</v>
          </cell>
          <cell r="C227" t="str">
            <v>DETAIL</v>
          </cell>
          <cell r="D227" t="str">
            <v>"A" 버팀보</v>
          </cell>
          <cell r="E227">
            <v>224</v>
          </cell>
          <cell r="F227" t="str">
            <v>개소</v>
          </cell>
          <cell r="G227">
            <v>60000</v>
          </cell>
          <cell r="H227">
            <v>13440000</v>
          </cell>
        </row>
        <row r="228">
          <cell r="B228" t="str">
            <v>b.</v>
          </cell>
          <cell r="C228" t="str">
            <v>DETAIL</v>
          </cell>
          <cell r="D228" t="str">
            <v>"B" SHEETPILE</v>
          </cell>
          <cell r="E228">
            <v>288</v>
          </cell>
          <cell r="F228" t="str">
            <v>개소</v>
          </cell>
          <cell r="G228">
            <v>28000</v>
          </cell>
          <cell r="H228">
            <v>8064000</v>
          </cell>
        </row>
        <row r="229">
          <cell r="B229" t="str">
            <v>c.</v>
          </cell>
          <cell r="C229" t="str">
            <v>DETAIL</v>
          </cell>
          <cell r="D229" t="str">
            <v>"C" 보걸이</v>
          </cell>
          <cell r="E229">
            <v>224</v>
          </cell>
          <cell r="F229" t="str">
            <v>개소</v>
          </cell>
          <cell r="G229">
            <v>3500</v>
          </cell>
          <cell r="H229">
            <v>784000</v>
          </cell>
        </row>
        <row r="230">
          <cell r="B230" t="str">
            <v>5)</v>
          </cell>
          <cell r="C230" t="str">
            <v>현장타설말뚝</v>
          </cell>
          <cell r="H230">
            <v>0</v>
          </cell>
        </row>
        <row r="231">
          <cell r="B231" t="str">
            <v>가.</v>
          </cell>
          <cell r="C231" t="str">
            <v>삼척교</v>
          </cell>
          <cell r="D231" t="str">
            <v>φ1200</v>
          </cell>
          <cell r="H231">
            <v>0</v>
          </cell>
        </row>
        <row r="232">
          <cell r="B232" t="str">
            <v>a.</v>
          </cell>
          <cell r="C232" t="str">
            <v>장비대운반</v>
          </cell>
          <cell r="E232">
            <v>2</v>
          </cell>
          <cell r="F232" t="str">
            <v>회</v>
          </cell>
          <cell r="G232">
            <v>8500000</v>
          </cell>
          <cell r="H232">
            <v>17000000</v>
          </cell>
        </row>
        <row r="233">
          <cell r="B233" t="str">
            <v>b.</v>
          </cell>
          <cell r="C233" t="str">
            <v>장비조립및해체</v>
          </cell>
          <cell r="E233">
            <v>1</v>
          </cell>
          <cell r="F233" t="str">
            <v>회</v>
          </cell>
          <cell r="G233">
            <v>3200000</v>
          </cell>
          <cell r="H233">
            <v>3200000</v>
          </cell>
        </row>
        <row r="234">
          <cell r="B234" t="str">
            <v>c.</v>
          </cell>
          <cell r="C234" t="str">
            <v>대구경 천공</v>
          </cell>
          <cell r="E234">
            <v>563</v>
          </cell>
          <cell r="F234" t="str">
            <v>M</v>
          </cell>
          <cell r="G234">
            <v>970000</v>
          </cell>
          <cell r="H234">
            <v>546110000</v>
          </cell>
        </row>
        <row r="235">
          <cell r="B235" t="str">
            <v>d.</v>
          </cell>
          <cell r="C235" t="str">
            <v>스페이샤제작</v>
          </cell>
          <cell r="E235">
            <v>960</v>
          </cell>
          <cell r="F235" t="str">
            <v>EA</v>
          </cell>
          <cell r="G235">
            <v>2500</v>
          </cell>
          <cell r="H235">
            <v>2400000</v>
          </cell>
        </row>
        <row r="236">
          <cell r="B236" t="str">
            <v>e.</v>
          </cell>
          <cell r="C236" t="str">
            <v>콘크리트타설</v>
          </cell>
          <cell r="D236" t="str">
            <v>(펌프카타설,0~15m)</v>
          </cell>
          <cell r="E236">
            <v>499</v>
          </cell>
          <cell r="F236" t="str">
            <v>M3</v>
          </cell>
          <cell r="G236">
            <v>9000</v>
          </cell>
          <cell r="H236">
            <v>4491000</v>
          </cell>
        </row>
        <row r="237">
          <cell r="B237" t="str">
            <v>f.</v>
          </cell>
          <cell r="C237" t="str">
            <v>두부정리</v>
          </cell>
          <cell r="E237">
            <v>16</v>
          </cell>
          <cell r="F237" t="str">
            <v>본</v>
          </cell>
          <cell r="G237">
            <v>180000</v>
          </cell>
          <cell r="H237">
            <v>2880000</v>
          </cell>
        </row>
        <row r="238">
          <cell r="B238" t="str">
            <v>g.</v>
          </cell>
          <cell r="C238" t="str">
            <v>철근오름방지제작설치</v>
          </cell>
          <cell r="E238">
            <v>16</v>
          </cell>
          <cell r="F238" t="str">
            <v>본</v>
          </cell>
          <cell r="G238">
            <v>17000</v>
          </cell>
          <cell r="H238">
            <v>272000</v>
          </cell>
        </row>
        <row r="239">
          <cell r="B239" t="str">
            <v>h.</v>
          </cell>
          <cell r="C239" t="str">
            <v>확인코아</v>
          </cell>
          <cell r="E239">
            <v>16</v>
          </cell>
          <cell r="F239" t="str">
            <v>M</v>
          </cell>
          <cell r="G239">
            <v>130000</v>
          </cell>
          <cell r="H239">
            <v>2080000</v>
          </cell>
        </row>
        <row r="240">
          <cell r="B240" t="str">
            <v>나.</v>
          </cell>
          <cell r="C240" t="str">
            <v>현장콘크리트말뚝</v>
          </cell>
          <cell r="E240">
            <v>3967</v>
          </cell>
          <cell r="F240" t="str">
            <v>M</v>
          </cell>
          <cell r="G240">
            <v>540000</v>
          </cell>
          <cell r="H240">
            <v>2142180000</v>
          </cell>
        </row>
        <row r="241">
          <cell r="B241" t="str">
            <v>6)</v>
          </cell>
          <cell r="C241" t="str">
            <v>강관말뚝공</v>
          </cell>
          <cell r="H241">
            <v>0</v>
          </cell>
        </row>
        <row r="242">
          <cell r="B242" t="str">
            <v>가.</v>
          </cell>
          <cell r="C242" t="str">
            <v>강관말뚝</v>
          </cell>
          <cell r="D242" t="str">
            <v>φ406.4,t=9m/m</v>
          </cell>
          <cell r="H242">
            <v>0</v>
          </cell>
        </row>
        <row r="243">
          <cell r="B243" t="str">
            <v>a.</v>
          </cell>
          <cell r="C243" t="str">
            <v>파일자재비</v>
          </cell>
          <cell r="D243" t="str">
            <v>φ406.4,t=9mm)</v>
          </cell>
          <cell r="E243">
            <v>850</v>
          </cell>
          <cell r="F243" t="str">
            <v>M</v>
          </cell>
          <cell r="G243">
            <v>40000</v>
          </cell>
          <cell r="H243">
            <v>34000000</v>
          </cell>
        </row>
        <row r="244">
          <cell r="B244" t="str">
            <v>b.</v>
          </cell>
          <cell r="C244" t="str">
            <v>항타비 수직항</v>
          </cell>
          <cell r="D244" t="str">
            <v>(φ406.4,t=9mm)</v>
          </cell>
          <cell r="E244">
            <v>840</v>
          </cell>
          <cell r="F244" t="str">
            <v>M</v>
          </cell>
          <cell r="G244">
            <v>8000</v>
          </cell>
          <cell r="H244">
            <v>6720000</v>
          </cell>
        </row>
        <row r="245">
          <cell r="B245" t="str">
            <v>c.</v>
          </cell>
          <cell r="C245" t="str">
            <v>두부 및 선단보강</v>
          </cell>
          <cell r="D245" t="str">
            <v>(φ406.4mm)</v>
          </cell>
          <cell r="E245">
            <v>42</v>
          </cell>
          <cell r="F245" t="str">
            <v>EA</v>
          </cell>
          <cell r="G245">
            <v>200000</v>
          </cell>
          <cell r="H245">
            <v>8400000</v>
          </cell>
        </row>
        <row r="246">
          <cell r="B246" t="str">
            <v>d.</v>
          </cell>
          <cell r="C246" t="str">
            <v>강관파일이음</v>
          </cell>
          <cell r="D246" t="str">
            <v>(φ406.4mm)</v>
          </cell>
          <cell r="E246">
            <v>42</v>
          </cell>
          <cell r="F246" t="str">
            <v>EA</v>
          </cell>
          <cell r="G246">
            <v>7000</v>
          </cell>
          <cell r="H246">
            <v>294000</v>
          </cell>
        </row>
        <row r="247">
          <cell r="B247" t="str">
            <v>e.</v>
          </cell>
          <cell r="C247" t="str">
            <v>모래채움</v>
          </cell>
          <cell r="E247">
            <v>108</v>
          </cell>
          <cell r="F247" t="str">
            <v>M3</v>
          </cell>
          <cell r="G247">
            <v>3400</v>
          </cell>
          <cell r="H247">
            <v>367200</v>
          </cell>
        </row>
        <row r="248">
          <cell r="B248" t="str">
            <v>나.</v>
          </cell>
          <cell r="C248" t="str">
            <v>강관말뚝</v>
          </cell>
          <cell r="D248" t="str">
            <v>φ508,t=12mm</v>
          </cell>
          <cell r="H248">
            <v>0</v>
          </cell>
        </row>
        <row r="249">
          <cell r="B249" t="str">
            <v>a.</v>
          </cell>
          <cell r="C249" t="str">
            <v>파일자재비</v>
          </cell>
          <cell r="D249" t="str">
            <v>(φ508,t=12mm)</v>
          </cell>
          <cell r="E249">
            <v>14472</v>
          </cell>
          <cell r="F249" t="str">
            <v>M</v>
          </cell>
          <cell r="G249">
            <v>67000</v>
          </cell>
          <cell r="H249">
            <v>969624000</v>
          </cell>
        </row>
        <row r="250">
          <cell r="B250" t="str">
            <v>b.</v>
          </cell>
          <cell r="C250" t="str">
            <v>항타비</v>
          </cell>
          <cell r="D250" t="str">
            <v>(φ508,t=12mm)</v>
          </cell>
          <cell r="E250">
            <v>13505</v>
          </cell>
          <cell r="F250" t="str">
            <v>M</v>
          </cell>
          <cell r="G250">
            <v>6000</v>
          </cell>
          <cell r="H250">
            <v>81030000</v>
          </cell>
        </row>
        <row r="251">
          <cell r="B251" t="str">
            <v>c.</v>
          </cell>
          <cell r="C251" t="str">
            <v>두부 및 선단보강</v>
          </cell>
          <cell r="D251" t="str">
            <v>(ø508,t=12㎜)</v>
          </cell>
          <cell r="E251">
            <v>1244</v>
          </cell>
          <cell r="F251" t="str">
            <v>EA</v>
          </cell>
          <cell r="G251">
            <v>300000</v>
          </cell>
          <cell r="H251">
            <v>373200000</v>
          </cell>
        </row>
        <row r="252">
          <cell r="B252" t="str">
            <v>d.</v>
          </cell>
          <cell r="C252" t="str">
            <v>강관파일이음</v>
          </cell>
          <cell r="D252" t="str">
            <v>(φ508mm)</v>
          </cell>
          <cell r="E252">
            <v>144</v>
          </cell>
          <cell r="F252" t="str">
            <v>EA</v>
          </cell>
          <cell r="G252">
            <v>6800</v>
          </cell>
          <cell r="H252">
            <v>979200</v>
          </cell>
        </row>
        <row r="253">
          <cell r="B253" t="str">
            <v>7)</v>
          </cell>
          <cell r="C253" t="str">
            <v>거푸집공</v>
          </cell>
          <cell r="H253">
            <v>0</v>
          </cell>
        </row>
        <row r="254">
          <cell r="B254" t="str">
            <v>가.</v>
          </cell>
          <cell r="C254" t="str">
            <v>합판거푸집</v>
          </cell>
          <cell r="D254" t="str">
            <v>(3회) 0-7M</v>
          </cell>
          <cell r="E254">
            <v>58548</v>
          </cell>
          <cell r="F254" t="str">
            <v>M2</v>
          </cell>
          <cell r="G254">
            <v>17000</v>
          </cell>
          <cell r="H254">
            <v>995316000</v>
          </cell>
        </row>
        <row r="255">
          <cell r="B255" t="str">
            <v>나.</v>
          </cell>
          <cell r="C255" t="str">
            <v>합판거푸집</v>
          </cell>
          <cell r="D255" t="str">
            <v>(3회) 7-10M</v>
          </cell>
          <cell r="E255">
            <v>3651</v>
          </cell>
          <cell r="F255" t="str">
            <v>M2</v>
          </cell>
          <cell r="G255">
            <v>18300</v>
          </cell>
          <cell r="H255">
            <v>66813300</v>
          </cell>
        </row>
        <row r="256">
          <cell r="B256" t="str">
            <v>다.</v>
          </cell>
          <cell r="C256" t="str">
            <v>합판거푸집</v>
          </cell>
          <cell r="D256" t="str">
            <v>(3회) 10-13M</v>
          </cell>
          <cell r="E256">
            <v>533</v>
          </cell>
          <cell r="F256" t="str">
            <v>M2</v>
          </cell>
          <cell r="G256">
            <v>19500</v>
          </cell>
          <cell r="H256">
            <v>10393500</v>
          </cell>
        </row>
        <row r="257">
          <cell r="B257" t="str">
            <v>라.</v>
          </cell>
          <cell r="C257" t="str">
            <v>합판거푸집</v>
          </cell>
          <cell r="D257" t="str">
            <v>(3회) 13-16M</v>
          </cell>
          <cell r="E257">
            <v>270</v>
          </cell>
          <cell r="F257" t="str">
            <v>M2</v>
          </cell>
          <cell r="G257">
            <v>20700</v>
          </cell>
          <cell r="H257">
            <v>5589000</v>
          </cell>
        </row>
        <row r="258">
          <cell r="B258" t="str">
            <v>마.</v>
          </cell>
          <cell r="C258" t="str">
            <v>합판거푸집</v>
          </cell>
          <cell r="D258" t="str">
            <v>(3회) 16-19M</v>
          </cell>
          <cell r="E258">
            <v>270</v>
          </cell>
          <cell r="F258" t="str">
            <v>M2</v>
          </cell>
          <cell r="G258">
            <v>21900</v>
          </cell>
          <cell r="H258">
            <v>5913000</v>
          </cell>
        </row>
        <row r="259">
          <cell r="B259" t="str">
            <v>바.</v>
          </cell>
          <cell r="C259" t="str">
            <v>합판거푸집</v>
          </cell>
          <cell r="D259" t="str">
            <v>(3회) 19-22M</v>
          </cell>
          <cell r="E259">
            <v>735</v>
          </cell>
          <cell r="F259" t="str">
            <v>M2</v>
          </cell>
          <cell r="G259">
            <v>23200</v>
          </cell>
          <cell r="H259">
            <v>17052000</v>
          </cell>
        </row>
        <row r="260">
          <cell r="B260" t="str">
            <v>사.</v>
          </cell>
          <cell r="C260" t="str">
            <v>합판거푸집</v>
          </cell>
          <cell r="D260" t="str">
            <v>(3회) 22-25M</v>
          </cell>
          <cell r="E260">
            <v>284</v>
          </cell>
          <cell r="F260" t="str">
            <v>M2</v>
          </cell>
          <cell r="G260">
            <v>24400</v>
          </cell>
          <cell r="H260">
            <v>6929600</v>
          </cell>
        </row>
        <row r="261">
          <cell r="B261" t="str">
            <v>아.</v>
          </cell>
          <cell r="C261" t="str">
            <v>합판거푸집</v>
          </cell>
          <cell r="D261" t="str">
            <v>(4회)</v>
          </cell>
          <cell r="E261">
            <v>7753</v>
          </cell>
          <cell r="F261" t="str">
            <v>M2</v>
          </cell>
          <cell r="G261">
            <v>14500</v>
          </cell>
          <cell r="H261">
            <v>112418500</v>
          </cell>
        </row>
        <row r="262">
          <cell r="B262" t="str">
            <v>자.</v>
          </cell>
          <cell r="C262" t="str">
            <v>합판거푸집</v>
          </cell>
          <cell r="D262" t="str">
            <v>(6회)</v>
          </cell>
          <cell r="E262">
            <v>812</v>
          </cell>
          <cell r="F262" t="str">
            <v>M2</v>
          </cell>
          <cell r="G262">
            <v>11900</v>
          </cell>
          <cell r="H262">
            <v>9662800</v>
          </cell>
        </row>
        <row r="263">
          <cell r="B263" t="str">
            <v>차.</v>
          </cell>
          <cell r="C263" t="str">
            <v>원형거푸집</v>
          </cell>
          <cell r="D263" t="str">
            <v>(3회)</v>
          </cell>
          <cell r="E263">
            <v>3820</v>
          </cell>
          <cell r="F263" t="str">
            <v>M2</v>
          </cell>
          <cell r="G263">
            <v>35900</v>
          </cell>
          <cell r="H263">
            <v>137138000</v>
          </cell>
        </row>
        <row r="264">
          <cell r="B264" t="str">
            <v>카.</v>
          </cell>
          <cell r="C264" t="str">
            <v>원형거푸집</v>
          </cell>
          <cell r="D264" t="str">
            <v>(3회) 7-10M</v>
          </cell>
          <cell r="E264">
            <v>786</v>
          </cell>
          <cell r="F264" t="str">
            <v>M2</v>
          </cell>
          <cell r="G264">
            <v>38800</v>
          </cell>
          <cell r="H264">
            <v>30496800</v>
          </cell>
        </row>
        <row r="265">
          <cell r="B265" t="str">
            <v>타.</v>
          </cell>
          <cell r="C265" t="str">
            <v>원형거푸집</v>
          </cell>
          <cell r="D265" t="str">
            <v>(3회) 10-13M</v>
          </cell>
          <cell r="E265">
            <v>524</v>
          </cell>
          <cell r="F265" t="str">
            <v>M2</v>
          </cell>
          <cell r="G265">
            <v>41600</v>
          </cell>
          <cell r="H265">
            <v>21798400</v>
          </cell>
        </row>
        <row r="266">
          <cell r="B266" t="str">
            <v>파.</v>
          </cell>
          <cell r="C266" t="str">
            <v>원형거푸집</v>
          </cell>
          <cell r="D266" t="str">
            <v>(3회) 13-16M</v>
          </cell>
          <cell r="E266">
            <v>455</v>
          </cell>
          <cell r="F266" t="str">
            <v>M2</v>
          </cell>
          <cell r="G266">
            <v>44400</v>
          </cell>
          <cell r="H266">
            <v>20202000</v>
          </cell>
        </row>
        <row r="267">
          <cell r="B267" t="str">
            <v>하.</v>
          </cell>
          <cell r="C267" t="str">
            <v>원형거푸집</v>
          </cell>
          <cell r="D267" t="str">
            <v>(3회) 16-19M</v>
          </cell>
          <cell r="E267">
            <v>384</v>
          </cell>
          <cell r="F267" t="str">
            <v>M2</v>
          </cell>
          <cell r="G267">
            <v>47300</v>
          </cell>
          <cell r="H267">
            <v>18163200</v>
          </cell>
        </row>
        <row r="268">
          <cell r="B268" t="str">
            <v>거.</v>
          </cell>
          <cell r="C268" t="str">
            <v>원형거푸집</v>
          </cell>
          <cell r="D268" t="str">
            <v>(3회) 19-22M</v>
          </cell>
          <cell r="E268">
            <v>188</v>
          </cell>
          <cell r="F268" t="str">
            <v>M2</v>
          </cell>
          <cell r="G268">
            <v>50100</v>
          </cell>
          <cell r="H268">
            <v>9418800</v>
          </cell>
        </row>
        <row r="269">
          <cell r="B269" t="str">
            <v>너.</v>
          </cell>
          <cell r="C269" t="str">
            <v>원형거푸집</v>
          </cell>
          <cell r="D269" t="str">
            <v>(3회) 22-25M</v>
          </cell>
          <cell r="E269">
            <v>30</v>
          </cell>
          <cell r="F269" t="str">
            <v>M2</v>
          </cell>
          <cell r="G269">
            <v>52900</v>
          </cell>
          <cell r="H269">
            <v>1587000</v>
          </cell>
        </row>
        <row r="270">
          <cell r="B270" t="str">
            <v>더.</v>
          </cell>
          <cell r="C270" t="str">
            <v>강재거푸집(P.F빔용)</v>
          </cell>
          <cell r="D270" t="str">
            <v>(형틀조립 및 탈형)</v>
          </cell>
          <cell r="E270">
            <v>2602</v>
          </cell>
          <cell r="F270" t="str">
            <v>M2</v>
          </cell>
          <cell r="G270">
            <v>14800</v>
          </cell>
          <cell r="H270">
            <v>38509600</v>
          </cell>
        </row>
        <row r="271">
          <cell r="B271" t="str">
            <v>8)</v>
          </cell>
          <cell r="C271" t="str">
            <v>비계공</v>
          </cell>
          <cell r="D271" t="str">
            <v>(교량)</v>
          </cell>
          <cell r="E271">
            <v>1</v>
          </cell>
          <cell r="F271" t="str">
            <v>식</v>
          </cell>
          <cell r="G271">
            <v>300000000</v>
          </cell>
          <cell r="H271">
            <v>300000000</v>
          </cell>
        </row>
        <row r="272">
          <cell r="B272" t="str">
            <v>9)</v>
          </cell>
          <cell r="C272" t="str">
            <v>동바리공</v>
          </cell>
          <cell r="D272" t="str">
            <v>(교량)</v>
          </cell>
          <cell r="E272">
            <v>1</v>
          </cell>
          <cell r="F272" t="str">
            <v>식</v>
          </cell>
          <cell r="G272">
            <v>1170000000</v>
          </cell>
          <cell r="H272">
            <v>1170000000</v>
          </cell>
        </row>
        <row r="273">
          <cell r="B273" t="str">
            <v>10)</v>
          </cell>
          <cell r="C273" t="str">
            <v>시공이음</v>
          </cell>
          <cell r="H273">
            <v>0</v>
          </cell>
        </row>
        <row r="274">
          <cell r="B274" t="str">
            <v>가.</v>
          </cell>
          <cell r="C274" t="str">
            <v>스치로폴</v>
          </cell>
          <cell r="D274" t="str">
            <v>(T=10m/m)</v>
          </cell>
          <cell r="E274">
            <v>369</v>
          </cell>
          <cell r="F274" t="str">
            <v>M2</v>
          </cell>
          <cell r="G274">
            <v>950</v>
          </cell>
          <cell r="H274">
            <v>350550</v>
          </cell>
        </row>
        <row r="275">
          <cell r="B275" t="str">
            <v>나.</v>
          </cell>
          <cell r="C275" t="str">
            <v>스치로폴</v>
          </cell>
          <cell r="D275" t="str">
            <v>(T=20m/m)</v>
          </cell>
          <cell r="E275">
            <v>7</v>
          </cell>
          <cell r="F275" t="str">
            <v>M2</v>
          </cell>
          <cell r="G275">
            <v>1800</v>
          </cell>
          <cell r="H275">
            <v>12600</v>
          </cell>
        </row>
        <row r="276">
          <cell r="B276" t="str">
            <v>11)</v>
          </cell>
          <cell r="C276" t="str">
            <v>물푸기</v>
          </cell>
          <cell r="D276" t="str">
            <v>(교량)</v>
          </cell>
          <cell r="E276">
            <v>1</v>
          </cell>
          <cell r="F276" t="str">
            <v>식</v>
          </cell>
          <cell r="G276">
            <v>40000000</v>
          </cell>
          <cell r="H276">
            <v>40000000</v>
          </cell>
        </row>
        <row r="277">
          <cell r="B277" t="str">
            <v>12)</v>
          </cell>
          <cell r="C277" t="str">
            <v>철근가공조립</v>
          </cell>
          <cell r="H277">
            <v>0</v>
          </cell>
        </row>
        <row r="278">
          <cell r="B278" t="str">
            <v>가.</v>
          </cell>
          <cell r="C278" t="str">
            <v>철근가공조립</v>
          </cell>
          <cell r="D278" t="str">
            <v>(보통)</v>
          </cell>
          <cell r="E278">
            <v>1605.318</v>
          </cell>
          <cell r="F278" t="str">
            <v>TON</v>
          </cell>
          <cell r="G278">
            <v>310000</v>
          </cell>
          <cell r="H278">
            <v>497648580</v>
          </cell>
        </row>
        <row r="279">
          <cell r="B279" t="str">
            <v>나.</v>
          </cell>
          <cell r="C279" t="str">
            <v>철근가공조립</v>
          </cell>
          <cell r="D279" t="str">
            <v>(복잡)</v>
          </cell>
          <cell r="E279">
            <v>3578.1109999999999</v>
          </cell>
          <cell r="F279" t="str">
            <v>TON</v>
          </cell>
          <cell r="G279">
            <v>390000</v>
          </cell>
          <cell r="H279">
            <v>1395463290</v>
          </cell>
        </row>
        <row r="280">
          <cell r="B280" t="str">
            <v>다.</v>
          </cell>
          <cell r="C280" t="str">
            <v>철근가공및조립</v>
          </cell>
          <cell r="D280" t="str">
            <v>(매우복잡)</v>
          </cell>
          <cell r="E280">
            <v>2742</v>
          </cell>
          <cell r="F280" t="str">
            <v>TON</v>
          </cell>
          <cell r="G280">
            <v>450000</v>
          </cell>
          <cell r="H280">
            <v>1233900000</v>
          </cell>
        </row>
        <row r="281">
          <cell r="B281" t="str">
            <v>라.</v>
          </cell>
          <cell r="C281" t="str">
            <v>간격재</v>
          </cell>
          <cell r="D281" t="str">
            <v>(T=50MM)</v>
          </cell>
          <cell r="E281">
            <v>866</v>
          </cell>
          <cell r="F281" t="str">
            <v>EA</v>
          </cell>
          <cell r="G281">
            <v>35</v>
          </cell>
          <cell r="H281">
            <v>30310</v>
          </cell>
        </row>
        <row r="282">
          <cell r="B282" t="str">
            <v>마.</v>
          </cell>
          <cell r="C282" t="str">
            <v>간격재</v>
          </cell>
          <cell r="D282" t="str">
            <v>(T=100MM)</v>
          </cell>
          <cell r="E282">
            <v>444</v>
          </cell>
          <cell r="F282" t="str">
            <v>EA</v>
          </cell>
          <cell r="G282">
            <v>60</v>
          </cell>
          <cell r="H282">
            <v>26640</v>
          </cell>
        </row>
        <row r="283">
          <cell r="B283" t="str">
            <v>바.</v>
          </cell>
          <cell r="C283" t="str">
            <v>몰탈블럭</v>
          </cell>
          <cell r="D283" t="str">
            <v>(T=50MM)</v>
          </cell>
          <cell r="E283">
            <v>3813</v>
          </cell>
          <cell r="F283" t="str">
            <v>EA</v>
          </cell>
          <cell r="G283">
            <v>55</v>
          </cell>
          <cell r="H283">
            <v>209715</v>
          </cell>
        </row>
        <row r="284">
          <cell r="B284" t="str">
            <v>사.</v>
          </cell>
          <cell r="C284" t="str">
            <v>몰탈블럭</v>
          </cell>
          <cell r="D284" t="str">
            <v>(T=100MM)</v>
          </cell>
          <cell r="E284">
            <v>928</v>
          </cell>
          <cell r="F284" t="str">
            <v>EA</v>
          </cell>
          <cell r="G284">
            <v>85</v>
          </cell>
          <cell r="H284">
            <v>78880</v>
          </cell>
        </row>
        <row r="285">
          <cell r="B285" t="str">
            <v>사.</v>
          </cell>
          <cell r="C285" t="str">
            <v>스페이서설치</v>
          </cell>
          <cell r="E285">
            <v>78511</v>
          </cell>
          <cell r="F285" t="str">
            <v>M2</v>
          </cell>
          <cell r="G285">
            <v>650</v>
          </cell>
          <cell r="H285">
            <v>51032150</v>
          </cell>
        </row>
        <row r="286">
          <cell r="B286" t="str">
            <v>13)</v>
          </cell>
          <cell r="C286" t="str">
            <v>콘크리트타설</v>
          </cell>
          <cell r="H286">
            <v>0</v>
          </cell>
        </row>
        <row r="287">
          <cell r="B287" t="str">
            <v>가.</v>
          </cell>
          <cell r="C287" t="str">
            <v>콘크리트타설</v>
          </cell>
          <cell r="D287" t="str">
            <v>(펌프카타설,0~15m)</v>
          </cell>
          <cell r="E287">
            <v>55259</v>
          </cell>
          <cell r="F287" t="str">
            <v>M3</v>
          </cell>
          <cell r="G287">
            <v>9000</v>
          </cell>
          <cell r="H287">
            <v>497331000</v>
          </cell>
        </row>
        <row r="288">
          <cell r="B288" t="str">
            <v>나.</v>
          </cell>
          <cell r="C288" t="str">
            <v>콘크리트타설</v>
          </cell>
          <cell r="D288" t="str">
            <v>(펌프카타설,15M이상)</v>
          </cell>
          <cell r="E288">
            <v>1514</v>
          </cell>
          <cell r="F288" t="str">
            <v>M3</v>
          </cell>
          <cell r="G288">
            <v>12500</v>
          </cell>
          <cell r="H288">
            <v>18925000</v>
          </cell>
        </row>
        <row r="289">
          <cell r="B289" t="str">
            <v>다.</v>
          </cell>
          <cell r="C289" t="str">
            <v>콘크리트타설</v>
          </cell>
          <cell r="D289" t="str">
            <v>(무근,진동기제외)</v>
          </cell>
          <cell r="E289">
            <v>3585</v>
          </cell>
          <cell r="F289" t="str">
            <v>M3</v>
          </cell>
          <cell r="G289">
            <v>17000</v>
          </cell>
          <cell r="H289">
            <v>60945000</v>
          </cell>
        </row>
        <row r="290">
          <cell r="B290" t="str">
            <v>14)</v>
          </cell>
          <cell r="C290" t="str">
            <v>슬래브양생</v>
          </cell>
          <cell r="E290">
            <v>30486</v>
          </cell>
          <cell r="F290" t="str">
            <v>M2</v>
          </cell>
          <cell r="G290">
            <v>150</v>
          </cell>
          <cell r="H290">
            <v>4572900</v>
          </cell>
        </row>
        <row r="291">
          <cell r="B291" t="str">
            <v>15)</v>
          </cell>
          <cell r="C291" t="str">
            <v>데크휘니샤면고르기</v>
          </cell>
          <cell r="E291">
            <v>30266</v>
          </cell>
          <cell r="F291" t="str">
            <v>M2</v>
          </cell>
          <cell r="G291">
            <v>300</v>
          </cell>
          <cell r="H291">
            <v>9079800</v>
          </cell>
        </row>
        <row r="292">
          <cell r="B292" t="str">
            <v>16)</v>
          </cell>
          <cell r="C292" t="str">
            <v>교면방수</v>
          </cell>
          <cell r="D292" t="str">
            <v>(침투식)</v>
          </cell>
          <cell r="E292">
            <v>30266</v>
          </cell>
          <cell r="F292" t="str">
            <v>M2</v>
          </cell>
          <cell r="G292">
            <v>2500</v>
          </cell>
          <cell r="H292">
            <v>75665000</v>
          </cell>
        </row>
        <row r="293">
          <cell r="B293" t="str">
            <v>17)</v>
          </cell>
          <cell r="C293" t="str">
            <v>교좌장치</v>
          </cell>
          <cell r="H293">
            <v>0</v>
          </cell>
        </row>
        <row r="294">
          <cell r="B294" t="str">
            <v>가.</v>
          </cell>
          <cell r="C294" t="str">
            <v>교좌장치</v>
          </cell>
          <cell r="D294" t="str">
            <v>(일방향)75TON</v>
          </cell>
          <cell r="E294">
            <v>8</v>
          </cell>
          <cell r="F294" t="str">
            <v>EA</v>
          </cell>
          <cell r="G294">
            <v>1220000</v>
          </cell>
          <cell r="H294">
            <v>9760000</v>
          </cell>
        </row>
        <row r="295">
          <cell r="B295" t="str">
            <v>나.</v>
          </cell>
          <cell r="C295" t="str">
            <v>교좌장치</v>
          </cell>
          <cell r="D295" t="str">
            <v>(양방향)75TON</v>
          </cell>
          <cell r="E295">
            <v>41</v>
          </cell>
          <cell r="F295" t="str">
            <v>EA</v>
          </cell>
          <cell r="G295">
            <v>920000</v>
          </cell>
          <cell r="H295">
            <v>37720000</v>
          </cell>
        </row>
        <row r="296">
          <cell r="B296" t="str">
            <v>다.</v>
          </cell>
          <cell r="C296" t="str">
            <v>교좌장치</v>
          </cell>
          <cell r="D296" t="str">
            <v>(일방향)100TON</v>
          </cell>
          <cell r="E296">
            <v>8</v>
          </cell>
          <cell r="F296" t="str">
            <v>EA</v>
          </cell>
          <cell r="G296">
            <v>1310000</v>
          </cell>
          <cell r="H296">
            <v>10480000</v>
          </cell>
        </row>
        <row r="297">
          <cell r="B297" t="str">
            <v>라.</v>
          </cell>
          <cell r="C297" t="str">
            <v>교좌장치</v>
          </cell>
          <cell r="D297" t="str">
            <v>(양방향)100TON</v>
          </cell>
          <cell r="E297">
            <v>32</v>
          </cell>
          <cell r="F297" t="str">
            <v>EA</v>
          </cell>
          <cell r="G297">
            <v>1080000</v>
          </cell>
          <cell r="H297">
            <v>34560000</v>
          </cell>
        </row>
        <row r="298">
          <cell r="B298" t="str">
            <v>마.</v>
          </cell>
          <cell r="C298" t="str">
            <v>교좌장치</v>
          </cell>
          <cell r="D298" t="str">
            <v>(일방향,130TON)</v>
          </cell>
          <cell r="E298">
            <v>2</v>
          </cell>
          <cell r="F298" t="str">
            <v>EA</v>
          </cell>
          <cell r="G298">
            <v>920000</v>
          </cell>
          <cell r="H298">
            <v>1840000</v>
          </cell>
        </row>
        <row r="299">
          <cell r="B299" t="str">
            <v>바.</v>
          </cell>
          <cell r="C299" t="str">
            <v>교좌장치</v>
          </cell>
          <cell r="D299" t="str">
            <v>(양방향,130TON)</v>
          </cell>
          <cell r="E299">
            <v>6</v>
          </cell>
          <cell r="F299" t="str">
            <v>EA</v>
          </cell>
          <cell r="G299">
            <v>630000</v>
          </cell>
          <cell r="H299">
            <v>3780000</v>
          </cell>
        </row>
        <row r="300">
          <cell r="B300" t="str">
            <v>사.</v>
          </cell>
          <cell r="C300" t="str">
            <v>교좌장치</v>
          </cell>
          <cell r="D300" t="str">
            <v>(고정단,135TON)</v>
          </cell>
          <cell r="E300">
            <v>55</v>
          </cell>
          <cell r="F300" t="str">
            <v>EA</v>
          </cell>
          <cell r="G300">
            <v>1560000</v>
          </cell>
          <cell r="H300">
            <v>85800000</v>
          </cell>
        </row>
        <row r="301">
          <cell r="B301" t="str">
            <v>아.</v>
          </cell>
          <cell r="C301" t="str">
            <v>교좌장치</v>
          </cell>
          <cell r="D301" t="str">
            <v>(일방향)135TON</v>
          </cell>
          <cell r="E301">
            <v>55</v>
          </cell>
          <cell r="F301" t="str">
            <v>EA</v>
          </cell>
          <cell r="G301">
            <v>1540000</v>
          </cell>
          <cell r="H301">
            <v>84700000</v>
          </cell>
        </row>
        <row r="302">
          <cell r="B302" t="str">
            <v>자.</v>
          </cell>
          <cell r="C302" t="str">
            <v>교좌장치</v>
          </cell>
          <cell r="D302" t="str">
            <v>(횡방향)135TON</v>
          </cell>
          <cell r="E302">
            <v>226</v>
          </cell>
          <cell r="F302" t="str">
            <v>EA</v>
          </cell>
          <cell r="G302">
            <v>1540000</v>
          </cell>
          <cell r="H302">
            <v>348040000</v>
          </cell>
        </row>
        <row r="303">
          <cell r="B303" t="str">
            <v>차.</v>
          </cell>
          <cell r="C303" t="str">
            <v>교좌장치</v>
          </cell>
          <cell r="D303" t="str">
            <v>(양방향)135TON</v>
          </cell>
          <cell r="E303">
            <v>218</v>
          </cell>
          <cell r="F303" t="str">
            <v>EA</v>
          </cell>
          <cell r="G303">
            <v>1300000</v>
          </cell>
          <cell r="H303">
            <v>283400000</v>
          </cell>
        </row>
        <row r="304">
          <cell r="B304" t="str">
            <v>카.</v>
          </cell>
          <cell r="C304" t="str">
            <v>교좌장치</v>
          </cell>
          <cell r="D304" t="str">
            <v>(일방향)160TON</v>
          </cell>
          <cell r="E304">
            <v>8</v>
          </cell>
          <cell r="F304" t="str">
            <v>EA</v>
          </cell>
          <cell r="G304">
            <v>1020000</v>
          </cell>
          <cell r="H304">
            <v>8160000</v>
          </cell>
        </row>
        <row r="305">
          <cell r="B305" t="str">
            <v>타.</v>
          </cell>
          <cell r="C305" t="str">
            <v>교좌장치</v>
          </cell>
          <cell r="D305" t="str">
            <v>(양방향)160TON</v>
          </cell>
          <cell r="E305">
            <v>24</v>
          </cell>
          <cell r="F305" t="str">
            <v>EA</v>
          </cell>
          <cell r="G305">
            <v>690000</v>
          </cell>
          <cell r="H305">
            <v>16560000</v>
          </cell>
        </row>
        <row r="306">
          <cell r="B306" t="str">
            <v>파.</v>
          </cell>
          <cell r="C306" t="str">
            <v>교좌장치</v>
          </cell>
          <cell r="D306" t="str">
            <v>(고정단)175TON</v>
          </cell>
          <cell r="E306">
            <v>6</v>
          </cell>
          <cell r="F306" t="str">
            <v>EA</v>
          </cell>
          <cell r="G306">
            <v>1950000</v>
          </cell>
          <cell r="H306">
            <v>11700000</v>
          </cell>
        </row>
        <row r="307">
          <cell r="B307" t="str">
            <v>하.</v>
          </cell>
          <cell r="C307" t="str">
            <v>교좌장치</v>
          </cell>
          <cell r="D307" t="str">
            <v>(일방향)175TON</v>
          </cell>
          <cell r="E307">
            <v>6</v>
          </cell>
          <cell r="F307" t="str">
            <v>EA</v>
          </cell>
          <cell r="G307">
            <v>1930000</v>
          </cell>
          <cell r="H307">
            <v>11580000</v>
          </cell>
        </row>
        <row r="308">
          <cell r="B308" t="str">
            <v>거.</v>
          </cell>
          <cell r="C308" t="str">
            <v>교좌장치</v>
          </cell>
          <cell r="D308" t="str">
            <v>(횡방향)175TON</v>
          </cell>
          <cell r="E308">
            <v>24</v>
          </cell>
          <cell r="F308" t="str">
            <v>EA</v>
          </cell>
          <cell r="G308">
            <v>2000000</v>
          </cell>
          <cell r="H308">
            <v>48000000</v>
          </cell>
        </row>
        <row r="309">
          <cell r="B309" t="str">
            <v>너.</v>
          </cell>
          <cell r="C309" t="str">
            <v>교좌장치</v>
          </cell>
          <cell r="D309" t="str">
            <v>(양방향)175TON</v>
          </cell>
          <cell r="E309">
            <v>24</v>
          </cell>
          <cell r="F309" t="str">
            <v>EA</v>
          </cell>
          <cell r="G309">
            <v>1710000</v>
          </cell>
          <cell r="H309">
            <v>41040000</v>
          </cell>
        </row>
        <row r="310">
          <cell r="B310" t="str">
            <v>더.</v>
          </cell>
          <cell r="C310" t="str">
            <v>교좌장치</v>
          </cell>
          <cell r="D310" t="str">
            <v>(고정단)225TON</v>
          </cell>
          <cell r="E310">
            <v>4</v>
          </cell>
          <cell r="F310" t="str">
            <v>EA</v>
          </cell>
          <cell r="G310">
            <v>2380000</v>
          </cell>
          <cell r="H310">
            <v>9520000</v>
          </cell>
        </row>
        <row r="311">
          <cell r="B311" t="str">
            <v>러.</v>
          </cell>
          <cell r="C311" t="str">
            <v>교좌장치</v>
          </cell>
          <cell r="D311" t="str">
            <v>(일방향)225TON</v>
          </cell>
          <cell r="E311">
            <v>4</v>
          </cell>
          <cell r="F311" t="str">
            <v>EA</v>
          </cell>
          <cell r="G311">
            <v>2360000</v>
          </cell>
          <cell r="H311">
            <v>9440000</v>
          </cell>
        </row>
        <row r="312">
          <cell r="B312" t="str">
            <v>머.</v>
          </cell>
          <cell r="C312" t="str">
            <v>교좌장치</v>
          </cell>
          <cell r="D312" t="str">
            <v>(횡방향)225TON</v>
          </cell>
          <cell r="E312">
            <v>16</v>
          </cell>
          <cell r="F312" t="str">
            <v>EA</v>
          </cell>
          <cell r="G312">
            <v>2380000</v>
          </cell>
          <cell r="H312">
            <v>38080000</v>
          </cell>
        </row>
        <row r="313">
          <cell r="B313" t="str">
            <v>버.</v>
          </cell>
          <cell r="C313" t="str">
            <v>교좌장치</v>
          </cell>
          <cell r="D313" t="str">
            <v>(양방향)225TON</v>
          </cell>
          <cell r="E313">
            <v>16</v>
          </cell>
          <cell r="F313" t="str">
            <v>EA</v>
          </cell>
          <cell r="G313">
            <v>2100000</v>
          </cell>
          <cell r="H313">
            <v>33600000</v>
          </cell>
        </row>
        <row r="314">
          <cell r="B314" t="str">
            <v>서.</v>
          </cell>
          <cell r="C314" t="str">
            <v>교좌장치</v>
          </cell>
          <cell r="D314" t="str">
            <v>(고정단)350TON</v>
          </cell>
          <cell r="E314">
            <v>4</v>
          </cell>
          <cell r="F314" t="str">
            <v>EA</v>
          </cell>
          <cell r="G314">
            <v>850000</v>
          </cell>
          <cell r="H314">
            <v>3400000</v>
          </cell>
        </row>
        <row r="315">
          <cell r="B315" t="str">
            <v>어.</v>
          </cell>
          <cell r="C315" t="str">
            <v>교좌장치</v>
          </cell>
          <cell r="D315" t="str">
            <v>(일방향)350TON</v>
          </cell>
          <cell r="E315">
            <v>16</v>
          </cell>
          <cell r="F315" t="str">
            <v>EA</v>
          </cell>
          <cell r="G315">
            <v>1500000</v>
          </cell>
          <cell r="H315">
            <v>24000000</v>
          </cell>
        </row>
        <row r="316">
          <cell r="B316" t="str">
            <v>저.</v>
          </cell>
          <cell r="C316" t="str">
            <v>교좌장치</v>
          </cell>
          <cell r="D316" t="str">
            <v>(양방향)350TON</v>
          </cell>
          <cell r="E316">
            <v>12</v>
          </cell>
          <cell r="F316" t="str">
            <v>EA</v>
          </cell>
          <cell r="G316">
            <v>1060000</v>
          </cell>
          <cell r="H316">
            <v>12720000</v>
          </cell>
        </row>
        <row r="317">
          <cell r="B317" t="str">
            <v>처.</v>
          </cell>
          <cell r="C317" t="str">
            <v>교좌장치</v>
          </cell>
          <cell r="D317" t="str">
            <v>(고정단,600TON)</v>
          </cell>
          <cell r="E317">
            <v>1</v>
          </cell>
          <cell r="F317" t="str">
            <v>SET</v>
          </cell>
          <cell r="G317">
            <v>1560000</v>
          </cell>
          <cell r="H317">
            <v>1560000</v>
          </cell>
        </row>
        <row r="318">
          <cell r="B318" t="str">
            <v>커.</v>
          </cell>
          <cell r="C318" t="str">
            <v>교좌장치</v>
          </cell>
          <cell r="D318" t="str">
            <v>(일방향,600TON)</v>
          </cell>
          <cell r="E318">
            <v>4</v>
          </cell>
          <cell r="F318" t="str">
            <v>SET</v>
          </cell>
          <cell r="G318">
            <v>2460000</v>
          </cell>
          <cell r="H318">
            <v>9840000</v>
          </cell>
        </row>
        <row r="319">
          <cell r="B319" t="str">
            <v>터.</v>
          </cell>
          <cell r="C319" t="str">
            <v>교좌장치</v>
          </cell>
          <cell r="D319" t="str">
            <v>(양방향,600TON)</v>
          </cell>
          <cell r="E319">
            <v>3</v>
          </cell>
          <cell r="F319" t="str">
            <v>SET</v>
          </cell>
          <cell r="G319">
            <v>1910000</v>
          </cell>
          <cell r="H319">
            <v>5730000</v>
          </cell>
        </row>
        <row r="320">
          <cell r="B320" t="str">
            <v>18)</v>
          </cell>
          <cell r="C320" t="str">
            <v>신축이음장치</v>
          </cell>
          <cell r="H320">
            <v>0</v>
          </cell>
        </row>
        <row r="321">
          <cell r="B321" t="str">
            <v>가.</v>
          </cell>
          <cell r="C321" t="str">
            <v>신축이음장치</v>
          </cell>
          <cell r="D321" t="str">
            <v>(NO. 50)</v>
          </cell>
          <cell r="E321">
            <v>258</v>
          </cell>
          <cell r="F321" t="str">
            <v>M</v>
          </cell>
          <cell r="G321">
            <v>200000</v>
          </cell>
          <cell r="H321">
            <v>51600000</v>
          </cell>
        </row>
        <row r="322">
          <cell r="B322" t="str">
            <v>나.</v>
          </cell>
          <cell r="C322" t="str">
            <v>신축이음장치</v>
          </cell>
          <cell r="D322" t="str">
            <v>(NO. 80)</v>
          </cell>
          <cell r="E322">
            <v>72</v>
          </cell>
          <cell r="F322" t="str">
            <v>M</v>
          </cell>
          <cell r="G322">
            <v>320000</v>
          </cell>
          <cell r="H322">
            <v>23040000</v>
          </cell>
        </row>
        <row r="323">
          <cell r="B323" t="str">
            <v>다.</v>
          </cell>
          <cell r="C323" t="str">
            <v>신축이음장치</v>
          </cell>
          <cell r="D323" t="str">
            <v>(NO80,WSF)</v>
          </cell>
          <cell r="E323">
            <v>177</v>
          </cell>
          <cell r="F323" t="str">
            <v>M</v>
          </cell>
          <cell r="G323">
            <v>480000</v>
          </cell>
          <cell r="H323">
            <v>84960000</v>
          </cell>
        </row>
        <row r="324">
          <cell r="B324" t="str">
            <v>라.</v>
          </cell>
          <cell r="C324" t="str">
            <v>신축이음장치</v>
          </cell>
          <cell r="D324" t="str">
            <v>(NO100,WSF)</v>
          </cell>
          <cell r="E324">
            <v>257</v>
          </cell>
          <cell r="F324" t="str">
            <v>M</v>
          </cell>
          <cell r="G324">
            <v>560000</v>
          </cell>
          <cell r="H324">
            <v>143920000</v>
          </cell>
        </row>
        <row r="325">
          <cell r="B325" t="str">
            <v>마.</v>
          </cell>
          <cell r="C325" t="str">
            <v>신축이음장치</v>
          </cell>
          <cell r="D325" t="str">
            <v>(NO160,WSF)</v>
          </cell>
          <cell r="E325">
            <v>79</v>
          </cell>
          <cell r="F325" t="str">
            <v>M</v>
          </cell>
          <cell r="G325">
            <v>1850000</v>
          </cell>
          <cell r="H325">
            <v>146150000</v>
          </cell>
        </row>
        <row r="326">
          <cell r="B326" t="str">
            <v>19)</v>
          </cell>
          <cell r="C326" t="str">
            <v>다웰바설치</v>
          </cell>
          <cell r="D326" t="str">
            <v>(φ 25x600)</v>
          </cell>
          <cell r="E326">
            <v>44</v>
          </cell>
          <cell r="F326" t="str">
            <v>EA</v>
          </cell>
          <cell r="G326">
            <v>3500</v>
          </cell>
          <cell r="H326">
            <v>154000</v>
          </cell>
        </row>
        <row r="327">
          <cell r="B327" t="str">
            <v>20)</v>
          </cell>
          <cell r="C327" t="str">
            <v>타르지</v>
          </cell>
          <cell r="E327">
            <v>5</v>
          </cell>
          <cell r="F327" t="str">
            <v>M2</v>
          </cell>
          <cell r="G327">
            <v>34000</v>
          </cell>
          <cell r="H327">
            <v>170000</v>
          </cell>
        </row>
        <row r="328">
          <cell r="B328" t="str">
            <v>21)</v>
          </cell>
          <cell r="C328" t="str">
            <v>무수축콘크리트공</v>
          </cell>
          <cell r="H328">
            <v>0</v>
          </cell>
        </row>
        <row r="329">
          <cell r="B329" t="str">
            <v>가.</v>
          </cell>
          <cell r="C329" t="str">
            <v>무수축 콘크리트</v>
          </cell>
          <cell r="E329">
            <v>101</v>
          </cell>
          <cell r="F329" t="str">
            <v>M3</v>
          </cell>
          <cell r="G329">
            <v>140000</v>
          </cell>
          <cell r="H329">
            <v>14140000</v>
          </cell>
        </row>
        <row r="330">
          <cell r="B330" t="str">
            <v>나.</v>
          </cell>
          <cell r="C330" t="str">
            <v>무수축 몰탈</v>
          </cell>
          <cell r="D330" t="str">
            <v>(1:1)</v>
          </cell>
          <cell r="E330">
            <v>37</v>
          </cell>
          <cell r="F330" t="str">
            <v>M3</v>
          </cell>
          <cell r="G330">
            <v>56000</v>
          </cell>
          <cell r="H330">
            <v>2072000</v>
          </cell>
        </row>
        <row r="331">
          <cell r="B331" t="str">
            <v>22)</v>
          </cell>
          <cell r="C331" t="str">
            <v>몰 탈</v>
          </cell>
          <cell r="D331" t="str">
            <v>(1:3)</v>
          </cell>
          <cell r="E331">
            <v>150</v>
          </cell>
          <cell r="F331" t="str">
            <v>M3</v>
          </cell>
          <cell r="G331">
            <v>34000</v>
          </cell>
          <cell r="H331">
            <v>5100000</v>
          </cell>
        </row>
        <row r="332">
          <cell r="B332" t="str">
            <v>23)</v>
          </cell>
          <cell r="C332" t="str">
            <v>교량배수공</v>
          </cell>
          <cell r="H332">
            <v>0</v>
          </cell>
        </row>
        <row r="333">
          <cell r="B333" t="str">
            <v>가.</v>
          </cell>
          <cell r="C333" t="str">
            <v>하천용</v>
          </cell>
          <cell r="H333">
            <v>0</v>
          </cell>
        </row>
        <row r="334">
          <cell r="B334" t="str">
            <v>a.</v>
          </cell>
          <cell r="C334" t="str">
            <v>배수시설집수구</v>
          </cell>
          <cell r="D334" t="str">
            <v>(주철)</v>
          </cell>
          <cell r="E334">
            <v>129</v>
          </cell>
          <cell r="F334" t="str">
            <v>EA</v>
          </cell>
          <cell r="G334">
            <v>30000</v>
          </cell>
          <cell r="H334">
            <v>3870000</v>
          </cell>
        </row>
        <row r="335">
          <cell r="B335" t="str">
            <v>b.</v>
          </cell>
          <cell r="C335" t="str">
            <v>아연도강관</v>
          </cell>
          <cell r="D335" t="str">
            <v>(R=165.2x4.85)</v>
          </cell>
          <cell r="E335">
            <v>352</v>
          </cell>
          <cell r="F335" t="str">
            <v>M</v>
          </cell>
          <cell r="G335">
            <v>8500</v>
          </cell>
          <cell r="H335">
            <v>2992000</v>
          </cell>
        </row>
        <row r="336">
          <cell r="B336" t="str">
            <v>나.</v>
          </cell>
          <cell r="C336" t="str">
            <v>육교용</v>
          </cell>
          <cell r="H336">
            <v>0</v>
          </cell>
        </row>
        <row r="337">
          <cell r="B337" t="str">
            <v>a.</v>
          </cell>
          <cell r="C337" t="str">
            <v>육교용 집수구</v>
          </cell>
          <cell r="D337" t="str">
            <v>(주철)</v>
          </cell>
          <cell r="E337">
            <v>50</v>
          </cell>
          <cell r="F337" t="str">
            <v>EA</v>
          </cell>
          <cell r="G337">
            <v>64000</v>
          </cell>
          <cell r="H337">
            <v>3200000</v>
          </cell>
        </row>
        <row r="338">
          <cell r="B338" t="str">
            <v>b.</v>
          </cell>
          <cell r="C338" t="str">
            <v>육교용연결집수거</v>
          </cell>
          <cell r="D338" t="str">
            <v>(스텐레스)</v>
          </cell>
          <cell r="E338">
            <v>50</v>
          </cell>
          <cell r="F338" t="str">
            <v>EA</v>
          </cell>
          <cell r="G338">
            <v>110000</v>
          </cell>
          <cell r="H338">
            <v>5500000</v>
          </cell>
        </row>
        <row r="339">
          <cell r="B339" t="str">
            <v>c.</v>
          </cell>
          <cell r="C339" t="str">
            <v>육교용 직관</v>
          </cell>
          <cell r="D339" t="str">
            <v>(□150)</v>
          </cell>
          <cell r="E339">
            <v>408</v>
          </cell>
          <cell r="F339" t="str">
            <v>M</v>
          </cell>
          <cell r="G339">
            <v>75000</v>
          </cell>
          <cell r="H339">
            <v>30600000</v>
          </cell>
        </row>
        <row r="340">
          <cell r="B340" t="str">
            <v>d.</v>
          </cell>
          <cell r="C340" t="str">
            <v>육교용 곡관</v>
          </cell>
          <cell r="E340">
            <v>74</v>
          </cell>
          <cell r="F340" t="str">
            <v>EA</v>
          </cell>
          <cell r="G340">
            <v>29000</v>
          </cell>
          <cell r="H340">
            <v>2146000</v>
          </cell>
        </row>
        <row r="341">
          <cell r="B341" t="str">
            <v>e.</v>
          </cell>
          <cell r="C341" t="str">
            <v>육교용 연결부</v>
          </cell>
          <cell r="D341" t="str">
            <v>(스텐레스)</v>
          </cell>
          <cell r="E341">
            <v>210</v>
          </cell>
          <cell r="F341" t="str">
            <v>EA</v>
          </cell>
          <cell r="G341">
            <v>16000</v>
          </cell>
          <cell r="H341">
            <v>3360000</v>
          </cell>
        </row>
        <row r="342">
          <cell r="B342" t="str">
            <v>24)</v>
          </cell>
          <cell r="C342" t="str">
            <v>교량명판공</v>
          </cell>
          <cell r="H342">
            <v>0</v>
          </cell>
        </row>
        <row r="343">
          <cell r="B343" t="str">
            <v>가.</v>
          </cell>
          <cell r="C343" t="str">
            <v>교명주</v>
          </cell>
          <cell r="D343" t="str">
            <v>(화강석)</v>
          </cell>
          <cell r="E343">
            <v>58</v>
          </cell>
          <cell r="F343" t="str">
            <v>EA</v>
          </cell>
          <cell r="G343">
            <v>1170000</v>
          </cell>
          <cell r="H343">
            <v>67860000</v>
          </cell>
        </row>
        <row r="344">
          <cell r="B344" t="str">
            <v>나.</v>
          </cell>
          <cell r="C344" t="str">
            <v>교명판</v>
          </cell>
          <cell r="D344" t="str">
            <v>(450x200x10)</v>
          </cell>
          <cell r="E344">
            <v>29</v>
          </cell>
          <cell r="F344" t="str">
            <v>EA</v>
          </cell>
          <cell r="G344">
            <v>41000</v>
          </cell>
          <cell r="H344">
            <v>1189000</v>
          </cell>
        </row>
        <row r="345">
          <cell r="B345" t="str">
            <v>다.</v>
          </cell>
          <cell r="C345" t="str">
            <v>설명판</v>
          </cell>
          <cell r="D345" t="str">
            <v>(350x250x10)</v>
          </cell>
          <cell r="E345">
            <v>29</v>
          </cell>
          <cell r="F345" t="str">
            <v>EA</v>
          </cell>
          <cell r="G345">
            <v>40000</v>
          </cell>
          <cell r="H345">
            <v>1160000</v>
          </cell>
        </row>
        <row r="346">
          <cell r="B346" t="str">
            <v>25)</v>
          </cell>
          <cell r="C346" t="str">
            <v>교각및교대보호공</v>
          </cell>
          <cell r="H346">
            <v>0</v>
          </cell>
        </row>
        <row r="347">
          <cell r="B347" t="str">
            <v>가.</v>
          </cell>
          <cell r="C347" t="str">
            <v>쇄굴방지용사석채움</v>
          </cell>
          <cell r="D347" t="str">
            <v>(60KG)</v>
          </cell>
          <cell r="E347">
            <v>8350</v>
          </cell>
          <cell r="F347" t="str">
            <v>M3</v>
          </cell>
          <cell r="G347">
            <v>21000</v>
          </cell>
          <cell r="H347">
            <v>175350000</v>
          </cell>
        </row>
        <row r="348">
          <cell r="B348" t="str">
            <v>나.</v>
          </cell>
          <cell r="C348" t="str">
            <v>교대보호블럭</v>
          </cell>
          <cell r="D348" t="str">
            <v>(육교용)</v>
          </cell>
          <cell r="E348">
            <v>4674</v>
          </cell>
          <cell r="F348" t="str">
            <v>M2</v>
          </cell>
          <cell r="G348">
            <v>21000</v>
          </cell>
          <cell r="H348">
            <v>98154000</v>
          </cell>
        </row>
        <row r="349">
          <cell r="B349" t="str">
            <v>다.</v>
          </cell>
          <cell r="C349" t="str">
            <v>교대보호블럭</v>
          </cell>
          <cell r="D349" t="str">
            <v>(하천용)</v>
          </cell>
          <cell r="E349">
            <v>1382</v>
          </cell>
          <cell r="F349" t="str">
            <v>M2</v>
          </cell>
          <cell r="G349">
            <v>24000</v>
          </cell>
          <cell r="H349">
            <v>33168000</v>
          </cell>
        </row>
        <row r="350">
          <cell r="B350" t="str">
            <v>26)</v>
          </cell>
          <cell r="C350" t="str">
            <v>T.B.M 설치</v>
          </cell>
          <cell r="E350">
            <v>22</v>
          </cell>
          <cell r="F350" t="str">
            <v>EA</v>
          </cell>
          <cell r="G350">
            <v>24000</v>
          </cell>
          <cell r="H350">
            <v>528000</v>
          </cell>
        </row>
        <row r="351">
          <cell r="B351" t="str">
            <v>27)</v>
          </cell>
          <cell r="C351" t="str">
            <v>잡석 채움</v>
          </cell>
          <cell r="E351">
            <v>28</v>
          </cell>
          <cell r="F351" t="str">
            <v>M3</v>
          </cell>
          <cell r="G351">
            <v>30000</v>
          </cell>
          <cell r="H351">
            <v>840000</v>
          </cell>
        </row>
        <row r="352">
          <cell r="B352" t="str">
            <v>28)</v>
          </cell>
          <cell r="C352" t="str">
            <v>부직포설치</v>
          </cell>
          <cell r="E352">
            <v>126</v>
          </cell>
          <cell r="F352" t="str">
            <v>M2</v>
          </cell>
          <cell r="G352">
            <v>2100</v>
          </cell>
          <cell r="H352">
            <v>264600</v>
          </cell>
        </row>
        <row r="353">
          <cell r="B353" t="str">
            <v>29)</v>
          </cell>
          <cell r="C353" t="str">
            <v>전선관설치</v>
          </cell>
          <cell r="H353">
            <v>0</v>
          </cell>
        </row>
        <row r="354">
          <cell r="B354" t="str">
            <v>가.</v>
          </cell>
          <cell r="C354" t="str">
            <v>전선관</v>
          </cell>
          <cell r="D354" t="str">
            <v>(강관φ150M/M)</v>
          </cell>
          <cell r="E354">
            <v>3974</v>
          </cell>
          <cell r="F354" t="str">
            <v>M</v>
          </cell>
          <cell r="G354">
            <v>9500</v>
          </cell>
          <cell r="H354">
            <v>37753000</v>
          </cell>
        </row>
        <row r="355">
          <cell r="B355" t="str">
            <v>나.</v>
          </cell>
          <cell r="C355" t="str">
            <v>전선관</v>
          </cell>
          <cell r="D355" t="str">
            <v>(ø=100 ㎜)</v>
          </cell>
          <cell r="E355">
            <v>326</v>
          </cell>
          <cell r="F355" t="str">
            <v>M</v>
          </cell>
          <cell r="G355">
            <v>2400</v>
          </cell>
          <cell r="H355">
            <v>782400</v>
          </cell>
        </row>
        <row r="356">
          <cell r="B356" t="str">
            <v>30)</v>
          </cell>
          <cell r="C356" t="str">
            <v>P.V.C PIPE</v>
          </cell>
          <cell r="D356" t="str">
            <v>(φ50M/M)</v>
          </cell>
          <cell r="E356">
            <v>544</v>
          </cell>
          <cell r="F356" t="str">
            <v>M</v>
          </cell>
          <cell r="G356">
            <v>950</v>
          </cell>
          <cell r="H356">
            <v>516800</v>
          </cell>
        </row>
        <row r="357">
          <cell r="B357" t="str">
            <v>31)</v>
          </cell>
          <cell r="C357" t="str">
            <v>P.V.C PIPE</v>
          </cell>
          <cell r="D357" t="str">
            <v>(φ 100M/M)</v>
          </cell>
          <cell r="E357">
            <v>128</v>
          </cell>
          <cell r="F357" t="str">
            <v>M</v>
          </cell>
          <cell r="G357">
            <v>2400</v>
          </cell>
          <cell r="H357">
            <v>307200</v>
          </cell>
        </row>
        <row r="358">
          <cell r="B358" t="str">
            <v>32)</v>
          </cell>
          <cell r="C358" t="str">
            <v>P.C BEAM교</v>
          </cell>
          <cell r="H358">
            <v>0</v>
          </cell>
        </row>
        <row r="359">
          <cell r="B359" t="str">
            <v>가.</v>
          </cell>
          <cell r="C359" t="str">
            <v>P.C빔 제작</v>
          </cell>
          <cell r="D359" t="str">
            <v>(L=30.00M)</v>
          </cell>
          <cell r="E359">
            <v>250</v>
          </cell>
          <cell r="F359" t="str">
            <v>본</v>
          </cell>
          <cell r="G359">
            <v>8000000</v>
          </cell>
          <cell r="H359">
            <v>2000000000</v>
          </cell>
        </row>
        <row r="360">
          <cell r="B360" t="str">
            <v>나.</v>
          </cell>
          <cell r="C360" t="str">
            <v>P.C빔 설치</v>
          </cell>
          <cell r="D360" t="str">
            <v>(L=30.00M)</v>
          </cell>
          <cell r="E360">
            <v>250</v>
          </cell>
          <cell r="F360" t="str">
            <v>본</v>
          </cell>
          <cell r="G360">
            <v>800000</v>
          </cell>
          <cell r="H360">
            <v>200000000</v>
          </cell>
        </row>
        <row r="361">
          <cell r="B361" t="str">
            <v>다.</v>
          </cell>
          <cell r="C361" t="str">
            <v>P.C BEAM 지지대</v>
          </cell>
          <cell r="E361">
            <v>1</v>
          </cell>
          <cell r="F361" t="str">
            <v>식</v>
          </cell>
          <cell r="G361">
            <v>3200000</v>
          </cell>
          <cell r="H361">
            <v>3200000</v>
          </cell>
        </row>
        <row r="362">
          <cell r="B362" t="str">
            <v>33)</v>
          </cell>
          <cell r="C362" t="str">
            <v>PRE-FLEX BEAM교</v>
          </cell>
          <cell r="H362">
            <v>0</v>
          </cell>
        </row>
        <row r="363">
          <cell r="B363" t="str">
            <v>가.</v>
          </cell>
          <cell r="C363" t="str">
            <v>PRE-FLEX BEAM제작</v>
          </cell>
          <cell r="H363">
            <v>0</v>
          </cell>
        </row>
        <row r="364">
          <cell r="B364" t="str">
            <v>a.</v>
          </cell>
          <cell r="C364" t="str">
            <v>PRE-FLEX BEAM 제작</v>
          </cell>
          <cell r="D364" t="str">
            <v>(L=30.00M,1.2M,근덕)</v>
          </cell>
          <cell r="E364">
            <v>6</v>
          </cell>
          <cell r="F364" t="str">
            <v>본</v>
          </cell>
          <cell r="G364">
            <v>26200000</v>
          </cell>
          <cell r="H364">
            <v>157200000</v>
          </cell>
        </row>
        <row r="365">
          <cell r="B365" t="str">
            <v>b.</v>
          </cell>
          <cell r="C365" t="str">
            <v>PRE-FLEX BEAM 제작</v>
          </cell>
          <cell r="D365" t="str">
            <v>(L=40.00M,1.5M,광태)</v>
          </cell>
          <cell r="E365">
            <v>10</v>
          </cell>
          <cell r="F365" t="str">
            <v>본</v>
          </cell>
          <cell r="G365">
            <v>40800000</v>
          </cell>
          <cell r="H365">
            <v>408000000</v>
          </cell>
        </row>
        <row r="366">
          <cell r="B366" t="str">
            <v>c.</v>
          </cell>
          <cell r="C366" t="str">
            <v>PRE-FLEX BEAM 제작</v>
          </cell>
          <cell r="D366" t="str">
            <v>(L=40.00M,1.5M,동2)</v>
          </cell>
          <cell r="E366">
            <v>10</v>
          </cell>
          <cell r="F366" t="str">
            <v>본</v>
          </cell>
          <cell r="G366">
            <v>41900000</v>
          </cell>
          <cell r="H366">
            <v>419000000</v>
          </cell>
        </row>
        <row r="367">
          <cell r="B367" t="str">
            <v>d.</v>
          </cell>
          <cell r="C367" t="str">
            <v>PRE-FLEX BEAM 제작</v>
          </cell>
          <cell r="D367" t="str">
            <v>(L=45.00M,1.7M,방2)</v>
          </cell>
          <cell r="E367">
            <v>10</v>
          </cell>
          <cell r="F367" t="str">
            <v>본</v>
          </cell>
          <cell r="G367">
            <v>52600000</v>
          </cell>
          <cell r="H367">
            <v>526000000</v>
          </cell>
        </row>
        <row r="368">
          <cell r="B368" t="str">
            <v>나.</v>
          </cell>
          <cell r="C368" t="str">
            <v>PRE-FLEX BEAM</v>
          </cell>
          <cell r="D368" t="str">
            <v>운반및가설</v>
          </cell>
          <cell r="H368">
            <v>0</v>
          </cell>
        </row>
        <row r="369">
          <cell r="B369" t="str">
            <v>a.</v>
          </cell>
          <cell r="C369" t="str">
            <v>P.F BEAM 운반및가설</v>
          </cell>
          <cell r="D369" t="str">
            <v>(L=30.00M,1.2M,근덕)</v>
          </cell>
          <cell r="E369">
            <v>6</v>
          </cell>
          <cell r="F369" t="str">
            <v>본</v>
          </cell>
          <cell r="G369">
            <v>7700000</v>
          </cell>
          <cell r="H369">
            <v>46200000</v>
          </cell>
        </row>
        <row r="370">
          <cell r="B370" t="str">
            <v>b.</v>
          </cell>
          <cell r="C370" t="str">
            <v>P.F BEAM 운반및가설</v>
          </cell>
          <cell r="D370" t="str">
            <v>(L=40.00M,1.5M,광태)</v>
          </cell>
          <cell r="E370">
            <v>10</v>
          </cell>
          <cell r="F370" t="str">
            <v>본</v>
          </cell>
          <cell r="G370">
            <v>12600000</v>
          </cell>
          <cell r="H370">
            <v>126000000</v>
          </cell>
        </row>
        <row r="371">
          <cell r="B371" t="str">
            <v>c.</v>
          </cell>
          <cell r="C371" t="str">
            <v>P.F BEAM 운반및가설</v>
          </cell>
          <cell r="D371" t="str">
            <v>(L=40.00M,1.5M,동2)</v>
          </cell>
          <cell r="E371">
            <v>10</v>
          </cell>
          <cell r="F371" t="str">
            <v>본</v>
          </cell>
          <cell r="G371">
            <v>13000000</v>
          </cell>
          <cell r="H371">
            <v>130000000</v>
          </cell>
        </row>
        <row r="372">
          <cell r="B372" t="str">
            <v>d.</v>
          </cell>
          <cell r="C372" t="str">
            <v>P.F BEAM 운반및가설</v>
          </cell>
          <cell r="D372" t="str">
            <v>(L=45.00M,1.7M,방2)</v>
          </cell>
          <cell r="E372">
            <v>10</v>
          </cell>
          <cell r="F372" t="str">
            <v>본</v>
          </cell>
          <cell r="G372">
            <v>16500000</v>
          </cell>
          <cell r="H372">
            <v>165000000</v>
          </cell>
        </row>
        <row r="373">
          <cell r="B373" t="str">
            <v>34)</v>
          </cell>
          <cell r="C373" t="str">
            <v>강교</v>
          </cell>
          <cell r="H373">
            <v>0</v>
          </cell>
        </row>
        <row r="374">
          <cell r="B374" t="str">
            <v>가.</v>
          </cell>
          <cell r="C374" t="str">
            <v>강교제작</v>
          </cell>
          <cell r="E374">
            <v>2884.598</v>
          </cell>
          <cell r="F374" t="str">
            <v>TON</v>
          </cell>
          <cell r="G374">
            <v>1400000</v>
          </cell>
          <cell r="H374">
            <v>4038437200</v>
          </cell>
        </row>
        <row r="375">
          <cell r="B375" t="str">
            <v>나.</v>
          </cell>
          <cell r="C375" t="str">
            <v>강교운반 및 가설</v>
          </cell>
          <cell r="E375">
            <v>2884.598</v>
          </cell>
          <cell r="F375" t="str">
            <v>TON</v>
          </cell>
          <cell r="G375">
            <v>200000</v>
          </cell>
          <cell r="H375">
            <v>576919600</v>
          </cell>
        </row>
        <row r="376">
          <cell r="B376" t="str">
            <v>35)</v>
          </cell>
          <cell r="C376" t="str">
            <v>강교도장</v>
          </cell>
          <cell r="H376">
            <v>0</v>
          </cell>
        </row>
        <row r="377">
          <cell r="B377" t="str">
            <v>가.</v>
          </cell>
          <cell r="C377" t="str">
            <v>강교내부도장</v>
          </cell>
          <cell r="D377" t="str">
            <v>(공장)</v>
          </cell>
          <cell r="E377">
            <v>27932</v>
          </cell>
          <cell r="F377" t="str">
            <v>M2</v>
          </cell>
          <cell r="G377">
            <v>10000</v>
          </cell>
          <cell r="H377">
            <v>279320000</v>
          </cell>
        </row>
        <row r="378">
          <cell r="B378" t="str">
            <v>나.</v>
          </cell>
          <cell r="C378" t="str">
            <v>강교외부도장</v>
          </cell>
          <cell r="D378" t="str">
            <v>(공장)</v>
          </cell>
          <cell r="E378">
            <v>17058</v>
          </cell>
          <cell r="F378" t="str">
            <v>M2</v>
          </cell>
          <cell r="G378">
            <v>9000</v>
          </cell>
          <cell r="H378">
            <v>153522000</v>
          </cell>
        </row>
        <row r="379">
          <cell r="B379" t="str">
            <v>다.</v>
          </cell>
          <cell r="C379" t="str">
            <v>강교외부포장면도장</v>
          </cell>
          <cell r="D379" t="str">
            <v>공장</v>
          </cell>
          <cell r="E379">
            <v>4513</v>
          </cell>
          <cell r="F379" t="str">
            <v>M2</v>
          </cell>
          <cell r="G379">
            <v>9000</v>
          </cell>
          <cell r="H379">
            <v>40617000</v>
          </cell>
        </row>
        <row r="380">
          <cell r="B380" t="str">
            <v>라.</v>
          </cell>
          <cell r="C380" t="str">
            <v>강교SPLICER도장</v>
          </cell>
          <cell r="D380" t="str">
            <v>공장</v>
          </cell>
          <cell r="E380">
            <v>2630</v>
          </cell>
          <cell r="F380" t="str">
            <v>M2</v>
          </cell>
          <cell r="G380">
            <v>7200</v>
          </cell>
          <cell r="H380">
            <v>18936000</v>
          </cell>
        </row>
        <row r="381">
          <cell r="B381" t="str">
            <v>마.</v>
          </cell>
          <cell r="C381" t="str">
            <v>강교내부볼트및</v>
          </cell>
          <cell r="D381" t="str">
            <v>SPLICER도장</v>
          </cell>
          <cell r="E381">
            <v>590</v>
          </cell>
          <cell r="F381" t="str">
            <v>M2</v>
          </cell>
          <cell r="G381">
            <v>11000</v>
          </cell>
          <cell r="H381">
            <v>6490000</v>
          </cell>
        </row>
        <row r="382">
          <cell r="B382" t="str">
            <v>바.</v>
          </cell>
          <cell r="C382" t="str">
            <v>강교외부볼트및SPLICE</v>
          </cell>
          <cell r="D382" t="str">
            <v>도장 (현장)</v>
          </cell>
          <cell r="E382">
            <v>589</v>
          </cell>
          <cell r="F382" t="str">
            <v>M2</v>
          </cell>
          <cell r="G382">
            <v>10000</v>
          </cell>
          <cell r="H382">
            <v>5890000</v>
          </cell>
        </row>
        <row r="383">
          <cell r="B383" t="str">
            <v>36)</v>
          </cell>
          <cell r="C383" t="str">
            <v>교각용표지판</v>
          </cell>
          <cell r="D383" t="str">
            <v>교량유지관리용</v>
          </cell>
          <cell r="E383">
            <v>54</v>
          </cell>
          <cell r="F383" t="str">
            <v>개소</v>
          </cell>
          <cell r="G383">
            <v>15000</v>
          </cell>
          <cell r="H383">
            <v>810000</v>
          </cell>
        </row>
        <row r="384">
          <cell r="B384" t="str">
            <v>37)</v>
          </cell>
          <cell r="C384" t="str">
            <v>BOX GIRDER</v>
          </cell>
          <cell r="D384" t="str">
            <v>교량유지관리용</v>
          </cell>
          <cell r="E384">
            <v>58</v>
          </cell>
          <cell r="F384" t="str">
            <v>개소</v>
          </cell>
          <cell r="G384">
            <v>46000</v>
          </cell>
          <cell r="H384">
            <v>2668000</v>
          </cell>
        </row>
        <row r="385">
          <cell r="B385" t="str">
            <v>38)</v>
          </cell>
          <cell r="C385" t="str">
            <v>낙하물 방지공</v>
          </cell>
          <cell r="E385">
            <v>489</v>
          </cell>
          <cell r="F385" t="str">
            <v>M2</v>
          </cell>
          <cell r="G385">
            <v>3000</v>
          </cell>
          <cell r="H385">
            <v>1467000</v>
          </cell>
        </row>
        <row r="386">
          <cell r="B386" t="str">
            <v>39)</v>
          </cell>
          <cell r="C386" t="str">
            <v>난간</v>
          </cell>
          <cell r="D386" t="str">
            <v>(교량용)</v>
          </cell>
          <cell r="E386">
            <v>472</v>
          </cell>
          <cell r="F386" t="str">
            <v>M</v>
          </cell>
          <cell r="G386">
            <v>100000</v>
          </cell>
          <cell r="H386">
            <v>47200000</v>
          </cell>
        </row>
        <row r="387">
          <cell r="B387" t="str">
            <v>40)</v>
          </cell>
          <cell r="C387" t="str">
            <v>가도 및 축도</v>
          </cell>
          <cell r="E387">
            <v>1</v>
          </cell>
          <cell r="F387" t="str">
            <v>식</v>
          </cell>
          <cell r="G387">
            <v>450000000</v>
          </cell>
          <cell r="H387">
            <v>450000000</v>
          </cell>
        </row>
        <row r="388">
          <cell r="B388" t="str">
            <v>41)</v>
          </cell>
          <cell r="C388" t="str">
            <v>안전점검시설</v>
          </cell>
          <cell r="H388">
            <v>0</v>
          </cell>
        </row>
        <row r="389">
          <cell r="B389" t="str">
            <v>가.</v>
          </cell>
          <cell r="C389" t="str">
            <v>안전점검통로</v>
          </cell>
          <cell r="D389" t="str">
            <v>(P.C BEAM용)</v>
          </cell>
          <cell r="E389">
            <v>40</v>
          </cell>
          <cell r="F389" t="str">
            <v>개소</v>
          </cell>
          <cell r="G389">
            <v>8000000</v>
          </cell>
          <cell r="H389">
            <v>320000000</v>
          </cell>
        </row>
        <row r="390">
          <cell r="B390" t="str">
            <v>나.</v>
          </cell>
          <cell r="C390" t="str">
            <v>안전점검통로</v>
          </cell>
          <cell r="D390" t="str">
            <v>(STEEL 용)</v>
          </cell>
          <cell r="E390">
            <v>10</v>
          </cell>
          <cell r="F390" t="str">
            <v>개소</v>
          </cell>
          <cell r="G390">
            <v>8000000</v>
          </cell>
          <cell r="H390">
            <v>80000000</v>
          </cell>
        </row>
        <row r="391">
          <cell r="B391" t="str">
            <v>42)</v>
          </cell>
          <cell r="C391" t="str">
            <v>콘크리트생산</v>
          </cell>
          <cell r="H391">
            <v>0</v>
          </cell>
        </row>
        <row r="392">
          <cell r="B392" t="str">
            <v>가.</v>
          </cell>
          <cell r="C392" t="str">
            <v>콘크리트생산</v>
          </cell>
          <cell r="D392" t="str">
            <v>PC 19-400-15</v>
          </cell>
          <cell r="E392">
            <v>6479</v>
          </cell>
          <cell r="F392" t="str">
            <v>M3</v>
          </cell>
          <cell r="G392">
            <v>7500</v>
          </cell>
          <cell r="H392">
            <v>48592500</v>
          </cell>
        </row>
        <row r="393">
          <cell r="B393" t="str">
            <v>나.</v>
          </cell>
          <cell r="C393" t="str">
            <v>콘크리트생산</v>
          </cell>
          <cell r="D393" t="str">
            <v>25-270-15</v>
          </cell>
          <cell r="E393">
            <v>14750</v>
          </cell>
          <cell r="F393" t="str">
            <v>M3</v>
          </cell>
          <cell r="G393">
            <v>5000</v>
          </cell>
          <cell r="H393">
            <v>73750000</v>
          </cell>
        </row>
        <row r="394">
          <cell r="B394" t="str">
            <v>다.</v>
          </cell>
          <cell r="C394" t="str">
            <v>콘크리트생산</v>
          </cell>
          <cell r="D394" t="str">
            <v>32-240-15</v>
          </cell>
          <cell r="E394">
            <v>35543</v>
          </cell>
          <cell r="F394" t="str">
            <v>M3</v>
          </cell>
          <cell r="G394">
            <v>5000</v>
          </cell>
          <cell r="H394">
            <v>177715000</v>
          </cell>
        </row>
        <row r="395">
          <cell r="B395" t="str">
            <v>43)</v>
          </cell>
          <cell r="C395" t="str">
            <v>콘크리트운반</v>
          </cell>
          <cell r="D395" t="str">
            <v>(B/P-현장)</v>
          </cell>
          <cell r="E395">
            <v>57342</v>
          </cell>
          <cell r="F395" t="str">
            <v>M3</v>
          </cell>
          <cell r="G395">
            <v>3500</v>
          </cell>
          <cell r="H395">
            <v>200697000</v>
          </cell>
        </row>
        <row r="396">
          <cell r="B396" t="str">
            <v>3.2</v>
          </cell>
          <cell r="C396" t="str">
            <v>옹 벽 공</v>
          </cell>
          <cell r="H396">
            <v>0</v>
          </cell>
        </row>
        <row r="397">
          <cell r="B397" t="str">
            <v>1)</v>
          </cell>
          <cell r="C397" t="str">
            <v>구조물터파기</v>
          </cell>
          <cell r="H397">
            <v>0</v>
          </cell>
        </row>
        <row r="398">
          <cell r="B398" t="str">
            <v>가.</v>
          </cell>
          <cell r="C398" t="str">
            <v>구조물터파기</v>
          </cell>
          <cell r="D398" t="str">
            <v>(육상토사0∼4m)</v>
          </cell>
          <cell r="E398">
            <v>4197</v>
          </cell>
          <cell r="F398" t="str">
            <v>M3</v>
          </cell>
          <cell r="G398">
            <v>3200</v>
          </cell>
          <cell r="H398">
            <v>13430400</v>
          </cell>
        </row>
        <row r="399">
          <cell r="B399" t="str">
            <v>2)</v>
          </cell>
          <cell r="C399" t="str">
            <v>되메우기 및 다짐공</v>
          </cell>
          <cell r="D399" t="str">
            <v>(인력10％+기계90％)</v>
          </cell>
          <cell r="E399">
            <v>2642</v>
          </cell>
          <cell r="F399" t="str">
            <v>M3</v>
          </cell>
          <cell r="G399">
            <v>2000</v>
          </cell>
          <cell r="H399">
            <v>5284000</v>
          </cell>
        </row>
        <row r="400">
          <cell r="B400" t="str">
            <v>3)</v>
          </cell>
          <cell r="C400" t="str">
            <v>거푸집공</v>
          </cell>
          <cell r="H400">
            <v>0</v>
          </cell>
        </row>
        <row r="401">
          <cell r="B401" t="str">
            <v>가.</v>
          </cell>
          <cell r="C401" t="str">
            <v>합판거푸집</v>
          </cell>
          <cell r="D401" t="str">
            <v>(3회)</v>
          </cell>
          <cell r="E401">
            <v>5764</v>
          </cell>
          <cell r="F401" t="str">
            <v>M2</v>
          </cell>
          <cell r="G401">
            <v>17000</v>
          </cell>
          <cell r="H401">
            <v>97988000</v>
          </cell>
        </row>
        <row r="402">
          <cell r="B402" t="str">
            <v>나.</v>
          </cell>
          <cell r="C402" t="str">
            <v>합판거푸집</v>
          </cell>
          <cell r="D402" t="str">
            <v>(6회)</v>
          </cell>
          <cell r="E402">
            <v>106</v>
          </cell>
          <cell r="F402" t="str">
            <v>M2</v>
          </cell>
          <cell r="G402">
            <v>11900</v>
          </cell>
          <cell r="H402">
            <v>1261400</v>
          </cell>
        </row>
        <row r="403">
          <cell r="B403" t="str">
            <v>4)</v>
          </cell>
          <cell r="C403" t="str">
            <v>비계공</v>
          </cell>
          <cell r="D403" t="str">
            <v>(옹벽)</v>
          </cell>
          <cell r="E403">
            <v>1</v>
          </cell>
          <cell r="F403" t="str">
            <v>식</v>
          </cell>
          <cell r="G403">
            <v>32000000</v>
          </cell>
          <cell r="H403">
            <v>32000000</v>
          </cell>
        </row>
        <row r="404">
          <cell r="B404" t="str">
            <v>5)</v>
          </cell>
          <cell r="C404" t="str">
            <v>철근가공조립</v>
          </cell>
          <cell r="D404" t="str">
            <v>(복잡)</v>
          </cell>
          <cell r="E404">
            <v>293.05799999999999</v>
          </cell>
          <cell r="F404" t="str">
            <v>TON</v>
          </cell>
          <cell r="G404">
            <v>390000</v>
          </cell>
          <cell r="H404">
            <v>114292620</v>
          </cell>
        </row>
        <row r="405">
          <cell r="B405" t="str">
            <v>6)</v>
          </cell>
          <cell r="C405" t="str">
            <v>콘크리트타설</v>
          </cell>
          <cell r="H405">
            <v>0</v>
          </cell>
        </row>
        <row r="406">
          <cell r="B406" t="str">
            <v>가.</v>
          </cell>
          <cell r="C406" t="str">
            <v>콘크리트타설</v>
          </cell>
          <cell r="D406" t="str">
            <v>(펌프카타설,0~15m)</v>
          </cell>
          <cell r="E406">
            <v>2381</v>
          </cell>
          <cell r="F406" t="str">
            <v>M3</v>
          </cell>
          <cell r="G406">
            <v>9000</v>
          </cell>
          <cell r="H406">
            <v>21429000</v>
          </cell>
        </row>
        <row r="407">
          <cell r="B407" t="str">
            <v>나.</v>
          </cell>
          <cell r="C407" t="str">
            <v>콘크리트타설</v>
          </cell>
          <cell r="D407" t="str">
            <v>(무근,진동기제외)</v>
          </cell>
          <cell r="E407">
            <v>210</v>
          </cell>
          <cell r="F407" t="str">
            <v>M3</v>
          </cell>
          <cell r="G407">
            <v>17000</v>
          </cell>
          <cell r="H407">
            <v>3570000</v>
          </cell>
        </row>
        <row r="408">
          <cell r="B408" t="str">
            <v>7)</v>
          </cell>
          <cell r="C408" t="str">
            <v>P.V.C PIPE</v>
          </cell>
          <cell r="D408" t="str">
            <v>(φ 100M/M)</v>
          </cell>
          <cell r="E408">
            <v>576</v>
          </cell>
          <cell r="F408" t="str">
            <v>M</v>
          </cell>
          <cell r="G408">
            <v>2400</v>
          </cell>
          <cell r="H408">
            <v>1382400</v>
          </cell>
        </row>
        <row r="409">
          <cell r="B409" t="str">
            <v>8)</v>
          </cell>
          <cell r="C409" t="str">
            <v>스치로폴</v>
          </cell>
          <cell r="D409" t="str">
            <v>(T=20m/m)</v>
          </cell>
          <cell r="E409">
            <v>111</v>
          </cell>
          <cell r="F409" t="str">
            <v>M2</v>
          </cell>
          <cell r="G409">
            <v>1800</v>
          </cell>
          <cell r="H409">
            <v>199800</v>
          </cell>
        </row>
        <row r="410">
          <cell r="B410" t="str">
            <v>9)</v>
          </cell>
          <cell r="C410" t="str">
            <v>다웰바설치</v>
          </cell>
          <cell r="D410" t="str">
            <v>(φ 25x600)</v>
          </cell>
          <cell r="E410">
            <v>312</v>
          </cell>
          <cell r="F410" t="str">
            <v>EA</v>
          </cell>
          <cell r="G410">
            <v>3500</v>
          </cell>
          <cell r="H410">
            <v>1092000</v>
          </cell>
        </row>
        <row r="411">
          <cell r="B411" t="str">
            <v>10)</v>
          </cell>
          <cell r="C411" t="str">
            <v>실런트</v>
          </cell>
          <cell r="D411" t="str">
            <v>(비중 1.40)</v>
          </cell>
          <cell r="E411">
            <v>271</v>
          </cell>
          <cell r="F411" t="str">
            <v>M</v>
          </cell>
          <cell r="G411">
            <v>4500</v>
          </cell>
          <cell r="H411">
            <v>1219500</v>
          </cell>
        </row>
        <row r="412">
          <cell r="B412" t="str">
            <v>11)</v>
          </cell>
          <cell r="C412" t="str">
            <v>부직포설치</v>
          </cell>
          <cell r="E412">
            <v>859</v>
          </cell>
          <cell r="F412" t="str">
            <v>M2</v>
          </cell>
          <cell r="G412">
            <v>2100</v>
          </cell>
          <cell r="H412">
            <v>1803900</v>
          </cell>
        </row>
        <row r="413">
          <cell r="B413" t="str">
            <v>12)</v>
          </cell>
          <cell r="C413" t="str">
            <v>기초 잡석깔기</v>
          </cell>
          <cell r="E413">
            <v>191</v>
          </cell>
          <cell r="F413" t="str">
            <v>M3</v>
          </cell>
          <cell r="G413">
            <v>28000</v>
          </cell>
          <cell r="H413">
            <v>5348000</v>
          </cell>
        </row>
        <row r="414">
          <cell r="B414" t="str">
            <v>13)</v>
          </cell>
          <cell r="C414" t="str">
            <v>콘크리트생산및운반</v>
          </cell>
          <cell r="H414">
            <v>0</v>
          </cell>
        </row>
        <row r="415">
          <cell r="B415" t="str">
            <v>가.</v>
          </cell>
          <cell r="C415" t="str">
            <v>콘크리트생산</v>
          </cell>
          <cell r="D415" t="str">
            <v>32-240-15</v>
          </cell>
          <cell r="E415">
            <v>2381</v>
          </cell>
          <cell r="F415" t="str">
            <v>M3</v>
          </cell>
          <cell r="G415">
            <v>5000</v>
          </cell>
          <cell r="H415">
            <v>11905000</v>
          </cell>
        </row>
        <row r="416">
          <cell r="B416" t="str">
            <v>나.</v>
          </cell>
          <cell r="C416" t="str">
            <v>콘크리트운반</v>
          </cell>
          <cell r="D416" t="str">
            <v>(B/P-현장)</v>
          </cell>
          <cell r="E416">
            <v>2405</v>
          </cell>
          <cell r="F416" t="str">
            <v>M3</v>
          </cell>
          <cell r="G416">
            <v>3500</v>
          </cell>
          <cell r="H416">
            <v>8417500</v>
          </cell>
        </row>
        <row r="417">
          <cell r="B417" t="str">
            <v>4.</v>
          </cell>
          <cell r="C417" t="str">
            <v>터널공</v>
          </cell>
          <cell r="H417">
            <v>11753390470</v>
          </cell>
        </row>
        <row r="418">
          <cell r="B418" t="str">
            <v>1)</v>
          </cell>
          <cell r="C418" t="str">
            <v>굴  착</v>
          </cell>
          <cell r="H418">
            <v>0</v>
          </cell>
        </row>
        <row r="419">
          <cell r="B419" t="str">
            <v>가.</v>
          </cell>
          <cell r="C419" t="str">
            <v>전단면굴착</v>
          </cell>
          <cell r="D419" t="str">
            <v>(TYPE - Ⅱ)</v>
          </cell>
          <cell r="E419">
            <v>3185</v>
          </cell>
          <cell r="F419" t="str">
            <v>M3</v>
          </cell>
          <cell r="G419">
            <v>20500</v>
          </cell>
          <cell r="H419">
            <v>65292500</v>
          </cell>
        </row>
        <row r="420">
          <cell r="B420" t="str">
            <v>나.</v>
          </cell>
          <cell r="C420" t="str">
            <v>반단면굴착</v>
          </cell>
          <cell r="D420" t="str">
            <v>(TYPE - Ⅲ,상부)</v>
          </cell>
          <cell r="E420">
            <v>24083</v>
          </cell>
          <cell r="F420" t="str">
            <v>M3</v>
          </cell>
          <cell r="G420">
            <v>27500</v>
          </cell>
          <cell r="H420">
            <v>662282500</v>
          </cell>
        </row>
        <row r="421">
          <cell r="B421" t="str">
            <v>다.</v>
          </cell>
          <cell r="C421" t="str">
            <v>반단면굴착</v>
          </cell>
          <cell r="D421" t="str">
            <v>(TYPE - Ⅲ,하부)</v>
          </cell>
          <cell r="E421">
            <v>15921</v>
          </cell>
          <cell r="F421" t="str">
            <v>M3</v>
          </cell>
          <cell r="G421">
            <v>21500</v>
          </cell>
          <cell r="H421">
            <v>342301500</v>
          </cell>
        </row>
        <row r="422">
          <cell r="B422" t="str">
            <v>라.</v>
          </cell>
          <cell r="C422" t="str">
            <v>반단면굴착</v>
          </cell>
          <cell r="D422" t="str">
            <v>(TYPE - Ⅳ,상부)</v>
          </cell>
          <cell r="E422">
            <v>8916</v>
          </cell>
          <cell r="F422" t="str">
            <v>M3</v>
          </cell>
          <cell r="G422">
            <v>27500</v>
          </cell>
          <cell r="H422">
            <v>245190000</v>
          </cell>
        </row>
        <row r="423">
          <cell r="B423" t="str">
            <v>마.</v>
          </cell>
          <cell r="C423" t="str">
            <v>반단면굴착</v>
          </cell>
          <cell r="D423" t="str">
            <v>(TYPE - Ⅳ,하부)</v>
          </cell>
          <cell r="E423">
            <v>5846</v>
          </cell>
          <cell r="F423" t="str">
            <v>M3</v>
          </cell>
          <cell r="G423">
            <v>21000</v>
          </cell>
          <cell r="H423">
            <v>122766000</v>
          </cell>
        </row>
        <row r="424">
          <cell r="B424" t="str">
            <v>바.</v>
          </cell>
          <cell r="C424" t="str">
            <v>반단면굴착</v>
          </cell>
          <cell r="D424" t="str">
            <v>(TYPE - Ⅴ,상부)</v>
          </cell>
          <cell r="E424">
            <v>9746</v>
          </cell>
          <cell r="F424" t="str">
            <v>M3</v>
          </cell>
          <cell r="G424">
            <v>29500</v>
          </cell>
          <cell r="H424">
            <v>287507000</v>
          </cell>
        </row>
        <row r="425">
          <cell r="B425" t="str">
            <v>사.</v>
          </cell>
          <cell r="C425" t="str">
            <v>반단면굴착</v>
          </cell>
          <cell r="D425" t="str">
            <v>(TYPE - Ⅴ,하부)</v>
          </cell>
          <cell r="E425">
            <v>6227</v>
          </cell>
          <cell r="F425" t="str">
            <v>M3</v>
          </cell>
          <cell r="G425">
            <v>28000</v>
          </cell>
          <cell r="H425">
            <v>174356000</v>
          </cell>
        </row>
        <row r="426">
          <cell r="B426" t="str">
            <v>아.</v>
          </cell>
          <cell r="C426" t="str">
            <v>반단면굴착</v>
          </cell>
          <cell r="D426" t="str">
            <v>(TYPE - Ⅵ,상부좌)</v>
          </cell>
          <cell r="E426">
            <v>5705</v>
          </cell>
          <cell r="F426" t="str">
            <v>M3</v>
          </cell>
          <cell r="G426">
            <v>38000</v>
          </cell>
          <cell r="H426">
            <v>216790000</v>
          </cell>
        </row>
        <row r="427">
          <cell r="B427" t="str">
            <v>자.</v>
          </cell>
          <cell r="C427" t="str">
            <v>반단면굴착</v>
          </cell>
          <cell r="D427" t="str">
            <v>(TYPE - Ⅵ,상부우)</v>
          </cell>
          <cell r="E427">
            <v>3527</v>
          </cell>
          <cell r="F427" t="str">
            <v>M3</v>
          </cell>
          <cell r="G427">
            <v>53000</v>
          </cell>
          <cell r="H427">
            <v>186931000</v>
          </cell>
        </row>
        <row r="428">
          <cell r="B428" t="str">
            <v>차.</v>
          </cell>
          <cell r="C428" t="str">
            <v>반단면굴착</v>
          </cell>
          <cell r="D428" t="str">
            <v>(TYPE - Ⅵ,하부)</v>
          </cell>
          <cell r="E428">
            <v>5899</v>
          </cell>
          <cell r="F428" t="str">
            <v>M3</v>
          </cell>
          <cell r="G428">
            <v>28500</v>
          </cell>
          <cell r="H428">
            <v>168121500</v>
          </cell>
        </row>
        <row r="429">
          <cell r="B429" t="str">
            <v>2)</v>
          </cell>
          <cell r="C429" t="str">
            <v>버럭처리</v>
          </cell>
          <cell r="H429">
            <v>0</v>
          </cell>
        </row>
        <row r="430">
          <cell r="B430" t="str">
            <v>가.</v>
          </cell>
          <cell r="C430" t="str">
            <v>버럭처리</v>
          </cell>
          <cell r="D430" t="str">
            <v>(TYPE - Ⅱ)</v>
          </cell>
          <cell r="E430">
            <v>3377</v>
          </cell>
          <cell r="F430" t="str">
            <v>M3</v>
          </cell>
          <cell r="G430">
            <v>7000</v>
          </cell>
          <cell r="H430">
            <v>23639000</v>
          </cell>
        </row>
        <row r="431">
          <cell r="B431" t="str">
            <v>나.</v>
          </cell>
          <cell r="C431" t="str">
            <v>버럭처리</v>
          </cell>
          <cell r="D431" t="str">
            <v>(TYPE - Ⅲ,상부)</v>
          </cell>
          <cell r="E431">
            <v>25851</v>
          </cell>
          <cell r="F431" t="str">
            <v>M3</v>
          </cell>
          <cell r="G431">
            <v>8100</v>
          </cell>
          <cell r="H431">
            <v>209393100</v>
          </cell>
        </row>
        <row r="432">
          <cell r="B432" t="str">
            <v>다.</v>
          </cell>
          <cell r="C432" t="str">
            <v>버럭처리</v>
          </cell>
          <cell r="D432" t="str">
            <v>(TYPE - Ⅲ,하부)</v>
          </cell>
          <cell r="E432">
            <v>16542</v>
          </cell>
          <cell r="F432" t="str">
            <v>M3</v>
          </cell>
          <cell r="G432">
            <v>7300</v>
          </cell>
          <cell r="H432">
            <v>120756600</v>
          </cell>
        </row>
        <row r="433">
          <cell r="B433" t="str">
            <v>라.</v>
          </cell>
          <cell r="C433" t="str">
            <v>버럭처리</v>
          </cell>
          <cell r="D433" t="str">
            <v>(TYPE - Ⅳ,상부)</v>
          </cell>
          <cell r="E433">
            <v>9564</v>
          </cell>
          <cell r="F433" t="str">
            <v>M3</v>
          </cell>
          <cell r="G433">
            <v>8300</v>
          </cell>
          <cell r="H433">
            <v>79381200</v>
          </cell>
        </row>
        <row r="434">
          <cell r="B434" t="str">
            <v>마.</v>
          </cell>
          <cell r="C434" t="str">
            <v>버럭처리</v>
          </cell>
          <cell r="D434" t="str">
            <v>(TYPE - Ⅳ,하부)</v>
          </cell>
          <cell r="E434">
            <v>6071</v>
          </cell>
          <cell r="F434" t="str">
            <v>M3</v>
          </cell>
          <cell r="G434">
            <v>7400</v>
          </cell>
          <cell r="H434">
            <v>44925400</v>
          </cell>
        </row>
        <row r="435">
          <cell r="B435" t="str">
            <v>바.</v>
          </cell>
          <cell r="C435" t="str">
            <v>버럭처리</v>
          </cell>
          <cell r="D435" t="str">
            <v>(TYPE - Ⅴ,상부)</v>
          </cell>
          <cell r="E435">
            <v>10442</v>
          </cell>
          <cell r="F435" t="str">
            <v>M3</v>
          </cell>
          <cell r="G435">
            <v>8800</v>
          </cell>
          <cell r="H435">
            <v>91889600</v>
          </cell>
        </row>
        <row r="436">
          <cell r="B436" t="str">
            <v>사.</v>
          </cell>
          <cell r="C436" t="str">
            <v>버럭처리</v>
          </cell>
          <cell r="D436" t="str">
            <v>(TYPE - Ⅴ,하부)</v>
          </cell>
          <cell r="E436">
            <v>6467</v>
          </cell>
          <cell r="F436" t="str">
            <v>M3</v>
          </cell>
          <cell r="G436">
            <v>8600</v>
          </cell>
          <cell r="H436">
            <v>55616200</v>
          </cell>
        </row>
        <row r="437">
          <cell r="B437" t="str">
            <v>아.</v>
          </cell>
          <cell r="C437" t="str">
            <v>버럭처리</v>
          </cell>
          <cell r="D437" t="str">
            <v>(TYPE - Ⅵ,상부좌)</v>
          </cell>
          <cell r="E437">
            <v>6035</v>
          </cell>
          <cell r="F437" t="str">
            <v>M3</v>
          </cell>
          <cell r="G437">
            <v>10500</v>
          </cell>
          <cell r="H437">
            <v>63367500</v>
          </cell>
        </row>
        <row r="438">
          <cell r="B438" t="str">
            <v>자.</v>
          </cell>
          <cell r="C438" t="str">
            <v>버럭처리</v>
          </cell>
          <cell r="D438" t="str">
            <v>(TYPE - Ⅵ,상부우)</v>
          </cell>
          <cell r="E438">
            <v>3853</v>
          </cell>
          <cell r="F438" t="str">
            <v>M3</v>
          </cell>
          <cell r="G438">
            <v>13500</v>
          </cell>
          <cell r="H438">
            <v>52015500</v>
          </cell>
        </row>
        <row r="439">
          <cell r="B439" t="str">
            <v>차.</v>
          </cell>
          <cell r="C439" t="str">
            <v>버럭처리</v>
          </cell>
          <cell r="D439" t="str">
            <v>(TYPE - Ⅵ,하부)</v>
          </cell>
          <cell r="E439">
            <v>3127</v>
          </cell>
          <cell r="F439" t="str">
            <v>M3</v>
          </cell>
          <cell r="G439">
            <v>9000</v>
          </cell>
          <cell r="H439">
            <v>28143000</v>
          </cell>
        </row>
        <row r="440">
          <cell r="B440" t="str">
            <v>카.</v>
          </cell>
          <cell r="C440" t="str">
            <v>숏크리트 버럭처리</v>
          </cell>
          <cell r="E440">
            <v>1166</v>
          </cell>
          <cell r="F440" t="str">
            <v>M3</v>
          </cell>
          <cell r="G440">
            <v>7300</v>
          </cell>
          <cell r="H440">
            <v>8511800</v>
          </cell>
        </row>
        <row r="441">
          <cell r="B441" t="str">
            <v>3)</v>
          </cell>
          <cell r="C441" t="str">
            <v>강지보공</v>
          </cell>
          <cell r="H441">
            <v>0</v>
          </cell>
        </row>
        <row r="442">
          <cell r="B442" t="str">
            <v>가.</v>
          </cell>
          <cell r="C442" t="str">
            <v>강지보공</v>
          </cell>
          <cell r="D442" t="str">
            <v>(TYPE - Ⅲ)</v>
          </cell>
          <cell r="E442">
            <v>330</v>
          </cell>
          <cell r="F442" t="str">
            <v>조</v>
          </cell>
          <cell r="G442">
            <v>900000</v>
          </cell>
          <cell r="H442">
            <v>297000000</v>
          </cell>
        </row>
        <row r="443">
          <cell r="B443" t="str">
            <v>나.</v>
          </cell>
          <cell r="C443" t="str">
            <v>강지보공</v>
          </cell>
          <cell r="D443" t="str">
            <v>(TYPE - Ⅳ)</v>
          </cell>
          <cell r="E443">
            <v>149</v>
          </cell>
          <cell r="F443" t="str">
            <v>조</v>
          </cell>
          <cell r="G443">
            <v>880000</v>
          </cell>
          <cell r="H443">
            <v>131120000</v>
          </cell>
        </row>
        <row r="444">
          <cell r="B444" t="str">
            <v>다.</v>
          </cell>
          <cell r="C444" t="str">
            <v>강지보공</v>
          </cell>
          <cell r="D444" t="str">
            <v>(TYPE - Ⅴ)</v>
          </cell>
          <cell r="E444">
            <v>190</v>
          </cell>
          <cell r="F444" t="str">
            <v>조</v>
          </cell>
          <cell r="G444">
            <v>1200000</v>
          </cell>
          <cell r="H444">
            <v>228000000</v>
          </cell>
        </row>
        <row r="445">
          <cell r="B445" t="str">
            <v>라.</v>
          </cell>
          <cell r="C445" t="str">
            <v>강지보공</v>
          </cell>
          <cell r="D445" t="str">
            <v>(TYPE - Ⅵ)</v>
          </cell>
          <cell r="E445">
            <v>360</v>
          </cell>
          <cell r="F445" t="str">
            <v>조</v>
          </cell>
          <cell r="G445">
            <v>1140000</v>
          </cell>
          <cell r="H445">
            <v>410400000</v>
          </cell>
        </row>
        <row r="446">
          <cell r="B446" t="str">
            <v>마.</v>
          </cell>
          <cell r="C446" t="str">
            <v>강지보공</v>
          </cell>
          <cell r="D446" t="str">
            <v>(갱구부)</v>
          </cell>
          <cell r="E446">
            <v>44</v>
          </cell>
          <cell r="F446" t="str">
            <v>조</v>
          </cell>
          <cell r="G446">
            <v>1140000</v>
          </cell>
          <cell r="H446">
            <v>50160000</v>
          </cell>
        </row>
        <row r="447">
          <cell r="B447" t="str">
            <v>바.</v>
          </cell>
          <cell r="C447" t="str">
            <v>와이어매쉬 설치</v>
          </cell>
          <cell r="D447" t="str">
            <v>#4.8-100x100</v>
          </cell>
          <cell r="E447">
            <v>52083</v>
          </cell>
          <cell r="F447" t="str">
            <v>M2</v>
          </cell>
          <cell r="G447">
            <v>3800</v>
          </cell>
          <cell r="H447">
            <v>197915400</v>
          </cell>
        </row>
        <row r="448">
          <cell r="B448" t="str">
            <v>4)</v>
          </cell>
          <cell r="C448" t="str">
            <v>숏크리트공</v>
          </cell>
          <cell r="H448">
            <v>0</v>
          </cell>
        </row>
        <row r="449">
          <cell r="B449" t="str">
            <v>가.</v>
          </cell>
          <cell r="C449" t="str">
            <v>숏크리트공</v>
          </cell>
          <cell r="D449" t="str">
            <v>(TYPE - Ⅱ)</v>
          </cell>
          <cell r="E449">
            <v>221</v>
          </cell>
          <cell r="F449" t="str">
            <v>M3</v>
          </cell>
          <cell r="G449">
            <v>270000</v>
          </cell>
          <cell r="H449">
            <v>59670000</v>
          </cell>
        </row>
        <row r="450">
          <cell r="B450" t="str">
            <v>나.</v>
          </cell>
          <cell r="C450" t="str">
            <v>숏크리트공</v>
          </cell>
          <cell r="D450" t="str">
            <v>(TYPE - Ⅲ)</v>
          </cell>
          <cell r="E450">
            <v>3433</v>
          </cell>
          <cell r="F450" t="str">
            <v>M3</v>
          </cell>
          <cell r="G450">
            <v>190000</v>
          </cell>
          <cell r="H450">
            <v>652270000</v>
          </cell>
        </row>
        <row r="451">
          <cell r="B451" t="str">
            <v>다.</v>
          </cell>
          <cell r="C451" t="str">
            <v>숏크리트공</v>
          </cell>
          <cell r="D451" t="str">
            <v>(TYPE - Ⅳ)</v>
          </cell>
          <cell r="E451">
            <v>1504</v>
          </cell>
          <cell r="F451" t="str">
            <v>M3</v>
          </cell>
          <cell r="G451">
            <v>320000</v>
          </cell>
          <cell r="H451">
            <v>481280000</v>
          </cell>
        </row>
        <row r="452">
          <cell r="B452" t="str">
            <v>라.</v>
          </cell>
          <cell r="C452" t="str">
            <v>숏크리트공</v>
          </cell>
          <cell r="D452" t="str">
            <v>(TYPE - Ⅴ)</v>
          </cell>
          <cell r="E452">
            <v>1612</v>
          </cell>
          <cell r="F452" t="str">
            <v>M3</v>
          </cell>
          <cell r="G452">
            <v>350000</v>
          </cell>
          <cell r="H452">
            <v>564200000</v>
          </cell>
        </row>
        <row r="453">
          <cell r="B453" t="str">
            <v>마.</v>
          </cell>
          <cell r="C453" t="str">
            <v>숏크리트공</v>
          </cell>
          <cell r="D453" t="str">
            <v>(TYPE - Ⅵ)</v>
          </cell>
          <cell r="E453">
            <v>1527</v>
          </cell>
          <cell r="F453" t="str">
            <v>M3</v>
          </cell>
          <cell r="G453">
            <v>430000</v>
          </cell>
          <cell r="H453">
            <v>656610000</v>
          </cell>
        </row>
        <row r="454">
          <cell r="B454" t="str">
            <v>바.</v>
          </cell>
          <cell r="C454" t="str">
            <v>숏크리트공</v>
          </cell>
          <cell r="D454" t="str">
            <v>(갱구부)</v>
          </cell>
          <cell r="E454">
            <v>258</v>
          </cell>
          <cell r="F454" t="str">
            <v>M3</v>
          </cell>
          <cell r="G454">
            <v>68000</v>
          </cell>
          <cell r="H454">
            <v>17544000</v>
          </cell>
        </row>
        <row r="455">
          <cell r="B455" t="str">
            <v>5)</v>
          </cell>
          <cell r="C455" t="str">
            <v>ROCK BOLT공</v>
          </cell>
          <cell r="H455">
            <v>0</v>
          </cell>
        </row>
        <row r="456">
          <cell r="B456" t="str">
            <v>가.</v>
          </cell>
          <cell r="C456" t="str">
            <v>ROCK BOLT</v>
          </cell>
          <cell r="D456" t="str">
            <v>(TYPE - Ⅱ,상부)</v>
          </cell>
          <cell r="E456">
            <v>170</v>
          </cell>
          <cell r="F456" t="str">
            <v>개</v>
          </cell>
          <cell r="G456">
            <v>165000</v>
          </cell>
          <cell r="H456">
            <v>28050000</v>
          </cell>
        </row>
        <row r="457">
          <cell r="B457" t="str">
            <v>나.</v>
          </cell>
          <cell r="C457" t="str">
            <v>ROCK BOLT</v>
          </cell>
          <cell r="D457" t="str">
            <v>(TYPE - Ⅱ,측벽)</v>
          </cell>
          <cell r="E457">
            <v>60</v>
          </cell>
          <cell r="F457" t="str">
            <v>개</v>
          </cell>
          <cell r="G457">
            <v>150000</v>
          </cell>
          <cell r="H457">
            <v>9000000</v>
          </cell>
        </row>
        <row r="458">
          <cell r="B458" t="str">
            <v>다.</v>
          </cell>
          <cell r="C458" t="str">
            <v>ROCK BOLT</v>
          </cell>
          <cell r="D458" t="str">
            <v>(TYPE - Ⅲ,상부)</v>
          </cell>
          <cell r="E458">
            <v>2805</v>
          </cell>
          <cell r="F458" t="str">
            <v>개</v>
          </cell>
          <cell r="G458">
            <v>105000</v>
          </cell>
          <cell r="H458">
            <v>294525000</v>
          </cell>
        </row>
        <row r="459">
          <cell r="B459" t="str">
            <v>라.</v>
          </cell>
          <cell r="C459" t="str">
            <v>ROCK BOLT</v>
          </cell>
          <cell r="D459" t="str">
            <v>(TYPE - Ⅲ,측벽)</v>
          </cell>
          <cell r="E459">
            <v>2310</v>
          </cell>
          <cell r="F459" t="str">
            <v>개</v>
          </cell>
          <cell r="G459">
            <v>90000</v>
          </cell>
          <cell r="H459">
            <v>207900000</v>
          </cell>
        </row>
        <row r="460">
          <cell r="B460" t="str">
            <v>마.</v>
          </cell>
          <cell r="C460" t="str">
            <v>ROCK BOLT</v>
          </cell>
          <cell r="D460" t="str">
            <v>(TYPE - Ⅳ,상부)</v>
          </cell>
          <cell r="E460">
            <v>1274</v>
          </cell>
          <cell r="F460" t="str">
            <v>개</v>
          </cell>
          <cell r="G460">
            <v>95000</v>
          </cell>
          <cell r="H460">
            <v>121030000</v>
          </cell>
        </row>
        <row r="461">
          <cell r="B461" t="str">
            <v>바.</v>
          </cell>
          <cell r="C461" t="str">
            <v>ROCK BOLT</v>
          </cell>
          <cell r="D461" t="str">
            <v>(TYPE - Ⅳ,측벽)</v>
          </cell>
          <cell r="E461">
            <v>1049</v>
          </cell>
          <cell r="F461" t="str">
            <v>개</v>
          </cell>
          <cell r="G461">
            <v>77000</v>
          </cell>
          <cell r="H461">
            <v>80773000</v>
          </cell>
        </row>
        <row r="462">
          <cell r="B462" t="str">
            <v>사.</v>
          </cell>
          <cell r="C462" t="str">
            <v>ROCK BOLT</v>
          </cell>
          <cell r="D462" t="str">
            <v>(TYPE - Ⅴ,상부)</v>
          </cell>
          <cell r="E462">
            <v>1615</v>
          </cell>
          <cell r="F462" t="str">
            <v>개</v>
          </cell>
          <cell r="G462">
            <v>86000</v>
          </cell>
          <cell r="H462">
            <v>138890000</v>
          </cell>
        </row>
        <row r="463">
          <cell r="B463" t="str">
            <v>아.</v>
          </cell>
          <cell r="C463" t="str">
            <v>ROCK BOLT</v>
          </cell>
          <cell r="D463" t="str">
            <v>(TYPE - Ⅴ,측벽)</v>
          </cell>
          <cell r="E463">
            <v>1330</v>
          </cell>
          <cell r="F463" t="str">
            <v>개</v>
          </cell>
          <cell r="G463">
            <v>150000</v>
          </cell>
          <cell r="H463">
            <v>199500000</v>
          </cell>
        </row>
        <row r="464">
          <cell r="B464" t="str">
            <v>자.</v>
          </cell>
          <cell r="C464" t="str">
            <v>ROCK BOLT</v>
          </cell>
          <cell r="D464" t="str">
            <v>(TYPE - Ⅵ,상부좌)</v>
          </cell>
          <cell r="E464">
            <v>900</v>
          </cell>
          <cell r="F464" t="str">
            <v>개</v>
          </cell>
          <cell r="G464">
            <v>105000</v>
          </cell>
          <cell r="H464">
            <v>94500000</v>
          </cell>
        </row>
        <row r="465">
          <cell r="B465" t="str">
            <v>차.</v>
          </cell>
          <cell r="C465" t="str">
            <v>ROCK BOLT</v>
          </cell>
          <cell r="D465" t="str">
            <v>(TYPE - Ⅵ,상부우)</v>
          </cell>
          <cell r="E465">
            <v>630</v>
          </cell>
          <cell r="F465" t="str">
            <v>개</v>
          </cell>
          <cell r="G465">
            <v>130000</v>
          </cell>
          <cell r="H465">
            <v>81900000</v>
          </cell>
        </row>
        <row r="466">
          <cell r="B466" t="str">
            <v>카.</v>
          </cell>
          <cell r="C466" t="str">
            <v>ROCK BOLT</v>
          </cell>
          <cell r="D466" t="str">
            <v>(TYPE - Ⅵ,측벽)</v>
          </cell>
          <cell r="E466">
            <v>1260</v>
          </cell>
          <cell r="F466" t="str">
            <v>개</v>
          </cell>
          <cell r="G466">
            <v>82000</v>
          </cell>
          <cell r="H466">
            <v>103320000</v>
          </cell>
        </row>
        <row r="467">
          <cell r="B467" t="str">
            <v>타.</v>
          </cell>
          <cell r="C467" t="str">
            <v>갱구부</v>
          </cell>
          <cell r="E467">
            <v>323</v>
          </cell>
          <cell r="F467" t="str">
            <v>개</v>
          </cell>
          <cell r="G467">
            <v>32000</v>
          </cell>
          <cell r="H467">
            <v>10336000</v>
          </cell>
        </row>
        <row r="468">
          <cell r="B468" t="str">
            <v>파.</v>
          </cell>
          <cell r="C468" t="str">
            <v>FORE FILING</v>
          </cell>
          <cell r="D468" t="str">
            <v>(L=2.5M)</v>
          </cell>
          <cell r="E468">
            <v>5130</v>
          </cell>
          <cell r="F468" t="str">
            <v>개</v>
          </cell>
          <cell r="G468">
            <v>22000</v>
          </cell>
          <cell r="H468">
            <v>112860000</v>
          </cell>
        </row>
        <row r="469">
          <cell r="B469" t="str">
            <v>하.</v>
          </cell>
          <cell r="C469" t="str">
            <v>FORE FILING</v>
          </cell>
          <cell r="D469" t="str">
            <v>(L=3.0M)</v>
          </cell>
          <cell r="E469">
            <v>4050</v>
          </cell>
          <cell r="F469" t="str">
            <v>개</v>
          </cell>
          <cell r="G469">
            <v>25000</v>
          </cell>
          <cell r="H469">
            <v>101250000</v>
          </cell>
        </row>
        <row r="470">
          <cell r="B470" t="str">
            <v>거.</v>
          </cell>
          <cell r="C470" t="str">
            <v>PRE GROUTING</v>
          </cell>
          <cell r="D470" t="str">
            <v>(L=9.0M)</v>
          </cell>
          <cell r="E470">
            <v>31</v>
          </cell>
          <cell r="F470" t="str">
            <v>SET</v>
          </cell>
          <cell r="G470">
            <v>1000000</v>
          </cell>
          <cell r="H470">
            <v>31000000</v>
          </cell>
        </row>
        <row r="471">
          <cell r="B471" t="str">
            <v>너.</v>
          </cell>
          <cell r="C471" t="str">
            <v>강관다단그라우팅</v>
          </cell>
          <cell r="D471" t="str">
            <v>(φ50.8, L=16.0M)</v>
          </cell>
          <cell r="E471">
            <v>414</v>
          </cell>
          <cell r="F471" t="str">
            <v>공</v>
          </cell>
          <cell r="G471">
            <v>1150000</v>
          </cell>
          <cell r="H471">
            <v>476100000</v>
          </cell>
        </row>
        <row r="472">
          <cell r="B472" t="str">
            <v>6)</v>
          </cell>
          <cell r="C472" t="str">
            <v>방수공</v>
          </cell>
          <cell r="H472">
            <v>0</v>
          </cell>
        </row>
        <row r="473">
          <cell r="B473" t="str">
            <v>가.</v>
          </cell>
          <cell r="C473" t="str">
            <v>필터콘크리트</v>
          </cell>
          <cell r="E473">
            <v>18</v>
          </cell>
          <cell r="F473" t="str">
            <v>M3</v>
          </cell>
          <cell r="G473">
            <v>38000</v>
          </cell>
          <cell r="H473">
            <v>684000</v>
          </cell>
        </row>
        <row r="474">
          <cell r="B474" t="str">
            <v>나.</v>
          </cell>
          <cell r="C474" t="str">
            <v>P.V.C PIPE</v>
          </cell>
          <cell r="D474" t="str">
            <v>(φ 100M/M)</v>
          </cell>
          <cell r="E474">
            <v>141</v>
          </cell>
          <cell r="F474" t="str">
            <v>M</v>
          </cell>
          <cell r="G474">
            <v>2400</v>
          </cell>
          <cell r="H474">
            <v>338400</v>
          </cell>
        </row>
        <row r="475">
          <cell r="B475" t="str">
            <v>다.</v>
          </cell>
          <cell r="C475" t="str">
            <v>P.V.C PIPE</v>
          </cell>
          <cell r="D475" t="str">
            <v>(φ 150M/M)</v>
          </cell>
          <cell r="E475">
            <v>212</v>
          </cell>
          <cell r="F475" t="str">
            <v>M</v>
          </cell>
          <cell r="G475">
            <v>9100</v>
          </cell>
          <cell r="H475">
            <v>1929200</v>
          </cell>
        </row>
        <row r="476">
          <cell r="B476" t="str">
            <v>라.</v>
          </cell>
          <cell r="C476" t="str">
            <v>방수막</v>
          </cell>
          <cell r="E476">
            <v>25939</v>
          </cell>
          <cell r="F476" t="str">
            <v>M2</v>
          </cell>
          <cell r="G476">
            <v>13500</v>
          </cell>
          <cell r="H476">
            <v>350176500</v>
          </cell>
        </row>
        <row r="477">
          <cell r="B477" t="str">
            <v>마.</v>
          </cell>
          <cell r="C477" t="str">
            <v>부직포설치</v>
          </cell>
          <cell r="E477">
            <v>41693</v>
          </cell>
          <cell r="F477" t="str">
            <v>M2</v>
          </cell>
          <cell r="G477">
            <v>2100</v>
          </cell>
          <cell r="H477">
            <v>87555300</v>
          </cell>
        </row>
        <row r="478">
          <cell r="B478" t="str">
            <v>7)</v>
          </cell>
          <cell r="C478" t="str">
            <v>배수공</v>
          </cell>
          <cell r="H478">
            <v>0</v>
          </cell>
        </row>
        <row r="479">
          <cell r="B479" t="str">
            <v>가.</v>
          </cell>
          <cell r="C479" t="str">
            <v>유공관설치</v>
          </cell>
          <cell r="D479" t="str">
            <v>(φ150M/M)</v>
          </cell>
          <cell r="E479">
            <v>2270</v>
          </cell>
          <cell r="F479" t="str">
            <v>M</v>
          </cell>
          <cell r="G479">
            <v>2100</v>
          </cell>
          <cell r="H479">
            <v>4767000</v>
          </cell>
        </row>
        <row r="480">
          <cell r="B480" t="str">
            <v>나.</v>
          </cell>
          <cell r="C480" t="str">
            <v>유공관설치</v>
          </cell>
          <cell r="D480" t="str">
            <v>(φ250M/M)</v>
          </cell>
          <cell r="E480">
            <v>2270</v>
          </cell>
          <cell r="F480" t="str">
            <v>M</v>
          </cell>
          <cell r="G480">
            <v>3800</v>
          </cell>
          <cell r="H480">
            <v>8626000</v>
          </cell>
        </row>
        <row r="481">
          <cell r="B481" t="str">
            <v>다.</v>
          </cell>
          <cell r="C481" t="str">
            <v>배수관설치</v>
          </cell>
          <cell r="D481" t="str">
            <v>(φ400M/M)</v>
          </cell>
          <cell r="E481">
            <v>2270</v>
          </cell>
          <cell r="F481" t="str">
            <v>M</v>
          </cell>
          <cell r="G481">
            <v>75000</v>
          </cell>
          <cell r="H481">
            <v>170250000</v>
          </cell>
        </row>
        <row r="482">
          <cell r="B482" t="str">
            <v>라.</v>
          </cell>
          <cell r="C482" t="str">
            <v>잡석깔기</v>
          </cell>
          <cell r="D482" t="str">
            <v>(발파암유용)</v>
          </cell>
          <cell r="E482">
            <v>1229</v>
          </cell>
          <cell r="F482" t="str">
            <v>M</v>
          </cell>
          <cell r="G482">
            <v>14000</v>
          </cell>
          <cell r="H482">
            <v>17206000</v>
          </cell>
        </row>
        <row r="483">
          <cell r="B483" t="str">
            <v>마.</v>
          </cell>
          <cell r="C483" t="str">
            <v>거푸집</v>
          </cell>
          <cell r="D483" t="str">
            <v>(합판3회 0-7M)</v>
          </cell>
          <cell r="E483">
            <v>4452</v>
          </cell>
          <cell r="F483" t="str">
            <v>M2</v>
          </cell>
          <cell r="G483">
            <v>17000</v>
          </cell>
          <cell r="H483">
            <v>75684000</v>
          </cell>
        </row>
        <row r="484">
          <cell r="B484" t="str">
            <v>바.</v>
          </cell>
          <cell r="C484" t="str">
            <v>철근가공조립</v>
          </cell>
          <cell r="D484" t="str">
            <v>(간단)</v>
          </cell>
          <cell r="E484">
            <v>226.69200000000001</v>
          </cell>
          <cell r="F484" t="str">
            <v>TON</v>
          </cell>
          <cell r="G484">
            <v>230000</v>
          </cell>
          <cell r="H484">
            <v>52139160</v>
          </cell>
        </row>
        <row r="485">
          <cell r="B485" t="str">
            <v>사.</v>
          </cell>
          <cell r="C485" t="str">
            <v>콘크리트타설</v>
          </cell>
          <cell r="D485" t="str">
            <v>(철근,진동기제외)</v>
          </cell>
          <cell r="E485">
            <v>2907</v>
          </cell>
          <cell r="F485" t="str">
            <v>M3</v>
          </cell>
          <cell r="G485">
            <v>18000</v>
          </cell>
          <cell r="H485">
            <v>52326000</v>
          </cell>
        </row>
        <row r="486">
          <cell r="B486" t="str">
            <v>아.</v>
          </cell>
          <cell r="C486" t="str">
            <v>STEEL GRATING</v>
          </cell>
          <cell r="D486" t="str">
            <v>(540*495*75)</v>
          </cell>
          <cell r="E486">
            <v>90</v>
          </cell>
          <cell r="F486" t="str">
            <v>EA</v>
          </cell>
          <cell r="G486">
            <v>38000</v>
          </cell>
          <cell r="H486">
            <v>3420000</v>
          </cell>
        </row>
        <row r="487">
          <cell r="B487" t="str">
            <v>자.</v>
          </cell>
          <cell r="C487" t="str">
            <v>뚜껑제작설치</v>
          </cell>
          <cell r="D487" t="str">
            <v>(공동구 뚜껑)</v>
          </cell>
          <cell r="E487">
            <v>4540</v>
          </cell>
          <cell r="F487" t="str">
            <v>EA</v>
          </cell>
          <cell r="G487">
            <v>6500</v>
          </cell>
          <cell r="H487">
            <v>29510000</v>
          </cell>
        </row>
        <row r="488">
          <cell r="B488" t="str">
            <v>차.</v>
          </cell>
          <cell r="C488" t="str">
            <v>비닐 깔기</v>
          </cell>
          <cell r="E488">
            <v>13247</v>
          </cell>
          <cell r="F488" t="str">
            <v>M2</v>
          </cell>
          <cell r="G488">
            <v>400</v>
          </cell>
          <cell r="H488">
            <v>5298800</v>
          </cell>
        </row>
        <row r="489">
          <cell r="B489" t="str">
            <v>8)</v>
          </cell>
          <cell r="C489" t="str">
            <v>라이닝콘크리트</v>
          </cell>
          <cell r="H489">
            <v>0</v>
          </cell>
        </row>
        <row r="490">
          <cell r="B490" t="str">
            <v>가.</v>
          </cell>
          <cell r="C490" t="str">
            <v>콘크리트타설</v>
          </cell>
          <cell r="D490" t="str">
            <v>(펌프카타설,무근)</v>
          </cell>
          <cell r="E490">
            <v>6431</v>
          </cell>
          <cell r="F490" t="str">
            <v>M3</v>
          </cell>
          <cell r="G490">
            <v>8500</v>
          </cell>
          <cell r="H490">
            <v>54663500</v>
          </cell>
        </row>
        <row r="491">
          <cell r="B491" t="str">
            <v>나.</v>
          </cell>
          <cell r="C491" t="str">
            <v>콘크리트타설</v>
          </cell>
          <cell r="D491" t="str">
            <v>(펌프카타설,0~15m)</v>
          </cell>
          <cell r="E491">
            <v>3991</v>
          </cell>
          <cell r="F491" t="str">
            <v>M3</v>
          </cell>
          <cell r="G491">
            <v>9000</v>
          </cell>
          <cell r="H491">
            <v>35919000</v>
          </cell>
        </row>
        <row r="492">
          <cell r="B492" t="str">
            <v>다.</v>
          </cell>
          <cell r="C492" t="str">
            <v>철근가공조립</v>
          </cell>
          <cell r="D492" t="str">
            <v>(복잡)</v>
          </cell>
          <cell r="E492">
            <v>491.1</v>
          </cell>
          <cell r="F492" t="str">
            <v>TON</v>
          </cell>
          <cell r="G492">
            <v>390000</v>
          </cell>
          <cell r="H492">
            <v>191529000</v>
          </cell>
        </row>
        <row r="493">
          <cell r="B493" t="str">
            <v>라.</v>
          </cell>
          <cell r="C493" t="str">
            <v>강재동바리공 및 거푸</v>
          </cell>
          <cell r="D493" t="str">
            <v>집</v>
          </cell>
          <cell r="E493">
            <v>2</v>
          </cell>
          <cell r="F493" t="str">
            <v>SET</v>
          </cell>
          <cell r="G493">
            <v>120000000</v>
          </cell>
          <cell r="H493">
            <v>240000000</v>
          </cell>
        </row>
        <row r="494">
          <cell r="B494" t="str">
            <v>마.</v>
          </cell>
          <cell r="C494" t="str">
            <v>강재거푸집이동및거치</v>
          </cell>
          <cell r="E494">
            <v>2</v>
          </cell>
          <cell r="F494" t="str">
            <v>SET</v>
          </cell>
          <cell r="G494">
            <v>53000000</v>
          </cell>
          <cell r="H494">
            <v>106000000</v>
          </cell>
        </row>
        <row r="495">
          <cell r="B495" t="str">
            <v>바.</v>
          </cell>
          <cell r="C495" t="str">
            <v>라이닝 콘크리트</v>
          </cell>
          <cell r="D495" t="str">
            <v>(신축이음)</v>
          </cell>
          <cell r="E495">
            <v>831</v>
          </cell>
          <cell r="F495" t="str">
            <v>M</v>
          </cell>
          <cell r="G495">
            <v>8600</v>
          </cell>
          <cell r="H495">
            <v>7146600</v>
          </cell>
        </row>
        <row r="496">
          <cell r="B496" t="str">
            <v>9)</v>
          </cell>
          <cell r="C496" t="str">
            <v>개착터널</v>
          </cell>
          <cell r="H496">
            <v>0</v>
          </cell>
        </row>
        <row r="497">
          <cell r="B497" t="str">
            <v>가.</v>
          </cell>
          <cell r="C497" t="str">
            <v>거푸집</v>
          </cell>
          <cell r="D497" t="str">
            <v>(원형3회)</v>
          </cell>
          <cell r="E497">
            <v>1953</v>
          </cell>
          <cell r="F497" t="str">
            <v>M2</v>
          </cell>
          <cell r="G497">
            <v>44400</v>
          </cell>
          <cell r="H497">
            <v>86713200</v>
          </cell>
        </row>
        <row r="498">
          <cell r="B498" t="str">
            <v>나.</v>
          </cell>
          <cell r="C498" t="str">
            <v>강관동바리</v>
          </cell>
          <cell r="D498" t="str">
            <v>(개착터널용)</v>
          </cell>
          <cell r="E498">
            <v>1</v>
          </cell>
          <cell r="F498" t="str">
            <v>식</v>
          </cell>
          <cell r="G498">
            <v>50000000</v>
          </cell>
          <cell r="H498">
            <v>50000000</v>
          </cell>
        </row>
        <row r="499">
          <cell r="B499" t="str">
            <v>다.</v>
          </cell>
          <cell r="C499" t="str">
            <v>비계공</v>
          </cell>
          <cell r="D499" t="str">
            <v>(개착터널용)</v>
          </cell>
          <cell r="E499">
            <v>1</v>
          </cell>
          <cell r="F499" t="str">
            <v>식</v>
          </cell>
          <cell r="G499">
            <v>5800000</v>
          </cell>
          <cell r="H499">
            <v>5800000</v>
          </cell>
        </row>
        <row r="500">
          <cell r="B500" t="str">
            <v>라.</v>
          </cell>
          <cell r="C500" t="str">
            <v>벽돌쌓기</v>
          </cell>
          <cell r="D500" t="str">
            <v>( 0.5 B )</v>
          </cell>
          <cell r="E500">
            <v>967</v>
          </cell>
          <cell r="F500" t="str">
            <v>M2</v>
          </cell>
          <cell r="G500">
            <v>13500</v>
          </cell>
          <cell r="H500">
            <v>13054500</v>
          </cell>
        </row>
        <row r="501">
          <cell r="B501" t="str">
            <v>마.</v>
          </cell>
          <cell r="C501" t="str">
            <v>철근가공조립</v>
          </cell>
          <cell r="D501" t="str">
            <v>(복잡)</v>
          </cell>
          <cell r="E501">
            <v>119.56</v>
          </cell>
          <cell r="F501" t="str">
            <v>TON</v>
          </cell>
          <cell r="G501">
            <v>390000</v>
          </cell>
          <cell r="H501">
            <v>46628400</v>
          </cell>
        </row>
        <row r="502">
          <cell r="B502" t="str">
            <v>바.</v>
          </cell>
          <cell r="C502" t="str">
            <v>콘크리트타설</v>
          </cell>
          <cell r="D502" t="str">
            <v>(펌프카타설,0~15m)</v>
          </cell>
          <cell r="E502">
            <v>1105</v>
          </cell>
          <cell r="F502" t="str">
            <v>M3</v>
          </cell>
          <cell r="G502">
            <v>9000</v>
          </cell>
          <cell r="H502">
            <v>9945000</v>
          </cell>
        </row>
        <row r="503">
          <cell r="B503" t="str">
            <v>사.</v>
          </cell>
          <cell r="C503" t="str">
            <v>콘크리트타설</v>
          </cell>
          <cell r="D503" t="str">
            <v>(무근,진동기포함)</v>
          </cell>
          <cell r="E503">
            <v>20</v>
          </cell>
          <cell r="F503" t="str">
            <v>M3</v>
          </cell>
          <cell r="G503">
            <v>17000</v>
          </cell>
          <cell r="H503">
            <v>340000</v>
          </cell>
        </row>
        <row r="504">
          <cell r="B504" t="str">
            <v>아.</v>
          </cell>
          <cell r="C504" t="str">
            <v>시공이음</v>
          </cell>
          <cell r="D504" t="str">
            <v>(지수판)</v>
          </cell>
          <cell r="E504">
            <v>5</v>
          </cell>
          <cell r="F504" t="str">
            <v>M</v>
          </cell>
          <cell r="G504">
            <v>9500</v>
          </cell>
          <cell r="H504">
            <v>47500</v>
          </cell>
        </row>
        <row r="505">
          <cell r="B505" t="str">
            <v>자.</v>
          </cell>
          <cell r="C505" t="str">
            <v>신축이음</v>
          </cell>
          <cell r="D505" t="str">
            <v>(실런트)</v>
          </cell>
          <cell r="E505">
            <v>1</v>
          </cell>
          <cell r="F505" t="str">
            <v>M</v>
          </cell>
          <cell r="G505">
            <v>4500</v>
          </cell>
          <cell r="H505">
            <v>4500</v>
          </cell>
        </row>
        <row r="506">
          <cell r="B506" t="str">
            <v>차</v>
          </cell>
          <cell r="C506" t="str">
            <v>보호몰탈</v>
          </cell>
          <cell r="D506" t="str">
            <v>(T=5M/M)</v>
          </cell>
          <cell r="E506">
            <v>5</v>
          </cell>
          <cell r="F506" t="str">
            <v>M2</v>
          </cell>
          <cell r="G506">
            <v>5000</v>
          </cell>
          <cell r="H506">
            <v>25000</v>
          </cell>
        </row>
        <row r="507">
          <cell r="B507" t="str">
            <v>10)</v>
          </cell>
          <cell r="C507" t="str">
            <v>면벽 및 옹벽</v>
          </cell>
          <cell r="H507">
            <v>0</v>
          </cell>
        </row>
        <row r="508">
          <cell r="B508" t="str">
            <v>가.</v>
          </cell>
          <cell r="C508" t="str">
            <v>구조물터파기</v>
          </cell>
          <cell r="D508" t="str">
            <v>(육상풍화암0∼4m)</v>
          </cell>
          <cell r="E508">
            <v>99</v>
          </cell>
          <cell r="F508" t="str">
            <v>M3</v>
          </cell>
          <cell r="G508">
            <v>55000</v>
          </cell>
          <cell r="H508">
            <v>5445000</v>
          </cell>
        </row>
        <row r="509">
          <cell r="B509" t="str">
            <v>나.</v>
          </cell>
          <cell r="C509" t="str">
            <v>구조물터파기</v>
          </cell>
          <cell r="D509" t="str">
            <v>(육상발파암0∼4m)</v>
          </cell>
          <cell r="E509">
            <v>180</v>
          </cell>
          <cell r="F509" t="str">
            <v>M3</v>
          </cell>
          <cell r="G509">
            <v>100000</v>
          </cell>
          <cell r="H509">
            <v>18000000</v>
          </cell>
        </row>
        <row r="510">
          <cell r="B510" t="str">
            <v>다.</v>
          </cell>
          <cell r="C510" t="str">
            <v>되메우기 및 다짐공</v>
          </cell>
          <cell r="D510" t="str">
            <v>(인력10％+기계90％)</v>
          </cell>
          <cell r="E510">
            <v>52</v>
          </cell>
          <cell r="F510" t="str">
            <v>M3</v>
          </cell>
          <cell r="G510">
            <v>2000</v>
          </cell>
          <cell r="H510">
            <v>104000</v>
          </cell>
        </row>
        <row r="511">
          <cell r="B511" t="str">
            <v>라.</v>
          </cell>
          <cell r="C511" t="str">
            <v>무늬거푸집</v>
          </cell>
          <cell r="D511" t="str">
            <v>(0-7M)</v>
          </cell>
          <cell r="E511">
            <v>911</v>
          </cell>
          <cell r="F511" t="str">
            <v>M2</v>
          </cell>
          <cell r="G511">
            <v>22400</v>
          </cell>
          <cell r="H511">
            <v>20406400</v>
          </cell>
        </row>
        <row r="512">
          <cell r="B512" t="str">
            <v>마.</v>
          </cell>
          <cell r="C512" t="str">
            <v>거푸집</v>
          </cell>
          <cell r="D512" t="str">
            <v>(원형3회)</v>
          </cell>
          <cell r="E512">
            <v>99</v>
          </cell>
          <cell r="F512" t="str">
            <v>M2</v>
          </cell>
          <cell r="G512">
            <v>44400</v>
          </cell>
          <cell r="H512">
            <v>4395600</v>
          </cell>
        </row>
        <row r="513">
          <cell r="B513" t="str">
            <v>바.</v>
          </cell>
          <cell r="C513" t="str">
            <v>거푸집</v>
          </cell>
          <cell r="D513" t="str">
            <v>(합판3회 0-7M)</v>
          </cell>
          <cell r="E513">
            <v>806</v>
          </cell>
          <cell r="F513" t="str">
            <v>M2</v>
          </cell>
          <cell r="G513">
            <v>17000</v>
          </cell>
          <cell r="H513">
            <v>13702000</v>
          </cell>
        </row>
        <row r="514">
          <cell r="B514" t="str">
            <v>사.</v>
          </cell>
          <cell r="C514" t="str">
            <v>합판거푸집</v>
          </cell>
          <cell r="D514" t="str">
            <v>(6회)</v>
          </cell>
          <cell r="E514">
            <v>7</v>
          </cell>
          <cell r="F514" t="str">
            <v>M2</v>
          </cell>
          <cell r="G514">
            <v>11900</v>
          </cell>
          <cell r="H514">
            <v>83300</v>
          </cell>
        </row>
        <row r="515">
          <cell r="B515" t="str">
            <v>아.</v>
          </cell>
          <cell r="C515" t="str">
            <v>강관동바리</v>
          </cell>
          <cell r="D515" t="str">
            <v>(터널면벽용)</v>
          </cell>
          <cell r="E515">
            <v>1</v>
          </cell>
          <cell r="F515" t="str">
            <v>식</v>
          </cell>
          <cell r="G515">
            <v>4200000</v>
          </cell>
          <cell r="H515">
            <v>4200000</v>
          </cell>
        </row>
        <row r="516">
          <cell r="B516" t="str">
            <v>자.</v>
          </cell>
          <cell r="C516" t="str">
            <v>비계공</v>
          </cell>
          <cell r="D516" t="str">
            <v>(터널면벽용)</v>
          </cell>
          <cell r="E516">
            <v>1</v>
          </cell>
          <cell r="F516" t="str">
            <v>식</v>
          </cell>
          <cell r="G516">
            <v>8500000</v>
          </cell>
          <cell r="H516">
            <v>8500000</v>
          </cell>
        </row>
        <row r="517">
          <cell r="B517" t="str">
            <v>차.</v>
          </cell>
          <cell r="C517" t="str">
            <v>철근가공조립</v>
          </cell>
          <cell r="D517" t="str">
            <v>(간단)</v>
          </cell>
          <cell r="E517">
            <v>0.107</v>
          </cell>
          <cell r="F517" t="str">
            <v>TON</v>
          </cell>
          <cell r="G517">
            <v>230000</v>
          </cell>
          <cell r="H517">
            <v>24610</v>
          </cell>
        </row>
        <row r="518">
          <cell r="B518" t="str">
            <v>카.</v>
          </cell>
          <cell r="C518" t="str">
            <v>콘크리트타설</v>
          </cell>
          <cell r="D518" t="str">
            <v>(펌프카타설,무근)</v>
          </cell>
          <cell r="E518">
            <v>512</v>
          </cell>
          <cell r="F518" t="str">
            <v>M3</v>
          </cell>
          <cell r="G518">
            <v>8500</v>
          </cell>
          <cell r="H518">
            <v>4352000</v>
          </cell>
        </row>
        <row r="519">
          <cell r="B519" t="str">
            <v>타.</v>
          </cell>
          <cell r="C519" t="str">
            <v>콘크리트타설</v>
          </cell>
          <cell r="D519" t="str">
            <v>(무근,진동기제외)</v>
          </cell>
          <cell r="E519">
            <v>18</v>
          </cell>
          <cell r="F519" t="str">
            <v>M3</v>
          </cell>
          <cell r="G519">
            <v>17000</v>
          </cell>
          <cell r="H519">
            <v>306000</v>
          </cell>
        </row>
        <row r="520">
          <cell r="B520" t="str">
            <v>11)</v>
          </cell>
          <cell r="C520" t="str">
            <v>부대공</v>
          </cell>
          <cell r="H520">
            <v>0</v>
          </cell>
        </row>
        <row r="521">
          <cell r="B521" t="str">
            <v>가.</v>
          </cell>
          <cell r="C521" t="str">
            <v>터널내부타일붙임</v>
          </cell>
          <cell r="D521" t="str">
            <v>(하부)</v>
          </cell>
          <cell r="E521">
            <v>10407</v>
          </cell>
          <cell r="F521" t="str">
            <v>M2</v>
          </cell>
          <cell r="G521">
            <v>31000</v>
          </cell>
          <cell r="H521">
            <v>322617000</v>
          </cell>
        </row>
        <row r="522">
          <cell r="B522" t="str">
            <v>나.</v>
          </cell>
          <cell r="C522" t="str">
            <v>터널내물푸기</v>
          </cell>
          <cell r="E522">
            <v>1</v>
          </cell>
          <cell r="F522" t="str">
            <v>식</v>
          </cell>
          <cell r="G522">
            <v>13000000</v>
          </cell>
          <cell r="H522">
            <v>13000000</v>
          </cell>
        </row>
        <row r="523">
          <cell r="B523" t="str">
            <v>다.</v>
          </cell>
          <cell r="C523" t="str">
            <v>갱문 가시설</v>
          </cell>
          <cell r="E523">
            <v>4</v>
          </cell>
          <cell r="F523" t="str">
            <v>개소</v>
          </cell>
          <cell r="G523">
            <v>9500000</v>
          </cell>
          <cell r="H523">
            <v>38000000</v>
          </cell>
        </row>
        <row r="524">
          <cell r="B524" t="str">
            <v>라.</v>
          </cell>
          <cell r="C524" t="str">
            <v>난간용강재파이프</v>
          </cell>
          <cell r="D524" t="str">
            <v>(갱문및옹벽)</v>
          </cell>
          <cell r="E524">
            <v>96</v>
          </cell>
          <cell r="F524" t="str">
            <v>M</v>
          </cell>
          <cell r="G524">
            <v>1200</v>
          </cell>
          <cell r="H524">
            <v>115200</v>
          </cell>
        </row>
        <row r="525">
          <cell r="B525" t="str">
            <v>마.</v>
          </cell>
          <cell r="C525" t="str">
            <v>터널명판및안내판</v>
          </cell>
          <cell r="E525">
            <v>4</v>
          </cell>
          <cell r="F525" t="str">
            <v>EA</v>
          </cell>
          <cell r="G525">
            <v>450000</v>
          </cell>
          <cell r="H525">
            <v>1800000</v>
          </cell>
        </row>
        <row r="526">
          <cell r="B526" t="str">
            <v>12)</v>
          </cell>
          <cell r="C526" t="str">
            <v>계측비</v>
          </cell>
          <cell r="H526">
            <v>0</v>
          </cell>
        </row>
        <row r="527">
          <cell r="B527" t="str">
            <v>가.</v>
          </cell>
          <cell r="C527" t="str">
            <v>내공 변위 측정용기기</v>
          </cell>
          <cell r="D527" t="str">
            <v>설치</v>
          </cell>
          <cell r="E527">
            <v>162</v>
          </cell>
          <cell r="F527" t="str">
            <v>SET</v>
          </cell>
          <cell r="G527">
            <v>8000</v>
          </cell>
          <cell r="H527">
            <v>1296000</v>
          </cell>
        </row>
        <row r="528">
          <cell r="B528" t="str">
            <v>나.</v>
          </cell>
          <cell r="C528" t="str">
            <v>지중변위 측정용 기기</v>
          </cell>
          <cell r="D528" t="str">
            <v>설치</v>
          </cell>
          <cell r="E528">
            <v>81</v>
          </cell>
          <cell r="F528" t="str">
            <v>SET</v>
          </cell>
          <cell r="G528">
            <v>430000</v>
          </cell>
          <cell r="H528">
            <v>34830000</v>
          </cell>
        </row>
        <row r="529">
          <cell r="B529" t="str">
            <v>다.</v>
          </cell>
          <cell r="C529" t="str">
            <v>천단침하 측정용 기기</v>
          </cell>
          <cell r="D529" t="str">
            <v>설치</v>
          </cell>
          <cell r="E529">
            <v>60</v>
          </cell>
          <cell r="F529" t="str">
            <v>SET</v>
          </cell>
          <cell r="G529">
            <v>8000</v>
          </cell>
          <cell r="H529">
            <v>480000</v>
          </cell>
        </row>
        <row r="530">
          <cell r="B530" t="str">
            <v>라.</v>
          </cell>
          <cell r="C530" t="str">
            <v>숏크리트 응력 측정용</v>
          </cell>
          <cell r="D530" t="str">
            <v>기기설치</v>
          </cell>
          <cell r="E530">
            <v>60</v>
          </cell>
          <cell r="F530" t="str">
            <v>SET</v>
          </cell>
          <cell r="G530">
            <v>700000</v>
          </cell>
          <cell r="H530">
            <v>42000000</v>
          </cell>
        </row>
        <row r="531">
          <cell r="B531" t="str">
            <v>마.</v>
          </cell>
          <cell r="C531" t="str">
            <v>ROCK BOLT 축력측정용</v>
          </cell>
          <cell r="D531" t="str">
            <v>기기설치</v>
          </cell>
          <cell r="E531">
            <v>60</v>
          </cell>
          <cell r="F531" t="str">
            <v>SET</v>
          </cell>
          <cell r="G531">
            <v>430000</v>
          </cell>
          <cell r="H531">
            <v>25800000</v>
          </cell>
        </row>
        <row r="532">
          <cell r="B532" t="str">
            <v>바.</v>
          </cell>
          <cell r="C532" t="str">
            <v>계측관리비</v>
          </cell>
          <cell r="E532">
            <v>1</v>
          </cell>
          <cell r="F532" t="str">
            <v>식</v>
          </cell>
          <cell r="G532">
            <v>135000000</v>
          </cell>
          <cell r="H532">
            <v>135000000</v>
          </cell>
        </row>
        <row r="533">
          <cell r="B533" t="str">
            <v>13)</v>
          </cell>
          <cell r="C533" t="str">
            <v>현장관리공</v>
          </cell>
          <cell r="H533">
            <v>0</v>
          </cell>
        </row>
        <row r="534">
          <cell r="B534" t="str">
            <v>가.</v>
          </cell>
          <cell r="C534" t="str">
            <v>임시환기시설</v>
          </cell>
          <cell r="E534">
            <v>1</v>
          </cell>
          <cell r="F534" t="str">
            <v>식</v>
          </cell>
          <cell r="G534">
            <v>25000000</v>
          </cell>
          <cell r="H534">
            <v>25000000</v>
          </cell>
        </row>
        <row r="535">
          <cell r="B535" t="str">
            <v>나.</v>
          </cell>
          <cell r="C535" t="str">
            <v>임시전기시설</v>
          </cell>
          <cell r="E535">
            <v>1</v>
          </cell>
          <cell r="F535" t="str">
            <v>식</v>
          </cell>
          <cell r="G535">
            <v>4300000</v>
          </cell>
          <cell r="H535">
            <v>4300000</v>
          </cell>
        </row>
        <row r="536">
          <cell r="B536" t="str">
            <v>다.</v>
          </cell>
          <cell r="C536" t="str">
            <v>작업용 비계</v>
          </cell>
          <cell r="D536" t="str">
            <v>(터널용)</v>
          </cell>
          <cell r="E536">
            <v>1</v>
          </cell>
          <cell r="F536" t="str">
            <v>식</v>
          </cell>
          <cell r="G536">
            <v>2100000</v>
          </cell>
          <cell r="H536">
            <v>2100000</v>
          </cell>
        </row>
        <row r="537">
          <cell r="B537" t="str">
            <v>라.</v>
          </cell>
          <cell r="C537" t="str">
            <v>대차</v>
          </cell>
          <cell r="E537">
            <v>1</v>
          </cell>
          <cell r="F537" t="str">
            <v>식</v>
          </cell>
          <cell r="G537">
            <v>105000000</v>
          </cell>
          <cell r="H537">
            <v>105000000</v>
          </cell>
        </row>
        <row r="538">
          <cell r="B538" t="str">
            <v>14)</v>
          </cell>
          <cell r="C538" t="str">
            <v>콘크리트생산및구입</v>
          </cell>
          <cell r="H538">
            <v>0</v>
          </cell>
        </row>
        <row r="539">
          <cell r="B539" t="str">
            <v>가.</v>
          </cell>
          <cell r="C539" t="str">
            <v>콘크리트생산</v>
          </cell>
          <cell r="D539" t="str">
            <v>32-240-15</v>
          </cell>
          <cell r="E539">
            <v>15059</v>
          </cell>
          <cell r="F539" t="str">
            <v>M3</v>
          </cell>
          <cell r="G539">
            <v>5000</v>
          </cell>
          <cell r="H539">
            <v>75295000</v>
          </cell>
        </row>
        <row r="540">
          <cell r="B540" t="str">
            <v>나.</v>
          </cell>
          <cell r="C540" t="str">
            <v>콘크리트운반</v>
          </cell>
          <cell r="D540" t="str">
            <v>(B/P-현장)</v>
          </cell>
          <cell r="E540">
            <v>15209</v>
          </cell>
          <cell r="F540" t="str">
            <v>M3</v>
          </cell>
          <cell r="G540">
            <v>3500</v>
          </cell>
          <cell r="H540">
            <v>53231500</v>
          </cell>
        </row>
        <row r="541">
          <cell r="B541" t="str">
            <v>5.</v>
          </cell>
          <cell r="C541" t="str">
            <v>포장공</v>
          </cell>
          <cell r="H541">
            <v>8838290340</v>
          </cell>
        </row>
        <row r="542">
          <cell r="B542" t="str">
            <v>1)</v>
          </cell>
          <cell r="C542" t="str">
            <v>선택층</v>
          </cell>
          <cell r="H542">
            <v>0</v>
          </cell>
        </row>
        <row r="543">
          <cell r="B543" t="str">
            <v>가.</v>
          </cell>
          <cell r="C543" t="str">
            <v>선택층운반</v>
          </cell>
          <cell r="E543">
            <v>78228</v>
          </cell>
          <cell r="F543" t="str">
            <v>M3</v>
          </cell>
          <cell r="G543">
            <v>3200</v>
          </cell>
          <cell r="H543">
            <v>250329600</v>
          </cell>
        </row>
        <row r="544">
          <cell r="B544" t="str">
            <v>나.</v>
          </cell>
          <cell r="C544" t="str">
            <v>선택층포설및다짐</v>
          </cell>
          <cell r="E544">
            <v>76590</v>
          </cell>
          <cell r="F544" t="str">
            <v>M3</v>
          </cell>
          <cell r="G544">
            <v>1000</v>
          </cell>
          <cell r="H544">
            <v>76590000</v>
          </cell>
        </row>
        <row r="545">
          <cell r="B545" t="str">
            <v>다.</v>
          </cell>
          <cell r="C545" t="str">
            <v>선택층포설및다짐</v>
          </cell>
          <cell r="D545" t="str">
            <v>(백호우포설)</v>
          </cell>
          <cell r="E545">
            <v>1657</v>
          </cell>
          <cell r="F545" t="str">
            <v>M3</v>
          </cell>
          <cell r="G545">
            <v>1100</v>
          </cell>
          <cell r="H545">
            <v>1822700</v>
          </cell>
        </row>
        <row r="546">
          <cell r="B546" t="str">
            <v>2)</v>
          </cell>
          <cell r="C546" t="str">
            <v>보조기층</v>
          </cell>
          <cell r="H546">
            <v>0</v>
          </cell>
        </row>
        <row r="547">
          <cell r="B547" t="str">
            <v>가.</v>
          </cell>
          <cell r="C547" t="str">
            <v>보조기층운반</v>
          </cell>
          <cell r="E547">
            <v>33366</v>
          </cell>
          <cell r="F547" t="str">
            <v>M3</v>
          </cell>
          <cell r="G547">
            <v>3200</v>
          </cell>
          <cell r="H547">
            <v>106771200</v>
          </cell>
        </row>
        <row r="548">
          <cell r="B548" t="str">
            <v>나.</v>
          </cell>
          <cell r="C548" t="str">
            <v>보조기층포설및다짐</v>
          </cell>
          <cell r="D548" t="str">
            <v>(T=20CM)</v>
          </cell>
          <cell r="E548">
            <v>8707</v>
          </cell>
          <cell r="F548" t="str">
            <v>M3</v>
          </cell>
          <cell r="G548">
            <v>1700</v>
          </cell>
          <cell r="H548">
            <v>14801900</v>
          </cell>
        </row>
        <row r="549">
          <cell r="B549" t="str">
            <v>다.</v>
          </cell>
          <cell r="C549" t="str">
            <v>보조기층포설및다짐</v>
          </cell>
          <cell r="D549" t="str">
            <v>(T=30CM)</v>
          </cell>
          <cell r="E549">
            <v>66</v>
          </cell>
          <cell r="F549" t="str">
            <v>M3</v>
          </cell>
          <cell r="G549">
            <v>2100</v>
          </cell>
          <cell r="H549">
            <v>138600</v>
          </cell>
        </row>
        <row r="550">
          <cell r="B550" t="str">
            <v>라..</v>
          </cell>
          <cell r="C550" t="str">
            <v>보조기층포설및다짐</v>
          </cell>
          <cell r="D550" t="str">
            <v>(T=35CM)</v>
          </cell>
          <cell r="E550">
            <v>7979</v>
          </cell>
          <cell r="F550" t="str">
            <v>M3</v>
          </cell>
          <cell r="G550">
            <v>2000</v>
          </cell>
          <cell r="H550">
            <v>15958000</v>
          </cell>
        </row>
        <row r="551">
          <cell r="B551" t="str">
            <v>마.</v>
          </cell>
          <cell r="C551" t="str">
            <v>노견토포설및다짐</v>
          </cell>
          <cell r="E551">
            <v>16678</v>
          </cell>
          <cell r="F551" t="str">
            <v>M3</v>
          </cell>
          <cell r="G551">
            <v>5000</v>
          </cell>
          <cell r="H551">
            <v>83390000</v>
          </cell>
        </row>
        <row r="552">
          <cell r="B552" t="str">
            <v>3)</v>
          </cell>
          <cell r="C552" t="str">
            <v>프라임코팅</v>
          </cell>
          <cell r="D552" t="str">
            <v>(75ℓ/a)</v>
          </cell>
          <cell r="E552">
            <v>942</v>
          </cell>
          <cell r="F552" t="str">
            <v>a</v>
          </cell>
          <cell r="G552">
            <v>12000</v>
          </cell>
          <cell r="H552">
            <v>11304000</v>
          </cell>
        </row>
        <row r="553">
          <cell r="B553" t="str">
            <v>4)</v>
          </cell>
          <cell r="C553" t="str">
            <v>아스콘기층</v>
          </cell>
          <cell r="H553">
            <v>0</v>
          </cell>
        </row>
        <row r="554">
          <cell r="B554" t="str">
            <v>가.</v>
          </cell>
          <cell r="C554" t="str">
            <v>아스콘기층구입,운반</v>
          </cell>
          <cell r="E554">
            <v>26244</v>
          </cell>
          <cell r="F554" t="str">
            <v>TON</v>
          </cell>
          <cell r="G554">
            <v>20000</v>
          </cell>
          <cell r="H554">
            <v>524880000</v>
          </cell>
        </row>
        <row r="555">
          <cell r="B555" t="str">
            <v>나.</v>
          </cell>
          <cell r="C555" t="str">
            <v>아스콘기층포설</v>
          </cell>
          <cell r="D555" t="str">
            <v>(T = 15CM)</v>
          </cell>
          <cell r="E555">
            <v>2</v>
          </cell>
          <cell r="F555" t="str">
            <v>a</v>
          </cell>
          <cell r="G555">
            <v>94000</v>
          </cell>
          <cell r="H555">
            <v>188000</v>
          </cell>
        </row>
        <row r="556">
          <cell r="B556" t="str">
            <v>다.</v>
          </cell>
          <cell r="C556" t="str">
            <v>아스콘기층포설및다짐</v>
          </cell>
          <cell r="D556" t="str">
            <v>(T = 20Cm)</v>
          </cell>
          <cell r="E556">
            <v>548</v>
          </cell>
          <cell r="F556" t="str">
            <v>a</v>
          </cell>
          <cell r="G556">
            <v>114000</v>
          </cell>
          <cell r="H556">
            <v>62472000</v>
          </cell>
        </row>
        <row r="557">
          <cell r="B557" t="str">
            <v>5)</v>
          </cell>
          <cell r="C557" t="str">
            <v>택 코 팅</v>
          </cell>
          <cell r="H557">
            <v>0</v>
          </cell>
        </row>
        <row r="558">
          <cell r="B558" t="str">
            <v>가.</v>
          </cell>
          <cell r="C558" t="str">
            <v>택 코 팅</v>
          </cell>
          <cell r="D558" t="str">
            <v>(30ℓ/a)</v>
          </cell>
          <cell r="E558">
            <v>1098</v>
          </cell>
          <cell r="F558" t="str">
            <v>a</v>
          </cell>
          <cell r="G558">
            <v>18500</v>
          </cell>
          <cell r="H558">
            <v>20313000</v>
          </cell>
        </row>
        <row r="559">
          <cell r="B559" t="str">
            <v>나.</v>
          </cell>
          <cell r="C559" t="str">
            <v>택 코 팅</v>
          </cell>
          <cell r="D559" t="str">
            <v>(50ℓ/a)</v>
          </cell>
          <cell r="E559">
            <v>917</v>
          </cell>
          <cell r="F559" t="str">
            <v>a</v>
          </cell>
          <cell r="G559">
            <v>18000</v>
          </cell>
          <cell r="H559">
            <v>16506000</v>
          </cell>
        </row>
        <row r="560">
          <cell r="B560" t="str">
            <v>6)</v>
          </cell>
          <cell r="C560" t="str">
            <v>아스콘표층</v>
          </cell>
          <cell r="H560">
            <v>0</v>
          </cell>
        </row>
        <row r="561">
          <cell r="B561" t="str">
            <v>가.</v>
          </cell>
          <cell r="C561" t="str">
            <v>아스콘표층구입,운반</v>
          </cell>
          <cell r="E561">
            <v>25514</v>
          </cell>
          <cell r="F561" t="str">
            <v>TON</v>
          </cell>
          <cell r="G561">
            <v>24000</v>
          </cell>
          <cell r="H561">
            <v>612336000</v>
          </cell>
        </row>
        <row r="562">
          <cell r="B562" t="str">
            <v>나.</v>
          </cell>
          <cell r="C562" t="str">
            <v>아스콘표층포설및다짐</v>
          </cell>
          <cell r="D562" t="str">
            <v>(T=5Cm)</v>
          </cell>
          <cell r="E562">
            <v>281</v>
          </cell>
          <cell r="F562" t="str">
            <v>a</v>
          </cell>
          <cell r="G562">
            <v>42000</v>
          </cell>
          <cell r="H562">
            <v>11802000</v>
          </cell>
        </row>
        <row r="563">
          <cell r="B563" t="str">
            <v>다.</v>
          </cell>
          <cell r="C563" t="str">
            <v>아스콘표층포설및다짐</v>
          </cell>
          <cell r="D563" t="str">
            <v>(T=10Cm)</v>
          </cell>
          <cell r="E563">
            <v>637</v>
          </cell>
          <cell r="F563" t="str">
            <v>a</v>
          </cell>
          <cell r="G563">
            <v>84000</v>
          </cell>
          <cell r="H563">
            <v>53508000</v>
          </cell>
        </row>
        <row r="564">
          <cell r="B564" t="str">
            <v>라.</v>
          </cell>
          <cell r="C564" t="str">
            <v>아스콘표층포설및다짐</v>
          </cell>
          <cell r="D564" t="str">
            <v>(T=8mm,교면포장)</v>
          </cell>
          <cell r="E564">
            <v>375</v>
          </cell>
          <cell r="F564" t="str">
            <v>a</v>
          </cell>
          <cell r="G564">
            <v>84000</v>
          </cell>
          <cell r="H564">
            <v>31500000</v>
          </cell>
        </row>
        <row r="565">
          <cell r="B565" t="str">
            <v>7)</v>
          </cell>
          <cell r="C565" t="str">
            <v>린콘크리트기층</v>
          </cell>
          <cell r="H565">
            <v>0</v>
          </cell>
        </row>
        <row r="566">
          <cell r="B566" t="str">
            <v>가.</v>
          </cell>
          <cell r="C566" t="str">
            <v>린콘크리트 생산</v>
          </cell>
          <cell r="E566">
            <v>40483</v>
          </cell>
          <cell r="F566" t="str">
            <v>M3</v>
          </cell>
          <cell r="G566">
            <v>18500</v>
          </cell>
          <cell r="H566">
            <v>748935500</v>
          </cell>
        </row>
        <row r="567">
          <cell r="B567" t="str">
            <v>나.</v>
          </cell>
          <cell r="C567" t="str">
            <v>린콘크리트포설및다짐</v>
          </cell>
          <cell r="D567" t="str">
            <v>(기계포설 T=15CM)</v>
          </cell>
          <cell r="E567">
            <v>40483</v>
          </cell>
          <cell r="F567" t="str">
            <v>M3</v>
          </cell>
          <cell r="G567">
            <v>3400</v>
          </cell>
          <cell r="H567">
            <v>137642200</v>
          </cell>
        </row>
        <row r="568">
          <cell r="B568" t="str">
            <v>8)</v>
          </cell>
          <cell r="C568" t="str">
            <v>콘크리트 포장</v>
          </cell>
          <cell r="H568">
            <v>0</v>
          </cell>
        </row>
        <row r="569">
          <cell r="B569" t="str">
            <v>가.</v>
          </cell>
          <cell r="C569" t="str">
            <v>포장콘크리트생산운반</v>
          </cell>
          <cell r="D569" t="str">
            <v>(σbk=45KG/CM2)</v>
          </cell>
          <cell r="E569">
            <v>75388</v>
          </cell>
          <cell r="F569" t="str">
            <v>M3</v>
          </cell>
          <cell r="G569">
            <v>9000</v>
          </cell>
          <cell r="H569">
            <v>678492000</v>
          </cell>
        </row>
        <row r="570">
          <cell r="B570" t="str">
            <v>나.</v>
          </cell>
          <cell r="C570" t="str">
            <v>기계포설</v>
          </cell>
          <cell r="H570">
            <v>0</v>
          </cell>
        </row>
        <row r="571">
          <cell r="B571" t="str">
            <v>a.</v>
          </cell>
          <cell r="C571" t="str">
            <v>무근2차로포설</v>
          </cell>
          <cell r="D571" t="str">
            <v>(T=30cm)</v>
          </cell>
          <cell r="E571">
            <v>60401</v>
          </cell>
          <cell r="F571" t="str">
            <v>M3</v>
          </cell>
          <cell r="G571">
            <v>5400</v>
          </cell>
          <cell r="H571">
            <v>326165400</v>
          </cell>
        </row>
        <row r="572">
          <cell r="B572" t="str">
            <v>b.</v>
          </cell>
          <cell r="C572" t="str">
            <v>무근1차로포설</v>
          </cell>
          <cell r="D572" t="str">
            <v>(T=30cm)</v>
          </cell>
          <cell r="E572">
            <v>6861</v>
          </cell>
          <cell r="F572" t="str">
            <v>M3</v>
          </cell>
          <cell r="G572">
            <v>3100</v>
          </cell>
          <cell r="H572">
            <v>21269100</v>
          </cell>
        </row>
        <row r="573">
          <cell r="B573" t="str">
            <v>c.</v>
          </cell>
          <cell r="C573" t="str">
            <v>중분대기초콘크리트</v>
          </cell>
          <cell r="D573" t="str">
            <v>(T=15cm)</v>
          </cell>
          <cell r="E573">
            <v>1773</v>
          </cell>
          <cell r="F573" t="str">
            <v>M3</v>
          </cell>
          <cell r="G573">
            <v>26000</v>
          </cell>
          <cell r="H573">
            <v>46098000</v>
          </cell>
        </row>
        <row r="574">
          <cell r="B574" t="str">
            <v>다.</v>
          </cell>
          <cell r="C574" t="str">
            <v>인력포설</v>
          </cell>
          <cell r="H574">
            <v>0</v>
          </cell>
        </row>
        <row r="575">
          <cell r="B575" t="str">
            <v>a.</v>
          </cell>
          <cell r="C575" t="str">
            <v>교량접속및완충슬라브</v>
          </cell>
          <cell r="D575" t="str">
            <v>(T=40cm)</v>
          </cell>
          <cell r="E575">
            <v>3288</v>
          </cell>
          <cell r="F575" t="str">
            <v>M2</v>
          </cell>
          <cell r="G575">
            <v>10500</v>
          </cell>
          <cell r="H575">
            <v>34524000</v>
          </cell>
        </row>
        <row r="576">
          <cell r="B576" t="str">
            <v>b.</v>
          </cell>
          <cell r="C576" t="str">
            <v>연결로과적검문소포장</v>
          </cell>
          <cell r="D576" t="str">
            <v>(T=30cm)</v>
          </cell>
          <cell r="E576">
            <v>2458</v>
          </cell>
          <cell r="F576" t="str">
            <v>M3</v>
          </cell>
          <cell r="G576">
            <v>14000</v>
          </cell>
          <cell r="H576">
            <v>34412000</v>
          </cell>
        </row>
        <row r="577">
          <cell r="B577" t="str">
            <v>c.</v>
          </cell>
          <cell r="C577" t="str">
            <v>부체도로</v>
          </cell>
          <cell r="D577" t="str">
            <v>(T=20CM)</v>
          </cell>
          <cell r="E577">
            <v>524</v>
          </cell>
          <cell r="F577" t="str">
            <v>M3</v>
          </cell>
          <cell r="G577">
            <v>20000</v>
          </cell>
          <cell r="H577">
            <v>10480000</v>
          </cell>
        </row>
        <row r="578">
          <cell r="B578" t="str">
            <v>d.</v>
          </cell>
          <cell r="C578" t="str">
            <v>중분대기초콘크리트</v>
          </cell>
          <cell r="D578" t="str">
            <v>(T=15cm)</v>
          </cell>
          <cell r="E578">
            <v>83</v>
          </cell>
          <cell r="F578" t="str">
            <v>M3</v>
          </cell>
          <cell r="G578">
            <v>27000</v>
          </cell>
          <cell r="H578">
            <v>2241000</v>
          </cell>
        </row>
        <row r="579">
          <cell r="B579" t="str">
            <v>9)</v>
          </cell>
          <cell r="C579" t="str">
            <v>철근설치공</v>
          </cell>
          <cell r="H579">
            <v>0</v>
          </cell>
        </row>
        <row r="580">
          <cell r="B580" t="str">
            <v>가.</v>
          </cell>
          <cell r="C580" t="str">
            <v>철근가공조립</v>
          </cell>
          <cell r="D580" t="str">
            <v>(간단)</v>
          </cell>
          <cell r="E580">
            <v>45.405999999999999</v>
          </cell>
          <cell r="F580" t="str">
            <v>TON</v>
          </cell>
          <cell r="G580">
            <v>230000</v>
          </cell>
          <cell r="H580">
            <v>10443380</v>
          </cell>
        </row>
        <row r="581">
          <cell r="B581" t="str">
            <v>나.</v>
          </cell>
          <cell r="C581" t="str">
            <v>철근가공조립</v>
          </cell>
          <cell r="D581" t="str">
            <v>(보통)</v>
          </cell>
          <cell r="E581">
            <v>552.51700000000005</v>
          </cell>
          <cell r="F581" t="str">
            <v>TON</v>
          </cell>
          <cell r="G581">
            <v>310000</v>
          </cell>
          <cell r="H581">
            <v>171280270</v>
          </cell>
        </row>
        <row r="582">
          <cell r="B582" t="str">
            <v>다.</v>
          </cell>
          <cell r="C582" t="str">
            <v>와이어메쉬설치</v>
          </cell>
          <cell r="E582">
            <v>0.48799999999999999</v>
          </cell>
          <cell r="F582" t="str">
            <v>TON</v>
          </cell>
          <cell r="G582">
            <v>580000</v>
          </cell>
          <cell r="H582">
            <v>283040</v>
          </cell>
        </row>
        <row r="583">
          <cell r="B583" t="str">
            <v>라.</v>
          </cell>
          <cell r="C583" t="str">
            <v>스페이서설치</v>
          </cell>
          <cell r="E583">
            <v>11077</v>
          </cell>
          <cell r="F583" t="str">
            <v>M2</v>
          </cell>
          <cell r="G583">
            <v>650</v>
          </cell>
          <cell r="H583">
            <v>7200050</v>
          </cell>
        </row>
        <row r="584">
          <cell r="B584" t="str">
            <v>10)</v>
          </cell>
          <cell r="C584" t="str">
            <v>비닐깔기</v>
          </cell>
          <cell r="E584">
            <v>237850</v>
          </cell>
          <cell r="F584" t="str">
            <v>M2</v>
          </cell>
          <cell r="G584">
            <v>400</v>
          </cell>
          <cell r="H584">
            <v>95140000</v>
          </cell>
        </row>
        <row r="585">
          <cell r="B585" t="str">
            <v>11)</v>
          </cell>
          <cell r="C585" t="str">
            <v>합판거푸집</v>
          </cell>
          <cell r="D585" t="str">
            <v>(4회)</v>
          </cell>
          <cell r="E585">
            <v>1291</v>
          </cell>
          <cell r="F585" t="str">
            <v>M2</v>
          </cell>
          <cell r="G585">
            <v>14500</v>
          </cell>
          <cell r="H585">
            <v>18719500</v>
          </cell>
        </row>
        <row r="586">
          <cell r="B586" t="str">
            <v>12)</v>
          </cell>
          <cell r="C586" t="str">
            <v>줄눈설치공</v>
          </cell>
          <cell r="H586">
            <v>0</v>
          </cell>
        </row>
        <row r="587">
          <cell r="B587" t="str">
            <v>가.</v>
          </cell>
          <cell r="C587" t="str">
            <v>세로줄눈</v>
          </cell>
          <cell r="H587">
            <v>0</v>
          </cell>
        </row>
        <row r="588">
          <cell r="B588" t="str">
            <v>a.</v>
          </cell>
          <cell r="C588" t="str">
            <v>본선2차로동시포설용</v>
          </cell>
          <cell r="D588" t="str">
            <v>(세로줄눈 형식1-1)</v>
          </cell>
          <cell r="E588">
            <v>27285</v>
          </cell>
          <cell r="F588" t="str">
            <v>M</v>
          </cell>
          <cell r="G588">
            <v>2300</v>
          </cell>
          <cell r="H588">
            <v>62755500</v>
          </cell>
        </row>
        <row r="589">
          <cell r="B589" t="str">
            <v>b.</v>
          </cell>
          <cell r="C589" t="str">
            <v>중분대기초용</v>
          </cell>
          <cell r="D589" t="str">
            <v>(세로줄눈 형식1-4)</v>
          </cell>
          <cell r="E589">
            <v>24133</v>
          </cell>
          <cell r="F589" t="str">
            <v>M</v>
          </cell>
          <cell r="G589">
            <v>1600</v>
          </cell>
          <cell r="H589">
            <v>38612800</v>
          </cell>
        </row>
        <row r="590">
          <cell r="B590" t="str">
            <v>c.</v>
          </cell>
          <cell r="C590" t="str">
            <v>길어깨접속부용</v>
          </cell>
          <cell r="D590" t="str">
            <v>(세로줄눈,형식1-5)</v>
          </cell>
          <cell r="E590">
            <v>24646</v>
          </cell>
          <cell r="F590" t="str">
            <v>M</v>
          </cell>
          <cell r="G590">
            <v>1700</v>
          </cell>
          <cell r="H590">
            <v>41898200</v>
          </cell>
        </row>
        <row r="591">
          <cell r="B591" t="str">
            <v>나.</v>
          </cell>
          <cell r="C591" t="str">
            <v>가로수축줄눈</v>
          </cell>
          <cell r="H591">
            <v>0</v>
          </cell>
        </row>
        <row r="592">
          <cell r="B592" t="str">
            <v>a.</v>
          </cell>
          <cell r="C592" t="str">
            <v>본선2차로용</v>
          </cell>
          <cell r="D592" t="str">
            <v>(가로줄눈,형식2-1,2)</v>
          </cell>
          <cell r="E592">
            <v>36835</v>
          </cell>
          <cell r="F592" t="str">
            <v>M</v>
          </cell>
          <cell r="G592">
            <v>3900</v>
          </cell>
          <cell r="H592">
            <v>143656500</v>
          </cell>
        </row>
        <row r="593">
          <cell r="B593" t="str">
            <v>b.</v>
          </cell>
          <cell r="C593" t="str">
            <v>교량접속부2차로용</v>
          </cell>
          <cell r="D593" t="str">
            <v>(가로줄눈,형식2-3,4)</v>
          </cell>
          <cell r="E593">
            <v>437</v>
          </cell>
          <cell r="F593" t="str">
            <v>M</v>
          </cell>
          <cell r="G593">
            <v>4000</v>
          </cell>
          <cell r="H593">
            <v>1748000</v>
          </cell>
        </row>
        <row r="594">
          <cell r="B594" t="str">
            <v>c.</v>
          </cell>
          <cell r="C594" t="str">
            <v>중분대기초용</v>
          </cell>
          <cell r="D594" t="str">
            <v>(가로줄눈,형식2-5)</v>
          </cell>
          <cell r="E594">
            <v>2007</v>
          </cell>
          <cell r="F594" t="str">
            <v>M</v>
          </cell>
          <cell r="G594">
            <v>2400</v>
          </cell>
          <cell r="H594">
            <v>4816800</v>
          </cell>
        </row>
        <row r="595">
          <cell r="B595" t="str">
            <v>다.</v>
          </cell>
          <cell r="C595" t="str">
            <v>팽창줄눈</v>
          </cell>
          <cell r="H595">
            <v>0</v>
          </cell>
        </row>
        <row r="596">
          <cell r="B596" t="str">
            <v>a.</v>
          </cell>
          <cell r="C596" t="str">
            <v>본선2차로용</v>
          </cell>
          <cell r="D596" t="str">
            <v>(팽창줄눈,형식3-1,2)</v>
          </cell>
          <cell r="E596">
            <v>576</v>
          </cell>
          <cell r="F596" t="str">
            <v>M</v>
          </cell>
          <cell r="G596">
            <v>10000</v>
          </cell>
          <cell r="H596">
            <v>5760000</v>
          </cell>
        </row>
        <row r="597">
          <cell r="B597" t="str">
            <v>b.</v>
          </cell>
          <cell r="C597" t="str">
            <v>교량접속부2차로용</v>
          </cell>
          <cell r="D597" t="str">
            <v>(팽창줄눈,형식3-3,4)</v>
          </cell>
          <cell r="E597">
            <v>439</v>
          </cell>
          <cell r="F597" t="str">
            <v>M</v>
          </cell>
          <cell r="G597">
            <v>8500</v>
          </cell>
          <cell r="H597">
            <v>3731500</v>
          </cell>
        </row>
        <row r="598">
          <cell r="B598" t="str">
            <v>c.</v>
          </cell>
          <cell r="C598" t="str">
            <v>아스콘접속부2차로용</v>
          </cell>
          <cell r="D598" t="str">
            <v>(팽창줄눈,형식3-6,7)</v>
          </cell>
          <cell r="E598">
            <v>71</v>
          </cell>
          <cell r="F598" t="str">
            <v>M</v>
          </cell>
          <cell r="G598">
            <v>10000</v>
          </cell>
          <cell r="H598">
            <v>710000</v>
          </cell>
        </row>
        <row r="599">
          <cell r="B599" t="str">
            <v>d.</v>
          </cell>
          <cell r="C599" t="str">
            <v>중분대기초용</v>
          </cell>
          <cell r="D599" t="str">
            <v>(팽창줄눈,형식3-8)</v>
          </cell>
          <cell r="E599">
            <v>48</v>
          </cell>
          <cell r="F599" t="str">
            <v>M</v>
          </cell>
          <cell r="G599">
            <v>6000</v>
          </cell>
          <cell r="H599">
            <v>288000</v>
          </cell>
        </row>
        <row r="600">
          <cell r="B600" t="str">
            <v>e.</v>
          </cell>
          <cell r="C600" t="str">
            <v>스치로폴</v>
          </cell>
          <cell r="D600" t="str">
            <v>(T=10m/m)</v>
          </cell>
          <cell r="E600">
            <v>236</v>
          </cell>
          <cell r="F600" t="str">
            <v>M2</v>
          </cell>
          <cell r="G600">
            <v>950</v>
          </cell>
          <cell r="H600">
            <v>224200</v>
          </cell>
        </row>
        <row r="601">
          <cell r="B601" t="str">
            <v>f.</v>
          </cell>
          <cell r="C601" t="str">
            <v>스치로폴</v>
          </cell>
          <cell r="D601" t="str">
            <v>(T=20m/m)</v>
          </cell>
          <cell r="E601">
            <v>911</v>
          </cell>
          <cell r="F601" t="str">
            <v>M2</v>
          </cell>
          <cell r="G601">
            <v>1800</v>
          </cell>
          <cell r="H601">
            <v>1639800</v>
          </cell>
        </row>
        <row r="602">
          <cell r="B602" t="str">
            <v>g.</v>
          </cell>
          <cell r="C602" t="str">
            <v>부체도로용줄눈</v>
          </cell>
          <cell r="D602" t="str">
            <v>(판재 200×15)</v>
          </cell>
          <cell r="E602">
            <v>524</v>
          </cell>
          <cell r="F602" t="str">
            <v>M</v>
          </cell>
          <cell r="G602">
            <v>1800</v>
          </cell>
          <cell r="H602">
            <v>943200</v>
          </cell>
        </row>
        <row r="603">
          <cell r="B603" t="str">
            <v>13)</v>
          </cell>
          <cell r="C603" t="str">
            <v>콘크리트 포장면연마</v>
          </cell>
          <cell r="E603">
            <v>1</v>
          </cell>
          <cell r="F603" t="str">
            <v>M2</v>
          </cell>
          <cell r="G603">
            <v>175000000</v>
          </cell>
          <cell r="H603">
            <v>175000000</v>
          </cell>
        </row>
        <row r="604">
          <cell r="B604" t="str">
            <v>14)</v>
          </cell>
          <cell r="C604" t="str">
            <v>크라샤 설치 및 철거</v>
          </cell>
          <cell r="E604">
            <v>1</v>
          </cell>
          <cell r="F604" t="str">
            <v>식</v>
          </cell>
          <cell r="G604">
            <v>38000000</v>
          </cell>
          <cell r="H604">
            <v>38000000</v>
          </cell>
        </row>
        <row r="605">
          <cell r="B605" t="str">
            <v>15)</v>
          </cell>
          <cell r="C605" t="str">
            <v>배치플랜트</v>
          </cell>
          <cell r="H605">
            <v>0</v>
          </cell>
        </row>
        <row r="606">
          <cell r="B606" t="str">
            <v>가.</v>
          </cell>
          <cell r="C606" t="str">
            <v>배치플랜트 설치공</v>
          </cell>
          <cell r="D606" t="str">
            <v>(120m3/hr 1기)</v>
          </cell>
          <cell r="E606">
            <v>1</v>
          </cell>
          <cell r="F606" t="str">
            <v>식</v>
          </cell>
          <cell r="G606">
            <v>165000000</v>
          </cell>
          <cell r="H606">
            <v>165000000</v>
          </cell>
        </row>
        <row r="607">
          <cell r="B607" t="str">
            <v>나.</v>
          </cell>
          <cell r="C607" t="str">
            <v>배치플랜트 철거공</v>
          </cell>
          <cell r="D607" t="str">
            <v>(120m3/hr 1기)</v>
          </cell>
          <cell r="E607">
            <v>1</v>
          </cell>
          <cell r="F607" t="str">
            <v>식</v>
          </cell>
          <cell r="G607">
            <v>7900000</v>
          </cell>
          <cell r="H607">
            <v>7900000</v>
          </cell>
        </row>
        <row r="608">
          <cell r="B608" t="str">
            <v>16)</v>
          </cell>
          <cell r="C608" t="str">
            <v>콘크리트포장장비임대</v>
          </cell>
          <cell r="H608">
            <v>0</v>
          </cell>
        </row>
        <row r="609">
          <cell r="B609" t="str">
            <v>가.</v>
          </cell>
          <cell r="C609" t="str">
            <v>포장장비 임대료</v>
          </cell>
          <cell r="D609" t="str">
            <v>(1차선 포설장비)</v>
          </cell>
          <cell r="E609">
            <v>0.4</v>
          </cell>
          <cell r="F609" t="str">
            <v>개월</v>
          </cell>
          <cell r="G609">
            <v>20000000</v>
          </cell>
          <cell r="H609">
            <v>8000000</v>
          </cell>
        </row>
        <row r="610">
          <cell r="B610" t="str">
            <v>나.</v>
          </cell>
          <cell r="C610" t="str">
            <v>포장장비 임대료</v>
          </cell>
          <cell r="D610" t="str">
            <v>(2차선 포설장비)</v>
          </cell>
          <cell r="E610">
            <v>3.5</v>
          </cell>
          <cell r="F610" t="str">
            <v>개월</v>
          </cell>
          <cell r="G610">
            <v>32000000</v>
          </cell>
          <cell r="H610">
            <v>112000000</v>
          </cell>
        </row>
        <row r="611">
          <cell r="B611" t="str">
            <v>17)</v>
          </cell>
          <cell r="C611" t="str">
            <v>골재생산및운반</v>
          </cell>
          <cell r="H611">
            <v>0</v>
          </cell>
        </row>
        <row r="612">
          <cell r="B612" t="str">
            <v>가.</v>
          </cell>
          <cell r="C612" t="str">
            <v>모래운반</v>
          </cell>
          <cell r="D612" t="str">
            <v>(몰탈용)</v>
          </cell>
          <cell r="E612">
            <v>316</v>
          </cell>
          <cell r="F612" t="str">
            <v>M3</v>
          </cell>
          <cell r="G612">
            <v>10000</v>
          </cell>
          <cell r="H612">
            <v>3160000</v>
          </cell>
        </row>
        <row r="613">
          <cell r="B613" t="str">
            <v>나.</v>
          </cell>
          <cell r="C613" t="str">
            <v>모래운반</v>
          </cell>
          <cell r="D613" t="str">
            <v>(콘크리트용)</v>
          </cell>
          <cell r="E613">
            <v>148369</v>
          </cell>
          <cell r="F613" t="str">
            <v>M3</v>
          </cell>
          <cell r="G613">
            <v>9500</v>
          </cell>
          <cell r="H613">
            <v>1409505500</v>
          </cell>
        </row>
        <row r="614">
          <cell r="B614" t="str">
            <v>다.</v>
          </cell>
          <cell r="C614" t="str">
            <v>쇄석골재 생산</v>
          </cell>
          <cell r="D614" t="str">
            <v>(D=15M/M)</v>
          </cell>
          <cell r="E614">
            <v>4068</v>
          </cell>
          <cell r="F614" t="str">
            <v>TON</v>
          </cell>
          <cell r="G614">
            <v>9000</v>
          </cell>
          <cell r="H614">
            <v>36612000</v>
          </cell>
        </row>
        <row r="615">
          <cell r="B615" t="str">
            <v>라.</v>
          </cell>
          <cell r="C615" t="str">
            <v>쇄석골재 생산</v>
          </cell>
          <cell r="D615" t="str">
            <v>(D=19M/M)</v>
          </cell>
          <cell r="E615">
            <v>8851</v>
          </cell>
          <cell r="F615" t="str">
            <v>TON</v>
          </cell>
          <cell r="G615">
            <v>9000</v>
          </cell>
          <cell r="H615">
            <v>79659000</v>
          </cell>
        </row>
        <row r="616">
          <cell r="B616" t="str">
            <v>마.</v>
          </cell>
          <cell r="C616" t="str">
            <v>쇄석골재 생산</v>
          </cell>
          <cell r="D616" t="str">
            <v>(D=25M/M)</v>
          </cell>
          <cell r="E616">
            <v>9509</v>
          </cell>
          <cell r="F616" t="str">
            <v>TON</v>
          </cell>
          <cell r="G616">
            <v>8000</v>
          </cell>
          <cell r="H616">
            <v>76072000</v>
          </cell>
        </row>
        <row r="617">
          <cell r="B617" t="str">
            <v>바.</v>
          </cell>
          <cell r="C617" t="str">
            <v>쇄석골재 생산</v>
          </cell>
          <cell r="D617" t="str">
            <v>(D=32M/M)</v>
          </cell>
          <cell r="E617">
            <v>98757</v>
          </cell>
          <cell r="F617" t="str">
            <v>TON</v>
          </cell>
          <cell r="G617">
            <v>7300</v>
          </cell>
          <cell r="H617">
            <v>720926100</v>
          </cell>
        </row>
        <row r="618">
          <cell r="B618" t="str">
            <v>사.</v>
          </cell>
          <cell r="C618" t="str">
            <v>쇄석골재 생산</v>
          </cell>
          <cell r="D618" t="str">
            <v>(D=40M/M)</v>
          </cell>
          <cell r="E618">
            <v>35506</v>
          </cell>
          <cell r="F618" t="str">
            <v>TON</v>
          </cell>
          <cell r="G618">
            <v>7000</v>
          </cell>
          <cell r="H618">
            <v>248542000</v>
          </cell>
        </row>
        <row r="619">
          <cell r="B619" t="str">
            <v>아.</v>
          </cell>
          <cell r="C619" t="str">
            <v>보조기층생산</v>
          </cell>
          <cell r="D619" t="str">
            <v>(현장암유용)</v>
          </cell>
          <cell r="E619">
            <v>22478</v>
          </cell>
          <cell r="F619" t="str">
            <v>M3</v>
          </cell>
          <cell r="G619">
            <v>12000</v>
          </cell>
          <cell r="H619">
            <v>269736000</v>
          </cell>
        </row>
        <row r="620">
          <cell r="B620" t="str">
            <v>자.</v>
          </cell>
          <cell r="C620" t="str">
            <v>선택층생산</v>
          </cell>
          <cell r="D620" t="str">
            <v>(현장암유용)</v>
          </cell>
          <cell r="E620">
            <v>90717</v>
          </cell>
          <cell r="F620" t="str">
            <v>M3</v>
          </cell>
          <cell r="G620">
            <v>10400</v>
          </cell>
          <cell r="H620">
            <v>943456800</v>
          </cell>
        </row>
        <row r="621">
          <cell r="B621" t="str">
            <v>6.</v>
          </cell>
          <cell r="C621" t="str">
            <v>안전시설공</v>
          </cell>
          <cell r="H621">
            <v>1808475120</v>
          </cell>
        </row>
        <row r="622">
          <cell r="B622" t="str">
            <v>1)</v>
          </cell>
          <cell r="C622" t="str">
            <v>차선도색</v>
          </cell>
          <cell r="H622">
            <v>0</v>
          </cell>
        </row>
        <row r="623">
          <cell r="B623" t="str">
            <v>가.</v>
          </cell>
          <cell r="C623" t="str">
            <v>차선도색</v>
          </cell>
          <cell r="D623" t="str">
            <v>(백색)</v>
          </cell>
          <cell r="E623">
            <v>10349</v>
          </cell>
          <cell r="F623" t="str">
            <v>M2</v>
          </cell>
          <cell r="G623">
            <v>3000</v>
          </cell>
          <cell r="H623">
            <v>31047000</v>
          </cell>
        </row>
        <row r="624">
          <cell r="B624" t="str">
            <v>나.</v>
          </cell>
          <cell r="C624" t="str">
            <v>차선도색</v>
          </cell>
          <cell r="D624" t="str">
            <v>(황색)</v>
          </cell>
          <cell r="E624">
            <v>5423</v>
          </cell>
          <cell r="F624" t="str">
            <v>M2</v>
          </cell>
          <cell r="G624">
            <v>3800</v>
          </cell>
          <cell r="H624">
            <v>20607400</v>
          </cell>
        </row>
        <row r="625">
          <cell r="B625" t="str">
            <v>2)</v>
          </cell>
          <cell r="C625" t="str">
            <v>도로표지판</v>
          </cell>
          <cell r="H625">
            <v>0</v>
          </cell>
        </row>
        <row r="626">
          <cell r="B626" t="str">
            <v>가.</v>
          </cell>
          <cell r="C626" t="str">
            <v>토공</v>
          </cell>
          <cell r="H626">
            <v>0</v>
          </cell>
        </row>
        <row r="627">
          <cell r="B627" t="str">
            <v>a.</v>
          </cell>
          <cell r="C627" t="str">
            <v>구조물터파기</v>
          </cell>
          <cell r="D627" t="str">
            <v>(육상토사0∼4m)</v>
          </cell>
          <cell r="E627">
            <v>2131</v>
          </cell>
          <cell r="F627" t="str">
            <v>M3</v>
          </cell>
          <cell r="G627">
            <v>3200</v>
          </cell>
          <cell r="H627">
            <v>6819200</v>
          </cell>
        </row>
        <row r="628">
          <cell r="B628" t="str">
            <v>b.</v>
          </cell>
          <cell r="C628" t="str">
            <v>구조물터파기</v>
          </cell>
          <cell r="D628" t="str">
            <v>(육상발파암0∼4m)</v>
          </cell>
          <cell r="E628">
            <v>573</v>
          </cell>
          <cell r="F628" t="str">
            <v>M3</v>
          </cell>
          <cell r="G628">
            <v>100000</v>
          </cell>
          <cell r="H628">
            <v>57300000</v>
          </cell>
        </row>
        <row r="629">
          <cell r="B629" t="str">
            <v>c.</v>
          </cell>
          <cell r="C629" t="str">
            <v>되메우기및다짐</v>
          </cell>
          <cell r="E629">
            <v>2181</v>
          </cell>
          <cell r="F629" t="str">
            <v>M3</v>
          </cell>
          <cell r="G629">
            <v>7000</v>
          </cell>
          <cell r="H629">
            <v>15267000</v>
          </cell>
        </row>
        <row r="630">
          <cell r="B630" t="str">
            <v>나.</v>
          </cell>
          <cell r="C630" t="str">
            <v>콘크리트타설</v>
          </cell>
          <cell r="D630" t="str">
            <v>(소형,진동기포함)</v>
          </cell>
          <cell r="E630">
            <v>466</v>
          </cell>
          <cell r="F630" t="str">
            <v>M3</v>
          </cell>
          <cell r="G630">
            <v>28000</v>
          </cell>
          <cell r="H630">
            <v>13048000</v>
          </cell>
        </row>
        <row r="631">
          <cell r="B631" t="str">
            <v>다.</v>
          </cell>
          <cell r="C631" t="str">
            <v>콘크리트타설</v>
          </cell>
          <cell r="D631" t="str">
            <v>(소형,진동기제외)</v>
          </cell>
          <cell r="E631">
            <v>57</v>
          </cell>
          <cell r="F631" t="str">
            <v>M3</v>
          </cell>
          <cell r="G631">
            <v>28000</v>
          </cell>
          <cell r="H631">
            <v>1596000</v>
          </cell>
        </row>
        <row r="632">
          <cell r="B632" t="str">
            <v>라.</v>
          </cell>
          <cell r="C632" t="str">
            <v>합판거푸집</v>
          </cell>
          <cell r="D632" t="str">
            <v>(6회)</v>
          </cell>
          <cell r="E632">
            <v>1175</v>
          </cell>
          <cell r="F632" t="str">
            <v>M2</v>
          </cell>
          <cell r="G632">
            <v>11900</v>
          </cell>
          <cell r="H632">
            <v>13982500</v>
          </cell>
        </row>
        <row r="633">
          <cell r="B633" t="str">
            <v>마.</v>
          </cell>
          <cell r="C633" t="str">
            <v>철근가공조립</v>
          </cell>
          <cell r="D633" t="str">
            <v>(간단)</v>
          </cell>
          <cell r="E633">
            <v>31.724</v>
          </cell>
          <cell r="F633" t="str">
            <v>TON</v>
          </cell>
          <cell r="G633">
            <v>230000</v>
          </cell>
          <cell r="H633">
            <v>7296520</v>
          </cell>
        </row>
        <row r="634">
          <cell r="B634" t="str">
            <v>바.</v>
          </cell>
          <cell r="C634" t="str">
            <v>표지판</v>
          </cell>
          <cell r="H634">
            <v>0</v>
          </cell>
        </row>
        <row r="635">
          <cell r="B635" t="str">
            <v>a.</v>
          </cell>
          <cell r="C635" t="str">
            <v>삼각표지판</v>
          </cell>
          <cell r="D635" t="str">
            <v>(ㅿ120Cm)</v>
          </cell>
          <cell r="E635">
            <v>53</v>
          </cell>
          <cell r="F635" t="str">
            <v>EA</v>
          </cell>
          <cell r="G635">
            <v>94000</v>
          </cell>
          <cell r="H635">
            <v>4982000</v>
          </cell>
        </row>
        <row r="636">
          <cell r="B636" t="str">
            <v>b.</v>
          </cell>
          <cell r="C636" t="str">
            <v>원형표지판</v>
          </cell>
          <cell r="D636" t="str">
            <v>(D900)</v>
          </cell>
          <cell r="E636">
            <v>11</v>
          </cell>
          <cell r="F636" t="str">
            <v>EA</v>
          </cell>
          <cell r="G636">
            <v>94000</v>
          </cell>
          <cell r="H636">
            <v>1034000</v>
          </cell>
        </row>
        <row r="637">
          <cell r="B637" t="str">
            <v>c.</v>
          </cell>
          <cell r="C637" t="str">
            <v>이중삼각표지판</v>
          </cell>
          <cell r="D637" t="str">
            <v>(1.2×1.039,2EA)</v>
          </cell>
          <cell r="E637">
            <v>15</v>
          </cell>
          <cell r="F637" t="str">
            <v>EA</v>
          </cell>
          <cell r="G637">
            <v>110000</v>
          </cell>
          <cell r="H637">
            <v>1650000</v>
          </cell>
        </row>
        <row r="638">
          <cell r="B638" t="str">
            <v>d.</v>
          </cell>
          <cell r="C638" t="str">
            <v>삼각및원형표지판</v>
          </cell>
          <cell r="D638" t="str">
            <v>(1.2×1.039+D900)</v>
          </cell>
          <cell r="E638">
            <v>6</v>
          </cell>
          <cell r="F638" t="str">
            <v>EA</v>
          </cell>
          <cell r="G638">
            <v>110000</v>
          </cell>
          <cell r="H638">
            <v>660000</v>
          </cell>
        </row>
        <row r="639">
          <cell r="B639" t="str">
            <v>e.</v>
          </cell>
          <cell r="C639" t="str">
            <v>삼각및소형사각표지판</v>
          </cell>
          <cell r="D639" t="str">
            <v>(0.9+0.9×0.45)</v>
          </cell>
          <cell r="E639">
            <v>12</v>
          </cell>
          <cell r="F639" t="str">
            <v>EA</v>
          </cell>
          <cell r="G639">
            <v>110000</v>
          </cell>
          <cell r="H639">
            <v>1320000</v>
          </cell>
        </row>
        <row r="640">
          <cell r="B640" t="str">
            <v>f.</v>
          </cell>
          <cell r="C640" t="str">
            <v>돌아가는 길</v>
          </cell>
          <cell r="D640" t="str">
            <v>(1.66×0.85)</v>
          </cell>
          <cell r="E640">
            <v>1</v>
          </cell>
          <cell r="F640" t="str">
            <v>EA</v>
          </cell>
          <cell r="G640">
            <v>232000</v>
          </cell>
          <cell r="H640">
            <v>232000</v>
          </cell>
        </row>
        <row r="641">
          <cell r="B641" t="str">
            <v>g.</v>
          </cell>
          <cell r="C641" t="str">
            <v>과적단속,중량초과</v>
          </cell>
          <cell r="D641" t="str">
            <v>(0.7×1.0)</v>
          </cell>
          <cell r="E641">
            <v>4</v>
          </cell>
          <cell r="F641" t="str">
            <v>EA</v>
          </cell>
          <cell r="G641">
            <v>140000</v>
          </cell>
          <cell r="H641">
            <v>560000</v>
          </cell>
        </row>
        <row r="642">
          <cell r="B642" t="str">
            <v>h.</v>
          </cell>
          <cell r="C642" t="str">
            <v>면,읍계표지판</v>
          </cell>
          <cell r="D642" t="str">
            <v>(1.4×0.7)</v>
          </cell>
          <cell r="E642">
            <v>1</v>
          </cell>
          <cell r="F642" t="str">
            <v>EA</v>
          </cell>
          <cell r="G642">
            <v>290000</v>
          </cell>
          <cell r="H642">
            <v>290000</v>
          </cell>
        </row>
        <row r="643">
          <cell r="B643" t="str">
            <v>i.</v>
          </cell>
          <cell r="C643" t="str">
            <v>시,군경계표시</v>
          </cell>
          <cell r="D643" t="str">
            <v>(1.75×0.9,0.35)</v>
          </cell>
          <cell r="E643">
            <v>1</v>
          </cell>
          <cell r="F643" t="str">
            <v>EA</v>
          </cell>
          <cell r="G643">
            <v>730000</v>
          </cell>
          <cell r="H643">
            <v>730000</v>
          </cell>
        </row>
        <row r="644">
          <cell r="B644" t="str">
            <v>j.</v>
          </cell>
          <cell r="C644" t="str">
            <v>오르막차선표지판</v>
          </cell>
          <cell r="D644" t="str">
            <v>(2.4×0.95)</v>
          </cell>
          <cell r="E644">
            <v>4</v>
          </cell>
          <cell r="F644" t="str">
            <v>EA</v>
          </cell>
          <cell r="G644">
            <v>562000</v>
          </cell>
          <cell r="H644">
            <v>2248000</v>
          </cell>
        </row>
        <row r="645">
          <cell r="B645" t="str">
            <v>k.</v>
          </cell>
          <cell r="C645" t="str">
            <v>이정표지</v>
          </cell>
          <cell r="D645" t="str">
            <v>(지명둘,2.35×1.6)</v>
          </cell>
          <cell r="E645">
            <v>7</v>
          </cell>
          <cell r="F645" t="str">
            <v>EA</v>
          </cell>
          <cell r="G645">
            <v>720000</v>
          </cell>
          <cell r="H645">
            <v>5040000</v>
          </cell>
        </row>
        <row r="646">
          <cell r="B646" t="str">
            <v>l.</v>
          </cell>
          <cell r="C646" t="str">
            <v>눈비올때, 이상기후시</v>
          </cell>
          <cell r="D646" t="str">
            <v>(2.6×1.45)</v>
          </cell>
          <cell r="E646">
            <v>4</v>
          </cell>
          <cell r="F646" t="str">
            <v>EA</v>
          </cell>
          <cell r="G646">
            <v>750000</v>
          </cell>
          <cell r="H646">
            <v>3000000</v>
          </cell>
        </row>
        <row r="647">
          <cell r="B647" t="str">
            <v>m.</v>
          </cell>
          <cell r="C647" t="str">
            <v>터널예고표시</v>
          </cell>
          <cell r="D647" t="str">
            <v>(3.4×2.25,3.5×0.9)</v>
          </cell>
          <cell r="E647">
            <v>2</v>
          </cell>
          <cell r="F647" t="str">
            <v>EA</v>
          </cell>
          <cell r="G647">
            <v>1520000</v>
          </cell>
          <cell r="H647">
            <v>3040000</v>
          </cell>
        </row>
        <row r="648">
          <cell r="B648" t="str">
            <v>n.</v>
          </cell>
          <cell r="C648" t="str">
            <v>오르막차선</v>
          </cell>
          <cell r="D648" t="str">
            <v>(내민식,2.4x0.95)</v>
          </cell>
          <cell r="E648">
            <v>2</v>
          </cell>
          <cell r="F648" t="str">
            <v>EA</v>
          </cell>
          <cell r="G648">
            <v>1290000</v>
          </cell>
          <cell r="H648">
            <v>2580000</v>
          </cell>
        </row>
        <row r="649">
          <cell r="B649" t="str">
            <v>o.</v>
          </cell>
          <cell r="C649" t="str">
            <v>운행제한과적검문소</v>
          </cell>
          <cell r="D649" t="str">
            <v>(2.4x1.45,내민식)</v>
          </cell>
          <cell r="E649">
            <v>6</v>
          </cell>
          <cell r="F649" t="str">
            <v>EA</v>
          </cell>
          <cell r="G649">
            <v>1400000</v>
          </cell>
          <cell r="H649">
            <v>8400000</v>
          </cell>
        </row>
        <row r="650">
          <cell r="B650" t="str">
            <v>p.</v>
          </cell>
          <cell r="C650" t="str">
            <v>과적차량차선유도표지</v>
          </cell>
          <cell r="D650" t="str">
            <v>(2.4x1.45x2EA내민식)</v>
          </cell>
          <cell r="E650">
            <v>2</v>
          </cell>
          <cell r="F650" t="str">
            <v>EA</v>
          </cell>
          <cell r="G650">
            <v>1400000</v>
          </cell>
          <cell r="H650">
            <v>2800000</v>
          </cell>
        </row>
        <row r="651">
          <cell r="B651" t="str">
            <v>q.</v>
          </cell>
          <cell r="C651" t="str">
            <v>3방향예고표지</v>
          </cell>
          <cell r="D651" t="str">
            <v>(3.85x1.9,내민식)</v>
          </cell>
          <cell r="E651">
            <v>6</v>
          </cell>
          <cell r="F651" t="str">
            <v>EA</v>
          </cell>
          <cell r="G651">
            <v>1700000</v>
          </cell>
          <cell r="H651">
            <v>10200000</v>
          </cell>
        </row>
        <row r="652">
          <cell r="B652" t="str">
            <v>r.</v>
          </cell>
          <cell r="C652" t="str">
            <v>2방향표지판</v>
          </cell>
          <cell r="D652" t="str">
            <v>(2.5x1.75,내민식)</v>
          </cell>
          <cell r="E652">
            <v>22</v>
          </cell>
          <cell r="F652" t="str">
            <v>EA</v>
          </cell>
          <cell r="G652">
            <v>1500000</v>
          </cell>
          <cell r="H652">
            <v>33000000</v>
          </cell>
        </row>
        <row r="653">
          <cell r="B653" t="str">
            <v>s.</v>
          </cell>
          <cell r="C653" t="str">
            <v>2방향표지판</v>
          </cell>
          <cell r="D653" t="str">
            <v>(2.5x1.75,내민식)</v>
          </cell>
          <cell r="E653">
            <v>6</v>
          </cell>
          <cell r="F653" t="str">
            <v>EA</v>
          </cell>
          <cell r="G653">
            <v>1500000</v>
          </cell>
          <cell r="H653">
            <v>9000000</v>
          </cell>
        </row>
        <row r="654">
          <cell r="B654" t="str">
            <v>3)</v>
          </cell>
          <cell r="C654" t="str">
            <v>가드레일</v>
          </cell>
          <cell r="H654">
            <v>0</v>
          </cell>
        </row>
        <row r="655">
          <cell r="B655" t="str">
            <v>가.</v>
          </cell>
          <cell r="C655" t="str">
            <v>표준 레일</v>
          </cell>
          <cell r="E655">
            <v>5526</v>
          </cell>
          <cell r="F655" t="str">
            <v>EA</v>
          </cell>
          <cell r="G655">
            <v>55000</v>
          </cell>
          <cell r="H655">
            <v>303930000</v>
          </cell>
        </row>
        <row r="656">
          <cell r="B656" t="str">
            <v>나.</v>
          </cell>
          <cell r="C656" t="str">
            <v>단부 레일</v>
          </cell>
          <cell r="E656">
            <v>141</v>
          </cell>
          <cell r="F656" t="str">
            <v>EA</v>
          </cell>
          <cell r="G656">
            <v>20000</v>
          </cell>
          <cell r="H656">
            <v>2820000</v>
          </cell>
        </row>
        <row r="657">
          <cell r="B657" t="str">
            <v>다.</v>
          </cell>
          <cell r="C657" t="str">
            <v>레일포스트</v>
          </cell>
          <cell r="D657" t="str">
            <v>(L=2.2m)</v>
          </cell>
          <cell r="E657">
            <v>5572</v>
          </cell>
          <cell r="F657" t="str">
            <v>EA</v>
          </cell>
          <cell r="G657">
            <v>37000</v>
          </cell>
          <cell r="H657">
            <v>206164000</v>
          </cell>
        </row>
        <row r="658">
          <cell r="B658" t="str">
            <v>라.</v>
          </cell>
          <cell r="C658" t="str">
            <v>단부콘크리트</v>
          </cell>
          <cell r="E658">
            <v>49</v>
          </cell>
          <cell r="F658" t="str">
            <v>EA</v>
          </cell>
          <cell r="G658">
            <v>45000</v>
          </cell>
          <cell r="H658">
            <v>2205000</v>
          </cell>
        </row>
        <row r="659">
          <cell r="B659" t="str">
            <v>4)</v>
          </cell>
          <cell r="C659" t="str">
            <v>데리네이타</v>
          </cell>
          <cell r="H659">
            <v>0</v>
          </cell>
        </row>
        <row r="660">
          <cell r="B660" t="str">
            <v>가.</v>
          </cell>
          <cell r="C660" t="str">
            <v>데리네이타</v>
          </cell>
          <cell r="D660" t="str">
            <v>(중분대구체용)</v>
          </cell>
          <cell r="E660">
            <v>344</v>
          </cell>
          <cell r="F660" t="str">
            <v>EA</v>
          </cell>
          <cell r="G660">
            <v>15000</v>
          </cell>
          <cell r="H660">
            <v>5160000</v>
          </cell>
        </row>
        <row r="661">
          <cell r="B661" t="str">
            <v>나.</v>
          </cell>
          <cell r="C661" t="str">
            <v>데리네이타</v>
          </cell>
          <cell r="D661" t="str">
            <v>(중분대단부용)</v>
          </cell>
          <cell r="E661">
            <v>9</v>
          </cell>
          <cell r="F661" t="str">
            <v>EA</v>
          </cell>
          <cell r="G661">
            <v>16000</v>
          </cell>
          <cell r="H661">
            <v>144000</v>
          </cell>
        </row>
        <row r="662">
          <cell r="B662" t="str">
            <v>다.</v>
          </cell>
          <cell r="C662" t="str">
            <v>데리네이터</v>
          </cell>
          <cell r="D662" t="str">
            <v>(가드레일용)</v>
          </cell>
          <cell r="E662">
            <v>679</v>
          </cell>
          <cell r="F662" t="str">
            <v>EA</v>
          </cell>
          <cell r="G662">
            <v>20000</v>
          </cell>
          <cell r="H662">
            <v>13580000</v>
          </cell>
        </row>
        <row r="663">
          <cell r="B663" t="str">
            <v>라.</v>
          </cell>
          <cell r="C663" t="str">
            <v>데리네이터</v>
          </cell>
          <cell r="D663" t="str">
            <v>(교량용)</v>
          </cell>
          <cell r="E663">
            <v>75</v>
          </cell>
          <cell r="F663" t="str">
            <v>EA</v>
          </cell>
          <cell r="G663">
            <v>21000</v>
          </cell>
          <cell r="H663">
            <v>1575000</v>
          </cell>
        </row>
        <row r="664">
          <cell r="B664" t="str">
            <v>마.</v>
          </cell>
          <cell r="C664" t="str">
            <v>데리네이터</v>
          </cell>
          <cell r="D664" t="str">
            <v>(옹벽용)</v>
          </cell>
          <cell r="E664">
            <v>90</v>
          </cell>
          <cell r="F664" t="str">
            <v>EA</v>
          </cell>
          <cell r="G664">
            <v>21000</v>
          </cell>
          <cell r="H664">
            <v>1890000</v>
          </cell>
        </row>
        <row r="665">
          <cell r="B665" t="str">
            <v>바.</v>
          </cell>
          <cell r="C665" t="str">
            <v>데리네이타</v>
          </cell>
          <cell r="D665" t="str">
            <v>(토공용가이드포스트)</v>
          </cell>
          <cell r="E665">
            <v>386</v>
          </cell>
          <cell r="F665" t="str">
            <v>EA</v>
          </cell>
          <cell r="G665">
            <v>21000</v>
          </cell>
          <cell r="H665">
            <v>8106000</v>
          </cell>
        </row>
        <row r="666">
          <cell r="B666" t="str">
            <v>사.</v>
          </cell>
          <cell r="C666" t="str">
            <v>소분리대반사판</v>
          </cell>
          <cell r="E666">
            <v>6</v>
          </cell>
          <cell r="F666" t="str">
            <v>EA</v>
          </cell>
          <cell r="G666">
            <v>168000</v>
          </cell>
          <cell r="H666">
            <v>1008000</v>
          </cell>
        </row>
        <row r="667">
          <cell r="B667" t="str">
            <v>아.</v>
          </cell>
          <cell r="C667" t="str">
            <v>갈매기표지판</v>
          </cell>
          <cell r="D667" t="str">
            <v>(양면)</v>
          </cell>
          <cell r="E667">
            <v>64</v>
          </cell>
          <cell r="F667" t="str">
            <v>EA</v>
          </cell>
          <cell r="G667">
            <v>181000</v>
          </cell>
          <cell r="H667">
            <v>11584000</v>
          </cell>
        </row>
        <row r="668">
          <cell r="B668" t="str">
            <v>자.</v>
          </cell>
          <cell r="C668" t="str">
            <v>갈매기표지판</v>
          </cell>
          <cell r="D668" t="str">
            <v>(단면)</v>
          </cell>
          <cell r="E668">
            <v>63</v>
          </cell>
          <cell r="F668" t="str">
            <v>EA</v>
          </cell>
          <cell r="G668">
            <v>128000</v>
          </cell>
          <cell r="H668">
            <v>8064000</v>
          </cell>
        </row>
        <row r="669">
          <cell r="B669" t="str">
            <v>카.</v>
          </cell>
          <cell r="C669" t="str">
            <v>도로표지병</v>
          </cell>
          <cell r="E669">
            <v>1105</v>
          </cell>
          <cell r="F669" t="str">
            <v>EA</v>
          </cell>
          <cell r="G669">
            <v>18000</v>
          </cell>
          <cell r="H669">
            <v>19890000</v>
          </cell>
        </row>
        <row r="670">
          <cell r="B670" t="str">
            <v>5)</v>
          </cell>
          <cell r="C670" t="str">
            <v>중앙분리대</v>
          </cell>
          <cell r="H670">
            <v>0</v>
          </cell>
        </row>
        <row r="671">
          <cell r="B671" t="str">
            <v>가.</v>
          </cell>
          <cell r="C671" t="str">
            <v>중앙분리대</v>
          </cell>
          <cell r="E671">
            <v>11679</v>
          </cell>
          <cell r="F671" t="str">
            <v>M</v>
          </cell>
          <cell r="G671">
            <v>5500</v>
          </cell>
          <cell r="H671">
            <v>64234500</v>
          </cell>
        </row>
        <row r="672">
          <cell r="B672" t="str">
            <v>나.</v>
          </cell>
          <cell r="C672" t="str">
            <v>중앙분리대</v>
          </cell>
          <cell r="D672" t="str">
            <v>(단부)</v>
          </cell>
          <cell r="E672">
            <v>9</v>
          </cell>
          <cell r="F672" t="str">
            <v>개소</v>
          </cell>
          <cell r="G672">
            <v>16000</v>
          </cell>
          <cell r="H672">
            <v>144000</v>
          </cell>
        </row>
        <row r="673">
          <cell r="B673" t="str">
            <v>다.</v>
          </cell>
          <cell r="C673" t="str">
            <v>중앙분리대</v>
          </cell>
          <cell r="D673" t="str">
            <v>(개구부)</v>
          </cell>
          <cell r="E673">
            <v>9</v>
          </cell>
          <cell r="F673" t="str">
            <v>개소</v>
          </cell>
          <cell r="G673">
            <v>28000</v>
          </cell>
          <cell r="H673">
            <v>252000</v>
          </cell>
        </row>
        <row r="674">
          <cell r="B674" t="str">
            <v>라.</v>
          </cell>
          <cell r="C674" t="str">
            <v>중앙분리대</v>
          </cell>
          <cell r="D674" t="str">
            <v>(조인트 마감처리)</v>
          </cell>
          <cell r="E674">
            <v>375</v>
          </cell>
          <cell r="F674" t="str">
            <v>EA</v>
          </cell>
          <cell r="G674">
            <v>1000</v>
          </cell>
          <cell r="H674">
            <v>375000</v>
          </cell>
        </row>
        <row r="675">
          <cell r="B675" t="str">
            <v>마.</v>
          </cell>
          <cell r="C675" t="str">
            <v>중앙분리대</v>
          </cell>
          <cell r="D675" t="str">
            <v>(램프토공용)</v>
          </cell>
          <cell r="E675">
            <v>406</v>
          </cell>
          <cell r="F675" t="str">
            <v>M</v>
          </cell>
          <cell r="G675">
            <v>3000</v>
          </cell>
          <cell r="H675">
            <v>1218000</v>
          </cell>
        </row>
        <row r="676">
          <cell r="B676" t="str">
            <v>바.</v>
          </cell>
          <cell r="C676" t="str">
            <v>중앙분리대차광망</v>
          </cell>
          <cell r="E676">
            <v>3358</v>
          </cell>
          <cell r="F676" t="str">
            <v>M</v>
          </cell>
          <cell r="G676">
            <v>22000</v>
          </cell>
          <cell r="H676">
            <v>73876000</v>
          </cell>
        </row>
        <row r="677">
          <cell r="B677" t="str">
            <v>6)</v>
          </cell>
          <cell r="C677" t="str">
            <v>낙석방지공</v>
          </cell>
          <cell r="H677">
            <v>0</v>
          </cell>
        </row>
        <row r="678">
          <cell r="B678" t="str">
            <v>가.</v>
          </cell>
          <cell r="C678" t="str">
            <v>낙석방책</v>
          </cell>
          <cell r="D678" t="str">
            <v>(표준구간)</v>
          </cell>
          <cell r="E678">
            <v>2290</v>
          </cell>
          <cell r="F678" t="str">
            <v>M</v>
          </cell>
          <cell r="G678">
            <v>53000</v>
          </cell>
          <cell r="H678">
            <v>121370000</v>
          </cell>
        </row>
        <row r="679">
          <cell r="B679" t="str">
            <v>나.</v>
          </cell>
          <cell r="C679" t="str">
            <v>낙석방책</v>
          </cell>
          <cell r="D679" t="str">
            <v>(단부)</v>
          </cell>
          <cell r="E679">
            <v>58</v>
          </cell>
          <cell r="F679" t="str">
            <v>EA</v>
          </cell>
          <cell r="G679">
            <v>130000</v>
          </cell>
          <cell r="H679">
            <v>7540000</v>
          </cell>
        </row>
        <row r="680">
          <cell r="B680" t="str">
            <v>다.</v>
          </cell>
          <cell r="C680" t="str">
            <v>낙석방지망</v>
          </cell>
          <cell r="E680">
            <v>35840</v>
          </cell>
          <cell r="F680" t="str">
            <v>M2</v>
          </cell>
          <cell r="G680">
            <v>18000</v>
          </cell>
          <cell r="H680">
            <v>645120000</v>
          </cell>
        </row>
        <row r="681">
          <cell r="B681" t="str">
            <v>8)</v>
          </cell>
          <cell r="C681" t="str">
            <v>미끄럼방지시설</v>
          </cell>
          <cell r="E681">
            <v>1578</v>
          </cell>
          <cell r="F681" t="str">
            <v>M2</v>
          </cell>
          <cell r="G681">
            <v>32000</v>
          </cell>
          <cell r="H681">
            <v>50496000</v>
          </cell>
        </row>
        <row r="682">
          <cell r="B682" t="str">
            <v>7.</v>
          </cell>
          <cell r="C682" t="str">
            <v>부대공</v>
          </cell>
          <cell r="H682">
            <v>9616005090</v>
          </cell>
        </row>
        <row r="683">
          <cell r="B683" t="str">
            <v>1)</v>
          </cell>
          <cell r="C683" t="str">
            <v>방음벽</v>
          </cell>
          <cell r="H683">
            <v>0</v>
          </cell>
        </row>
        <row r="684">
          <cell r="B684" t="str">
            <v>가.</v>
          </cell>
          <cell r="C684" t="str">
            <v>방음벽</v>
          </cell>
          <cell r="D684" t="str">
            <v>토공용(H=1.6M)</v>
          </cell>
          <cell r="E684">
            <v>396</v>
          </cell>
          <cell r="F684" t="str">
            <v>M</v>
          </cell>
          <cell r="G684">
            <v>370000</v>
          </cell>
          <cell r="H684">
            <v>146520000</v>
          </cell>
        </row>
        <row r="685">
          <cell r="B685" t="str">
            <v>나.</v>
          </cell>
          <cell r="C685" t="str">
            <v>방음벽</v>
          </cell>
          <cell r="D685" t="str">
            <v>토공용(H=2.0M)</v>
          </cell>
          <cell r="E685">
            <v>200</v>
          </cell>
          <cell r="F685" t="str">
            <v>M</v>
          </cell>
          <cell r="G685">
            <v>415000</v>
          </cell>
          <cell r="H685">
            <v>83000000</v>
          </cell>
        </row>
        <row r="686">
          <cell r="B686" t="str">
            <v>다.</v>
          </cell>
          <cell r="C686" t="str">
            <v>방음벽</v>
          </cell>
          <cell r="D686" t="str">
            <v>토공용(H=3.2M)</v>
          </cell>
          <cell r="E686">
            <v>76</v>
          </cell>
          <cell r="F686" t="str">
            <v>M</v>
          </cell>
          <cell r="G686">
            <v>550000</v>
          </cell>
          <cell r="H686">
            <v>41800000</v>
          </cell>
        </row>
        <row r="687">
          <cell r="B687" t="str">
            <v>라.</v>
          </cell>
          <cell r="C687" t="str">
            <v>방음벽</v>
          </cell>
          <cell r="D687" t="str">
            <v>교량용(H=1.6M)</v>
          </cell>
          <cell r="E687">
            <v>758</v>
          </cell>
          <cell r="F687" t="str">
            <v>M</v>
          </cell>
          <cell r="G687">
            <v>200000</v>
          </cell>
          <cell r="H687">
            <v>151600000</v>
          </cell>
        </row>
        <row r="688">
          <cell r="B688" t="str">
            <v>2)</v>
          </cell>
          <cell r="C688" t="str">
            <v>비탈면보호공</v>
          </cell>
          <cell r="H688">
            <v>0</v>
          </cell>
        </row>
        <row r="689">
          <cell r="B689" t="str">
            <v>가.</v>
          </cell>
          <cell r="C689" t="str">
            <v>측구터파기</v>
          </cell>
          <cell r="D689" t="str">
            <v>(토사)</v>
          </cell>
          <cell r="E689">
            <v>205</v>
          </cell>
          <cell r="F689" t="str">
            <v>M3</v>
          </cell>
          <cell r="G689">
            <v>3800</v>
          </cell>
          <cell r="H689">
            <v>779000</v>
          </cell>
        </row>
        <row r="690">
          <cell r="B690" t="str">
            <v>나.</v>
          </cell>
          <cell r="C690" t="str">
            <v>되메우기 및 다짐공</v>
          </cell>
          <cell r="D690" t="str">
            <v>(인력10％+기계90％)</v>
          </cell>
          <cell r="E690">
            <v>162</v>
          </cell>
          <cell r="F690" t="str">
            <v>M3</v>
          </cell>
          <cell r="G690">
            <v>2000</v>
          </cell>
          <cell r="H690">
            <v>324000</v>
          </cell>
        </row>
        <row r="691">
          <cell r="B691" t="str">
            <v>다.</v>
          </cell>
          <cell r="C691" t="str">
            <v>합판거푸집</v>
          </cell>
          <cell r="D691" t="str">
            <v>(6회)</v>
          </cell>
          <cell r="E691">
            <v>68</v>
          </cell>
          <cell r="F691" t="str">
            <v>M2</v>
          </cell>
          <cell r="G691">
            <v>11900</v>
          </cell>
          <cell r="H691">
            <v>809200</v>
          </cell>
        </row>
        <row r="692">
          <cell r="B692" t="str">
            <v>라.</v>
          </cell>
          <cell r="C692" t="str">
            <v>콘크리트타설</v>
          </cell>
          <cell r="D692" t="str">
            <v>(무근,진동기제외)</v>
          </cell>
          <cell r="E692">
            <v>30</v>
          </cell>
          <cell r="F692" t="str">
            <v>M3</v>
          </cell>
          <cell r="G692">
            <v>17000</v>
          </cell>
          <cell r="H692">
            <v>510000</v>
          </cell>
        </row>
        <row r="693">
          <cell r="B693" t="str">
            <v>마.</v>
          </cell>
          <cell r="C693" t="str">
            <v>호안블록</v>
          </cell>
          <cell r="D693" t="str">
            <v>(400x400x100)</v>
          </cell>
          <cell r="E693">
            <v>652</v>
          </cell>
          <cell r="F693" t="str">
            <v>M2</v>
          </cell>
          <cell r="G693">
            <v>24000</v>
          </cell>
          <cell r="H693">
            <v>15648000</v>
          </cell>
        </row>
        <row r="694">
          <cell r="B694" t="str">
            <v>3)</v>
          </cell>
          <cell r="C694" t="str">
            <v>보도</v>
          </cell>
          <cell r="H694">
            <v>0</v>
          </cell>
        </row>
        <row r="695">
          <cell r="B695" t="str">
            <v>가.</v>
          </cell>
          <cell r="C695" t="str">
            <v>보차도경계블럭</v>
          </cell>
          <cell r="E695">
            <v>20</v>
          </cell>
          <cell r="F695" t="str">
            <v>M</v>
          </cell>
          <cell r="G695">
            <v>17000</v>
          </cell>
          <cell r="H695">
            <v>340000</v>
          </cell>
        </row>
        <row r="696">
          <cell r="B696" t="str">
            <v>나.</v>
          </cell>
          <cell r="C696" t="str">
            <v>보차도경계블럭</v>
          </cell>
          <cell r="D696" t="str">
            <v>(화강석)</v>
          </cell>
          <cell r="E696">
            <v>81</v>
          </cell>
          <cell r="F696" t="str">
            <v>M</v>
          </cell>
          <cell r="G696">
            <v>24000</v>
          </cell>
          <cell r="H696">
            <v>1944000</v>
          </cell>
        </row>
        <row r="697">
          <cell r="B697" t="str">
            <v>다.</v>
          </cell>
          <cell r="C697" t="str">
            <v>도로경계블럭</v>
          </cell>
          <cell r="D697" t="str">
            <v>(150x150x1000)</v>
          </cell>
          <cell r="E697">
            <v>81</v>
          </cell>
          <cell r="F697" t="str">
            <v>M</v>
          </cell>
          <cell r="G697">
            <v>12000</v>
          </cell>
          <cell r="H697">
            <v>972000</v>
          </cell>
        </row>
        <row r="698">
          <cell r="B698" t="str">
            <v>라.</v>
          </cell>
          <cell r="C698" t="str">
            <v>소형 고압블럭포장</v>
          </cell>
          <cell r="D698" t="str">
            <v>(S형)</v>
          </cell>
          <cell r="E698">
            <v>930</v>
          </cell>
          <cell r="F698" t="str">
            <v>M2</v>
          </cell>
          <cell r="G698">
            <v>11000</v>
          </cell>
          <cell r="H698">
            <v>10230000</v>
          </cell>
        </row>
        <row r="699">
          <cell r="B699" t="str">
            <v>4)</v>
          </cell>
          <cell r="C699" t="str">
            <v>세륜세차시설</v>
          </cell>
          <cell r="E699">
            <v>1</v>
          </cell>
          <cell r="F699" t="str">
            <v>식</v>
          </cell>
          <cell r="G699">
            <v>50000000</v>
          </cell>
          <cell r="H699">
            <v>50000000</v>
          </cell>
        </row>
        <row r="700">
          <cell r="B700" t="str">
            <v>5)</v>
          </cell>
          <cell r="C700" t="str">
            <v>암파쇄 방호시설</v>
          </cell>
          <cell r="E700">
            <v>840</v>
          </cell>
          <cell r="F700" t="str">
            <v>M</v>
          </cell>
          <cell r="G700">
            <v>400000</v>
          </cell>
          <cell r="H700">
            <v>336000000</v>
          </cell>
        </row>
        <row r="701">
          <cell r="B701" t="str">
            <v>6)</v>
          </cell>
          <cell r="C701" t="str">
            <v>식재공</v>
          </cell>
          <cell r="E701">
            <v>1</v>
          </cell>
          <cell r="F701" t="str">
            <v>식</v>
          </cell>
          <cell r="G701">
            <v>195000000</v>
          </cell>
          <cell r="H701">
            <v>195000000</v>
          </cell>
        </row>
        <row r="702">
          <cell r="B702" t="str">
            <v>7)</v>
          </cell>
          <cell r="C702" t="str">
            <v>가설사무실</v>
          </cell>
          <cell r="E702">
            <v>1</v>
          </cell>
          <cell r="F702" t="str">
            <v>식</v>
          </cell>
          <cell r="G702">
            <v>107000000</v>
          </cell>
          <cell r="H702">
            <v>107000000</v>
          </cell>
        </row>
        <row r="703">
          <cell r="B703" t="str">
            <v>8)</v>
          </cell>
          <cell r="C703" t="str">
            <v>시험비</v>
          </cell>
          <cell r="E703">
            <v>1</v>
          </cell>
          <cell r="F703" t="str">
            <v>식</v>
          </cell>
          <cell r="G703">
            <v>219000000</v>
          </cell>
          <cell r="H703">
            <v>219000000</v>
          </cell>
        </row>
        <row r="704">
          <cell r="B704" t="str">
            <v>9)</v>
          </cell>
          <cell r="C704" t="str">
            <v>중기 운반비</v>
          </cell>
          <cell r="E704">
            <v>1</v>
          </cell>
          <cell r="F704" t="str">
            <v>식</v>
          </cell>
          <cell r="G704">
            <v>36000000</v>
          </cell>
          <cell r="H704">
            <v>36000000</v>
          </cell>
        </row>
        <row r="705">
          <cell r="B705" t="str">
            <v>10)</v>
          </cell>
          <cell r="C705" t="str">
            <v>준공표지판</v>
          </cell>
          <cell r="E705">
            <v>2</v>
          </cell>
          <cell r="F705" t="str">
            <v>EA</v>
          </cell>
          <cell r="G705">
            <v>1200000</v>
          </cell>
          <cell r="H705">
            <v>2400000</v>
          </cell>
        </row>
        <row r="706">
          <cell r="B706" t="str">
            <v>11)</v>
          </cell>
          <cell r="C706" t="str">
            <v>도로대장(전산화)</v>
          </cell>
          <cell r="E706">
            <v>15.23</v>
          </cell>
          <cell r="F706" t="str">
            <v>M2</v>
          </cell>
          <cell r="G706">
            <v>1700000</v>
          </cell>
          <cell r="H706">
            <v>25891000</v>
          </cell>
        </row>
        <row r="707">
          <cell r="B707" t="str">
            <v>12)</v>
          </cell>
          <cell r="C707" t="str">
            <v>과적검문소관리동</v>
          </cell>
          <cell r="E707">
            <v>1</v>
          </cell>
          <cell r="F707" t="str">
            <v>식</v>
          </cell>
          <cell r="G707">
            <v>48057787</v>
          </cell>
          <cell r="H707">
            <v>48057787</v>
          </cell>
        </row>
        <row r="708">
          <cell r="B708" t="str">
            <v>13)</v>
          </cell>
          <cell r="C708" t="str">
            <v>교통안전시설비</v>
          </cell>
          <cell r="E708">
            <v>1</v>
          </cell>
          <cell r="F708" t="str">
            <v>식</v>
          </cell>
          <cell r="G708">
            <v>2900000</v>
          </cell>
          <cell r="H708">
            <v>2900000</v>
          </cell>
        </row>
        <row r="709">
          <cell r="B709" t="str">
            <v>14)</v>
          </cell>
          <cell r="C709" t="str">
            <v>토질조사비</v>
          </cell>
          <cell r="E709">
            <v>1</v>
          </cell>
          <cell r="F709" t="str">
            <v>식</v>
          </cell>
          <cell r="G709">
            <v>80000000</v>
          </cell>
          <cell r="H709">
            <v>80000000</v>
          </cell>
        </row>
        <row r="710">
          <cell r="B710" t="str">
            <v>15)</v>
          </cell>
          <cell r="C710" t="str">
            <v>토공규준틀</v>
          </cell>
          <cell r="E710">
            <v>1</v>
          </cell>
          <cell r="F710" t="str">
            <v>식</v>
          </cell>
          <cell r="G710">
            <v>13000000</v>
          </cell>
          <cell r="H710">
            <v>13000000</v>
          </cell>
        </row>
        <row r="711">
          <cell r="B711" t="str">
            <v>16)</v>
          </cell>
          <cell r="C711" t="str">
            <v>자재운반</v>
          </cell>
          <cell r="H711">
            <v>0</v>
          </cell>
        </row>
        <row r="712">
          <cell r="B712" t="str">
            <v>가.</v>
          </cell>
          <cell r="C712" t="str">
            <v>시멘트운반</v>
          </cell>
          <cell r="D712" t="str">
            <v>(40kg)</v>
          </cell>
          <cell r="E712">
            <v>113003</v>
          </cell>
          <cell r="F712" t="str">
            <v>대</v>
          </cell>
          <cell r="G712">
            <v>400</v>
          </cell>
          <cell r="H712">
            <v>45201200</v>
          </cell>
        </row>
        <row r="713">
          <cell r="B713" t="str">
            <v>나.</v>
          </cell>
          <cell r="C713" t="str">
            <v>철근 운반</v>
          </cell>
          <cell r="E713">
            <v>11880.52</v>
          </cell>
          <cell r="F713" t="str">
            <v>TON</v>
          </cell>
          <cell r="G713">
            <v>8800</v>
          </cell>
          <cell r="H713">
            <v>104548576</v>
          </cell>
        </row>
        <row r="714">
          <cell r="B714" t="str">
            <v>다.</v>
          </cell>
          <cell r="C714" t="str">
            <v>아스팔트</v>
          </cell>
          <cell r="E714">
            <v>762</v>
          </cell>
          <cell r="F714" t="str">
            <v>D/M</v>
          </cell>
          <cell r="G714">
            <v>2000</v>
          </cell>
          <cell r="H714">
            <v>1524000</v>
          </cell>
        </row>
        <row r="715">
          <cell r="B715" t="str">
            <v>17)</v>
          </cell>
          <cell r="C715" t="str">
            <v>사급자재대</v>
          </cell>
          <cell r="H715">
            <v>0</v>
          </cell>
        </row>
        <row r="716">
          <cell r="B716" t="str">
            <v>가.</v>
          </cell>
          <cell r="C716" t="str">
            <v>시멘트</v>
          </cell>
          <cell r="D716" t="str">
            <v>(40kg/대)</v>
          </cell>
          <cell r="E716">
            <v>113003</v>
          </cell>
          <cell r="F716" t="str">
            <v>대</v>
          </cell>
          <cell r="G716">
            <v>1850</v>
          </cell>
          <cell r="H716">
            <v>209055550</v>
          </cell>
        </row>
        <row r="717">
          <cell r="B717" t="str">
            <v>나.</v>
          </cell>
          <cell r="C717" t="str">
            <v>시멘트</v>
          </cell>
          <cell r="D717" t="str">
            <v>분말</v>
          </cell>
          <cell r="E717">
            <v>67434</v>
          </cell>
          <cell r="F717" t="str">
            <v>TON</v>
          </cell>
          <cell r="G717">
            <v>42757</v>
          </cell>
          <cell r="H717">
            <v>2883275538</v>
          </cell>
        </row>
        <row r="718">
          <cell r="B718" t="str">
            <v>나.</v>
          </cell>
          <cell r="C718" t="str">
            <v>아스팔트.</v>
          </cell>
          <cell r="D718" t="str">
            <v>RSC-4</v>
          </cell>
          <cell r="E718">
            <v>402</v>
          </cell>
          <cell r="F718" t="str">
            <v>D/M</v>
          </cell>
          <cell r="G718">
            <v>38000</v>
          </cell>
          <cell r="H718">
            <v>15276000</v>
          </cell>
        </row>
        <row r="719">
          <cell r="B719" t="str">
            <v>다.</v>
          </cell>
          <cell r="C719" t="str">
            <v>아스팔트.</v>
          </cell>
          <cell r="D719" t="str">
            <v>MC-1</v>
          </cell>
          <cell r="E719">
            <v>360</v>
          </cell>
          <cell r="F719" t="str">
            <v>D/M</v>
          </cell>
          <cell r="G719">
            <v>41000</v>
          </cell>
          <cell r="H719">
            <v>14760000</v>
          </cell>
        </row>
        <row r="720">
          <cell r="B720" t="str">
            <v>라.</v>
          </cell>
          <cell r="C720" t="str">
            <v>콘크리트포장용줄눈</v>
          </cell>
          <cell r="H720">
            <v>0</v>
          </cell>
        </row>
        <row r="721">
          <cell r="B721" t="str">
            <v>a.</v>
          </cell>
          <cell r="C721" t="str">
            <v>형식2-1</v>
          </cell>
          <cell r="E721">
            <v>21073</v>
          </cell>
          <cell r="F721" t="str">
            <v>M</v>
          </cell>
          <cell r="G721">
            <v>12295</v>
          </cell>
          <cell r="H721">
            <v>259092535</v>
          </cell>
        </row>
        <row r="722">
          <cell r="B722" t="str">
            <v>b.</v>
          </cell>
          <cell r="C722" t="str">
            <v>형식2-2</v>
          </cell>
          <cell r="E722">
            <v>16866</v>
          </cell>
          <cell r="F722" t="str">
            <v>M</v>
          </cell>
          <cell r="G722">
            <v>9845</v>
          </cell>
          <cell r="H722">
            <v>166045770</v>
          </cell>
        </row>
        <row r="723">
          <cell r="B723" t="str">
            <v>c.</v>
          </cell>
          <cell r="C723" t="str">
            <v>형식2-3</v>
          </cell>
          <cell r="E723">
            <v>238</v>
          </cell>
          <cell r="F723" t="str">
            <v>M</v>
          </cell>
          <cell r="G723">
            <v>12610</v>
          </cell>
          <cell r="H723">
            <v>3001180</v>
          </cell>
        </row>
        <row r="724">
          <cell r="B724" t="str">
            <v>d.</v>
          </cell>
          <cell r="C724" t="str">
            <v>형식2-4</v>
          </cell>
          <cell r="E724">
            <v>212</v>
          </cell>
          <cell r="F724" t="str">
            <v>M</v>
          </cell>
          <cell r="G724">
            <v>9995</v>
          </cell>
          <cell r="H724">
            <v>2118940</v>
          </cell>
        </row>
        <row r="725">
          <cell r="B725" t="str">
            <v>e.</v>
          </cell>
          <cell r="C725" t="str">
            <v>형식3-1</v>
          </cell>
          <cell r="E725">
            <v>311</v>
          </cell>
          <cell r="F725" t="str">
            <v>M</v>
          </cell>
          <cell r="G725">
            <v>13707</v>
          </cell>
          <cell r="H725">
            <v>4262877</v>
          </cell>
        </row>
        <row r="726">
          <cell r="B726" t="str">
            <v>f.</v>
          </cell>
          <cell r="C726" t="str">
            <v>형식3-2</v>
          </cell>
          <cell r="E726">
            <v>282</v>
          </cell>
          <cell r="F726" t="str">
            <v>M</v>
          </cell>
          <cell r="G726">
            <v>10970</v>
          </cell>
          <cell r="H726">
            <v>3093540</v>
          </cell>
        </row>
        <row r="727">
          <cell r="B727" t="str">
            <v>g.</v>
          </cell>
          <cell r="C727" t="str">
            <v>형식3-3</v>
          </cell>
          <cell r="E727">
            <v>239</v>
          </cell>
          <cell r="F727" t="str">
            <v>M</v>
          </cell>
          <cell r="G727">
            <v>36840</v>
          </cell>
          <cell r="H727">
            <v>8804760</v>
          </cell>
        </row>
        <row r="728">
          <cell r="B728" t="str">
            <v>h.</v>
          </cell>
          <cell r="C728" t="str">
            <v>형식3-4</v>
          </cell>
          <cell r="E728">
            <v>212</v>
          </cell>
          <cell r="F728" t="str">
            <v>M</v>
          </cell>
          <cell r="G728">
            <v>35100</v>
          </cell>
          <cell r="H728">
            <v>7441200</v>
          </cell>
        </row>
        <row r="729">
          <cell r="B729" t="str">
            <v>i.</v>
          </cell>
          <cell r="C729" t="str">
            <v>형식3-6</v>
          </cell>
          <cell r="E729">
            <v>48</v>
          </cell>
          <cell r="F729" t="str">
            <v>M</v>
          </cell>
          <cell r="G729">
            <v>13789</v>
          </cell>
          <cell r="H729">
            <v>661872</v>
          </cell>
        </row>
        <row r="730">
          <cell r="B730" t="str">
            <v>j.</v>
          </cell>
          <cell r="C730" t="str">
            <v>형식3-7</v>
          </cell>
          <cell r="E730">
            <v>24</v>
          </cell>
          <cell r="F730" t="str">
            <v>M</v>
          </cell>
          <cell r="G730">
            <v>10857</v>
          </cell>
          <cell r="H730">
            <v>260568</v>
          </cell>
        </row>
        <row r="731">
          <cell r="B731" t="str">
            <v>마.</v>
          </cell>
          <cell r="C731" t="str">
            <v>레미콘</v>
          </cell>
          <cell r="H731">
            <v>0</v>
          </cell>
        </row>
        <row r="732">
          <cell r="B732" t="str">
            <v>a.</v>
          </cell>
          <cell r="C732" t="str">
            <v>레미콘</v>
          </cell>
          <cell r="D732" t="str">
            <v>25-210-8</v>
          </cell>
          <cell r="E732">
            <v>9622</v>
          </cell>
          <cell r="F732" t="str">
            <v>M3</v>
          </cell>
          <cell r="G732">
            <v>52070</v>
          </cell>
          <cell r="H732">
            <v>501017540</v>
          </cell>
        </row>
        <row r="733">
          <cell r="B733" t="str">
            <v>b.</v>
          </cell>
          <cell r="C733" t="str">
            <v>레미콘</v>
          </cell>
          <cell r="D733" t="str">
            <v>40-210-8</v>
          </cell>
          <cell r="E733">
            <v>8268</v>
          </cell>
          <cell r="F733" t="str">
            <v>M3</v>
          </cell>
          <cell r="G733">
            <v>48072</v>
          </cell>
          <cell r="H733">
            <v>397459296</v>
          </cell>
        </row>
        <row r="734">
          <cell r="B734" t="str">
            <v>c.</v>
          </cell>
          <cell r="C734" t="str">
            <v>레미콘</v>
          </cell>
          <cell r="D734" t="str">
            <v>50-150-8</v>
          </cell>
          <cell r="E734">
            <v>5193</v>
          </cell>
          <cell r="F734" t="str">
            <v>M3</v>
          </cell>
          <cell r="G734">
            <v>39445</v>
          </cell>
          <cell r="H734">
            <v>204837885</v>
          </cell>
        </row>
        <row r="735">
          <cell r="B735" t="str">
            <v>자.</v>
          </cell>
          <cell r="C735" t="str">
            <v>철근</v>
          </cell>
          <cell r="H735">
            <v>0</v>
          </cell>
        </row>
        <row r="736">
          <cell r="C736" t="str">
            <v>철근</v>
          </cell>
          <cell r="D736" t="str">
            <v>연강 D10 m/m</v>
          </cell>
          <cell r="E736">
            <v>88.224000000000004</v>
          </cell>
          <cell r="F736" t="str">
            <v>TON</v>
          </cell>
          <cell r="G736">
            <v>277568</v>
          </cell>
          <cell r="H736">
            <v>24488159</v>
          </cell>
        </row>
        <row r="737">
          <cell r="C737" t="str">
            <v>철근</v>
          </cell>
          <cell r="D737" t="str">
            <v>연강 D13 m/m</v>
          </cell>
          <cell r="E737">
            <v>1037.7170000000001</v>
          </cell>
          <cell r="F737" t="str">
            <v>TON</v>
          </cell>
          <cell r="G737">
            <v>274296</v>
          </cell>
          <cell r="H737">
            <v>284641622</v>
          </cell>
        </row>
        <row r="738">
          <cell r="C738" t="str">
            <v>철근</v>
          </cell>
          <cell r="D738" t="str">
            <v>연강 D16-32 m/m</v>
          </cell>
          <cell r="E738">
            <v>7618.0969999999998</v>
          </cell>
          <cell r="F738" t="str">
            <v>TON</v>
          </cell>
          <cell r="G738">
            <v>269126</v>
          </cell>
          <cell r="H738">
            <v>2050227973</v>
          </cell>
        </row>
        <row r="739">
          <cell r="C739" t="str">
            <v>철근</v>
          </cell>
          <cell r="D739" t="str">
            <v>고강 H13 m/m</v>
          </cell>
          <cell r="E739">
            <v>138.34200000000001</v>
          </cell>
          <cell r="F739" t="str">
            <v>TON</v>
          </cell>
          <cell r="G739">
            <v>284748</v>
          </cell>
          <cell r="H739">
            <v>39392607</v>
          </cell>
        </row>
        <row r="740">
          <cell r="C740" t="str">
            <v>철근</v>
          </cell>
          <cell r="D740" t="str">
            <v>고강 H16-32 m/m</v>
          </cell>
          <cell r="E740">
            <v>2998.14</v>
          </cell>
          <cell r="F740" t="str">
            <v>TON</v>
          </cell>
          <cell r="G740">
            <v>279024</v>
          </cell>
          <cell r="H740">
            <v>836553015</v>
          </cell>
        </row>
        <row r="741">
          <cell r="B741" t="str">
            <v>18)</v>
          </cell>
          <cell r="C741" t="str">
            <v>공제대</v>
          </cell>
          <cell r="E741">
            <v>346.03500000000003</v>
          </cell>
          <cell r="F741" t="str">
            <v>TON</v>
          </cell>
          <cell r="G741">
            <v>-60000</v>
          </cell>
          <cell r="H741">
            <v>-20762100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지예산"/>
      <sheetName val="수지예산(A4종)"/>
      <sheetName val="기본조사비교"/>
      <sheetName val="측,공,관,잡"/>
      <sheetName val="요율"/>
      <sheetName val="공사총괄표"/>
      <sheetName val="Sheet1"/>
      <sheetName val="배수장_토공"/>
      <sheetName val="배수장_구조"/>
      <sheetName val="유수지_토공"/>
      <sheetName val="남지보강"/>
      <sheetName val="도로_토공"/>
      <sheetName val="도로_구조"/>
      <sheetName val="간선_토공"/>
      <sheetName val="간선_구조"/>
      <sheetName val="지선_토공"/>
      <sheetName val="지선_구조"/>
      <sheetName val="부대_공사명세"/>
      <sheetName val="지급자재"/>
      <sheetName val="자재내역"/>
      <sheetName val="배수장구조물"/>
      <sheetName val="1배구조물"/>
      <sheetName val="Sheet12"/>
      <sheetName val="Sheet13"/>
      <sheetName val="Sheet14"/>
      <sheetName val="Sheet15"/>
      <sheetName val="Sheet16"/>
      <sheetName val="설계"/>
      <sheetName val="사업계획"/>
      <sheetName val="[남지사업비(참고).xls\설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2">
          <cell r="T22">
            <v>513555000</v>
          </cell>
          <cell r="AE22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토목데이타"/>
      <sheetName val="설계자료"/>
      <sheetName val="기계공사비"/>
      <sheetName val="단가"/>
      <sheetName val="지급자재"/>
      <sheetName val="부안일위"/>
      <sheetName val="일위대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공개"/>
      <sheetName val="품의"/>
      <sheetName val="현경"/>
      <sheetName val="실행"/>
      <sheetName val="☜사⊥발☞"/>
      <sheetName val="하총"/>
      <sheetName val="하사"/>
      <sheetName val="하내"/>
      <sheetName val="토공"/>
      <sheetName val="토견"/>
      <sheetName val="구조물"/>
      <sheetName val="구자"/>
      <sheetName val="구견"/>
      <sheetName val="☜발⊥검☞"/>
      <sheetName val="입찰"/>
      <sheetName val="관리,공감"/>
      <sheetName val="단가"/>
    </sheetNames>
    <sheetDataSet>
      <sheetData sheetId="0" refreshError="1"/>
      <sheetData sheetId="1" refreshError="1"/>
      <sheetData sheetId="2" refreshError="1">
        <row r="39">
          <cell r="F39">
            <v>13305871442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9">
          <cell r="G9">
            <v>56790017223</v>
          </cell>
        </row>
        <row r="12">
          <cell r="G12">
            <v>551453000</v>
          </cell>
        </row>
        <row r="17">
          <cell r="G17">
            <v>123536000</v>
          </cell>
        </row>
      </sheetData>
      <sheetData sheetId="15" refreshError="1"/>
      <sheetData sheetId="1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집계표"/>
      <sheetName val="총괄"/>
      <sheetName val="내역"/>
      <sheetName val="강교집계"/>
      <sheetName val="강교"/>
      <sheetName val="대비"/>
      <sheetName val="내역 (2)"/>
      <sheetName val="대비 (2)"/>
      <sheetName val="업협"/>
      <sheetName val="BOQ-Summary_Form A1"/>
      <sheetName val="BOQ-Summary_Form A2"/>
      <sheetName val="BOQ-Summary_Form A3"/>
      <sheetName val="Attachment_A"/>
      <sheetName val="elect QC"/>
      <sheetName val="Quezon"/>
      <sheetName val="bulcan"/>
      <sheetName val="Bulacan"/>
      <sheetName val="사업계획1안"/>
      <sheetName val="입찰"/>
      <sheetName val="현경"/>
    </sheetNames>
    <sheetDataSet>
      <sheetData sheetId="0" refreshError="1"/>
      <sheetData sheetId="1" refreshError="1"/>
      <sheetData sheetId="2" refreshError="1">
        <row r="1">
          <cell r="A1" t="str">
            <v>ITNUM</v>
          </cell>
          <cell r="B1" t="str">
            <v>공    종</v>
          </cell>
          <cell r="C1" t="str">
            <v>규   격</v>
          </cell>
          <cell r="D1" t="str">
            <v>수  량</v>
          </cell>
          <cell r="E1" t="str">
            <v>단위</v>
          </cell>
        </row>
        <row r="3">
          <cell r="B3" t="str">
            <v>순공사비</v>
          </cell>
        </row>
        <row r="4">
          <cell r="A4" t="str">
            <v>1</v>
          </cell>
          <cell r="B4" t="str">
            <v>토  공</v>
          </cell>
        </row>
        <row r="5">
          <cell r="A5" t="str">
            <v>1.01</v>
          </cell>
          <cell r="B5" t="str">
            <v>기존구조물철거</v>
          </cell>
        </row>
        <row r="6">
          <cell r="A6" t="str">
            <v>a</v>
          </cell>
          <cell r="B6" t="str">
            <v>무근콘크리트깨기</v>
          </cell>
          <cell r="C6" t="str">
            <v>(T=30cm미만)</v>
          </cell>
          <cell r="D6">
            <v>351</v>
          </cell>
          <cell r="E6" t="str">
            <v>㎥</v>
          </cell>
        </row>
        <row r="7">
          <cell r="A7" t="str">
            <v>b</v>
          </cell>
          <cell r="B7" t="str">
            <v>철근콘크리트깨기</v>
          </cell>
          <cell r="C7" t="str">
            <v>(T=30CM미만, 소형)</v>
          </cell>
          <cell r="D7">
            <v>3</v>
          </cell>
          <cell r="E7" t="str">
            <v>㎥</v>
          </cell>
        </row>
        <row r="8">
          <cell r="A8" t="str">
            <v>c</v>
          </cell>
          <cell r="B8" t="str">
            <v>콘크리트포장깨기</v>
          </cell>
          <cell r="D8">
            <v>247</v>
          </cell>
          <cell r="E8" t="str">
            <v>㎥</v>
          </cell>
        </row>
        <row r="9">
          <cell r="A9" t="str">
            <v>d</v>
          </cell>
          <cell r="B9" t="str">
            <v>아스팔트포장깨기</v>
          </cell>
          <cell r="D9">
            <v>1638</v>
          </cell>
          <cell r="E9" t="str">
            <v>㎥</v>
          </cell>
        </row>
        <row r="10">
          <cell r="A10" t="str">
            <v>e</v>
          </cell>
          <cell r="B10" t="str">
            <v>콘크리트포장절단</v>
          </cell>
          <cell r="D10">
            <v>73</v>
          </cell>
          <cell r="E10" t="str">
            <v>M</v>
          </cell>
        </row>
        <row r="11">
          <cell r="A11" t="str">
            <v>f</v>
          </cell>
          <cell r="B11" t="str">
            <v>아스팔트포장절단</v>
          </cell>
          <cell r="D11">
            <v>148</v>
          </cell>
          <cell r="E11" t="str">
            <v>M</v>
          </cell>
        </row>
        <row r="12">
          <cell r="A12" t="str">
            <v>g</v>
          </cell>
          <cell r="B12" t="str">
            <v>석축헐기</v>
          </cell>
          <cell r="D12">
            <v>449</v>
          </cell>
          <cell r="E12" t="str">
            <v>㎡</v>
          </cell>
        </row>
        <row r="13">
          <cell r="A13" t="str">
            <v>1.02</v>
          </cell>
          <cell r="B13" t="str">
            <v>표토제거</v>
          </cell>
        </row>
        <row r="14">
          <cell r="A14" t="str">
            <v>a</v>
          </cell>
          <cell r="B14" t="str">
            <v>답구간표토제거</v>
          </cell>
          <cell r="D14">
            <v>36605</v>
          </cell>
          <cell r="E14" t="str">
            <v>㎡</v>
          </cell>
        </row>
        <row r="15">
          <cell r="A15" t="str">
            <v>b</v>
          </cell>
          <cell r="B15" t="str">
            <v>답외구간표토제거</v>
          </cell>
          <cell r="D15">
            <v>11189</v>
          </cell>
          <cell r="E15" t="str">
            <v>㎡</v>
          </cell>
        </row>
        <row r="16">
          <cell r="A16" t="str">
            <v>1.03</v>
          </cell>
          <cell r="B16" t="str">
            <v>벌개제근</v>
          </cell>
          <cell r="D16">
            <v>141333</v>
          </cell>
          <cell r="E16" t="str">
            <v>㎡</v>
          </cell>
        </row>
        <row r="17">
          <cell r="A17" t="str">
            <v>1.04</v>
          </cell>
          <cell r="B17" t="str">
            <v>노반준비공</v>
          </cell>
          <cell r="C17" t="str">
            <v>(절토부)</v>
          </cell>
          <cell r="D17">
            <v>23120</v>
          </cell>
          <cell r="E17" t="str">
            <v>㎡</v>
          </cell>
        </row>
        <row r="18">
          <cell r="A18" t="str">
            <v>1.05</v>
          </cell>
          <cell r="B18" t="str">
            <v>흙깍기</v>
          </cell>
        </row>
        <row r="19">
          <cell r="A19" t="str">
            <v>a</v>
          </cell>
          <cell r="B19" t="str">
            <v>흙깍기(토사)</v>
          </cell>
          <cell r="D19">
            <v>211140</v>
          </cell>
          <cell r="E19" t="str">
            <v>㎥</v>
          </cell>
        </row>
        <row r="20">
          <cell r="A20" t="str">
            <v>b</v>
          </cell>
          <cell r="B20" t="str">
            <v>흙깍기(리핑암)</v>
          </cell>
          <cell r="D20">
            <v>193199</v>
          </cell>
          <cell r="E20" t="str">
            <v>㎥</v>
          </cell>
        </row>
        <row r="21">
          <cell r="A21" t="str">
            <v>c</v>
          </cell>
          <cell r="B21" t="str">
            <v>흙깎기(발파암)</v>
          </cell>
          <cell r="C21" t="str">
            <v>(크로울러 드릴)</v>
          </cell>
          <cell r="D21">
            <v>1026994</v>
          </cell>
          <cell r="E21" t="str">
            <v>㎥</v>
          </cell>
        </row>
        <row r="22">
          <cell r="A22" t="str">
            <v>1.06</v>
          </cell>
          <cell r="B22" t="str">
            <v>흙운반</v>
          </cell>
        </row>
        <row r="23">
          <cell r="A23" t="str">
            <v>a</v>
          </cell>
          <cell r="B23" t="str">
            <v>무대운반</v>
          </cell>
          <cell r="C23" t="str">
            <v>발파암 20M이내</v>
          </cell>
          <cell r="D23">
            <v>9180</v>
          </cell>
          <cell r="E23" t="str">
            <v>㎥</v>
          </cell>
        </row>
        <row r="24">
          <cell r="A24" t="str">
            <v>b</v>
          </cell>
          <cell r="B24" t="str">
            <v>도쟈운반</v>
          </cell>
        </row>
        <row r="25">
          <cell r="A25" t="str">
            <v>-1</v>
          </cell>
          <cell r="B25" t="str">
            <v>도쟈운반</v>
          </cell>
          <cell r="C25" t="str">
            <v>(토사)L=47.8M</v>
          </cell>
          <cell r="D25">
            <v>3579</v>
          </cell>
          <cell r="E25" t="str">
            <v>㎥</v>
          </cell>
        </row>
        <row r="26">
          <cell r="A26" t="str">
            <v>-2</v>
          </cell>
          <cell r="B26" t="str">
            <v>도쟈운반</v>
          </cell>
          <cell r="C26" t="str">
            <v>(리핑암)L=48.0M</v>
          </cell>
          <cell r="D26">
            <v>7490</v>
          </cell>
          <cell r="E26" t="str">
            <v>㎥</v>
          </cell>
        </row>
        <row r="27">
          <cell r="A27" t="str">
            <v>-3</v>
          </cell>
          <cell r="B27" t="str">
            <v>도쟈운반</v>
          </cell>
          <cell r="C27" t="str">
            <v>(발파암)L=45.1M</v>
          </cell>
          <cell r="D27">
            <v>4414</v>
          </cell>
          <cell r="E27" t="str">
            <v>㎥</v>
          </cell>
        </row>
        <row r="28">
          <cell r="A28" t="str">
            <v>c</v>
          </cell>
          <cell r="B28" t="str">
            <v>덤프운반</v>
          </cell>
        </row>
        <row r="29">
          <cell r="A29" t="str">
            <v>-1</v>
          </cell>
          <cell r="B29" t="str">
            <v>덤프운반</v>
          </cell>
          <cell r="C29" t="str">
            <v>(토사)L=0.674km</v>
          </cell>
          <cell r="D29">
            <v>101878</v>
          </cell>
          <cell r="E29" t="str">
            <v>㎥</v>
          </cell>
        </row>
        <row r="30">
          <cell r="A30" t="str">
            <v>-2</v>
          </cell>
          <cell r="B30" t="str">
            <v>덤프운반</v>
          </cell>
          <cell r="C30" t="str">
            <v>(리핑암)L=0.673km</v>
          </cell>
          <cell r="D30">
            <v>66901</v>
          </cell>
          <cell r="E30" t="str">
            <v>㎥</v>
          </cell>
        </row>
        <row r="31">
          <cell r="A31" t="str">
            <v>-3</v>
          </cell>
          <cell r="B31" t="str">
            <v>덤프운반</v>
          </cell>
          <cell r="C31" t="str">
            <v>(발파암)L=0.600km</v>
          </cell>
          <cell r="D31">
            <v>175578</v>
          </cell>
          <cell r="E31" t="str">
            <v>㎥</v>
          </cell>
        </row>
        <row r="32">
          <cell r="A32" t="str">
            <v>d</v>
          </cell>
          <cell r="B32" t="str">
            <v>사토운반</v>
          </cell>
        </row>
        <row r="33">
          <cell r="A33" t="str">
            <v>-1</v>
          </cell>
          <cell r="B33" t="str">
            <v>사토운반</v>
          </cell>
          <cell r="C33" t="str">
            <v>(토사)L=5.70km</v>
          </cell>
          <cell r="D33">
            <v>81956</v>
          </cell>
          <cell r="E33" t="str">
            <v>㎥</v>
          </cell>
        </row>
        <row r="34">
          <cell r="A34" t="str">
            <v>-2</v>
          </cell>
          <cell r="B34" t="str">
            <v>사토운반</v>
          </cell>
          <cell r="C34" t="str">
            <v>(리핑암)L=5.70Km</v>
          </cell>
          <cell r="D34">
            <v>110937</v>
          </cell>
          <cell r="E34" t="str">
            <v>㎥</v>
          </cell>
        </row>
        <row r="35">
          <cell r="A35" t="str">
            <v>-3</v>
          </cell>
          <cell r="B35" t="str">
            <v>사토운반</v>
          </cell>
          <cell r="C35" t="str">
            <v>(발파암)L=5.70Km</v>
          </cell>
          <cell r="D35">
            <v>772928</v>
          </cell>
          <cell r="E35" t="str">
            <v>㎥</v>
          </cell>
        </row>
        <row r="36">
          <cell r="A36" t="str">
            <v>1.07</v>
          </cell>
          <cell r="B36" t="str">
            <v>흙쌓기</v>
          </cell>
        </row>
        <row r="37">
          <cell r="A37" t="str">
            <v>a</v>
          </cell>
          <cell r="B37" t="str">
            <v>흙쌓기</v>
          </cell>
          <cell r="C37" t="str">
            <v>노상</v>
          </cell>
          <cell r="D37">
            <v>75180</v>
          </cell>
          <cell r="E37" t="str">
            <v>㎥</v>
          </cell>
        </row>
        <row r="38">
          <cell r="A38" t="str">
            <v>b</v>
          </cell>
          <cell r="B38" t="str">
            <v>흙쌓기</v>
          </cell>
          <cell r="C38" t="str">
            <v>노체</v>
          </cell>
          <cell r="D38">
            <v>386828</v>
          </cell>
          <cell r="E38" t="str">
            <v>㎥</v>
          </cell>
        </row>
        <row r="39">
          <cell r="A39" t="str">
            <v>c</v>
          </cell>
          <cell r="B39" t="str">
            <v>녹지대</v>
          </cell>
          <cell r="C39" t="str">
            <v>비다짐</v>
          </cell>
          <cell r="D39">
            <v>9501</v>
          </cell>
          <cell r="E39" t="str">
            <v>M3</v>
          </cell>
        </row>
        <row r="40">
          <cell r="A40" t="str">
            <v>1.08</v>
          </cell>
          <cell r="B40" t="str">
            <v>층따기</v>
          </cell>
          <cell r="C40" t="str">
            <v>(기계)</v>
          </cell>
          <cell r="D40">
            <v>5435</v>
          </cell>
          <cell r="E40" t="str">
            <v>㎥</v>
          </cell>
        </row>
        <row r="41">
          <cell r="A41" t="str">
            <v>1.09</v>
          </cell>
          <cell r="B41" t="str">
            <v>법면보호공</v>
          </cell>
        </row>
        <row r="42">
          <cell r="A42" t="str">
            <v>a</v>
          </cell>
          <cell r="B42" t="str">
            <v>NET잔디</v>
          </cell>
          <cell r="D42">
            <v>72541</v>
          </cell>
          <cell r="E42" t="str">
            <v>㎡</v>
          </cell>
        </row>
        <row r="43">
          <cell r="A43" t="str">
            <v>b</v>
          </cell>
          <cell r="B43" t="str">
            <v>절토면고르기</v>
          </cell>
          <cell r="C43" t="str">
            <v>(리핑암)</v>
          </cell>
          <cell r="D43">
            <v>13802</v>
          </cell>
          <cell r="E43" t="str">
            <v>㎡</v>
          </cell>
        </row>
        <row r="44">
          <cell r="A44" t="str">
            <v>c</v>
          </cell>
          <cell r="B44" t="str">
            <v>절토면고르기</v>
          </cell>
          <cell r="C44" t="str">
            <v>(발파암)</v>
          </cell>
          <cell r="D44">
            <v>69036</v>
          </cell>
          <cell r="E44" t="str">
            <v>㎡</v>
          </cell>
        </row>
        <row r="45">
          <cell r="A45" t="str">
            <v>d</v>
          </cell>
          <cell r="B45" t="str">
            <v>암절개면보호식재공</v>
          </cell>
          <cell r="C45" t="str">
            <v>T=15㎝(보통암,경암)</v>
          </cell>
          <cell r="D45">
            <v>82838</v>
          </cell>
          <cell r="E45" t="str">
            <v>㎡</v>
          </cell>
        </row>
        <row r="46">
          <cell r="A46" t="str">
            <v>e</v>
          </cell>
          <cell r="B46" t="str">
            <v>성토부법면다짐</v>
          </cell>
          <cell r="D46">
            <v>46087</v>
          </cell>
          <cell r="E46" t="str">
            <v>㎡</v>
          </cell>
        </row>
        <row r="47">
          <cell r="A47" t="str">
            <v>1.10</v>
          </cell>
          <cell r="B47" t="str">
            <v>측구터파기(토사)</v>
          </cell>
          <cell r="C47" t="str">
            <v>(0-1 M)</v>
          </cell>
          <cell r="D47">
            <v>1461</v>
          </cell>
          <cell r="E47" t="str">
            <v>㎥</v>
          </cell>
        </row>
        <row r="48">
          <cell r="A48" t="str">
            <v>1.11</v>
          </cell>
          <cell r="B48" t="str">
            <v>측구 뚝쌓기</v>
          </cell>
          <cell r="D48">
            <v>151</v>
          </cell>
          <cell r="E48" t="str">
            <v>㎥</v>
          </cell>
        </row>
        <row r="49">
          <cell r="A49" t="str">
            <v>1.12</v>
          </cell>
          <cell r="B49" t="str">
            <v>토공규준틀</v>
          </cell>
        </row>
        <row r="50">
          <cell r="A50" t="str">
            <v>a</v>
          </cell>
          <cell r="B50" t="str">
            <v>수평규준틀</v>
          </cell>
          <cell r="D50">
            <v>83</v>
          </cell>
          <cell r="E50" t="str">
            <v>EA</v>
          </cell>
        </row>
        <row r="51">
          <cell r="A51" t="str">
            <v>b</v>
          </cell>
          <cell r="B51" t="str">
            <v>비탈규준틀</v>
          </cell>
          <cell r="D51">
            <v>400</v>
          </cell>
          <cell r="E51" t="str">
            <v>EA</v>
          </cell>
        </row>
        <row r="52">
          <cell r="A52" t="str">
            <v>2.</v>
          </cell>
          <cell r="B52" t="str">
            <v>배 수 공</v>
          </cell>
        </row>
        <row r="53">
          <cell r="A53" t="str">
            <v>2.01</v>
          </cell>
          <cell r="B53" t="str">
            <v>측구공</v>
          </cell>
        </row>
        <row r="54">
          <cell r="A54" t="str">
            <v>a</v>
          </cell>
          <cell r="B54" t="str">
            <v>L형측구</v>
          </cell>
        </row>
        <row r="55">
          <cell r="A55" t="str">
            <v>-1</v>
          </cell>
          <cell r="B55" t="str">
            <v>L형측구</v>
          </cell>
          <cell r="C55" t="str">
            <v>(TYPE-1, H=0.15M)</v>
          </cell>
          <cell r="D55">
            <v>727</v>
          </cell>
          <cell r="E55" t="str">
            <v>M</v>
          </cell>
        </row>
        <row r="56">
          <cell r="A56" t="str">
            <v>-2</v>
          </cell>
          <cell r="B56" t="str">
            <v>L형측구</v>
          </cell>
          <cell r="C56" t="str">
            <v>(TYPE-2, H=1.00M)</v>
          </cell>
          <cell r="D56">
            <v>3406</v>
          </cell>
          <cell r="E56" t="str">
            <v>M</v>
          </cell>
        </row>
        <row r="57">
          <cell r="A57" t="str">
            <v>-3</v>
          </cell>
          <cell r="B57" t="str">
            <v>L형측구</v>
          </cell>
          <cell r="C57" t="str">
            <v>(TYPE-3, H=0.15M</v>
          </cell>
          <cell r="D57">
            <v>325</v>
          </cell>
          <cell r="E57" t="str">
            <v>M</v>
          </cell>
        </row>
        <row r="58">
          <cell r="A58" t="str">
            <v>-4</v>
          </cell>
          <cell r="B58" t="str">
            <v>L형측구</v>
          </cell>
          <cell r="C58" t="str">
            <v>(TYPE-6, H=0.20M)</v>
          </cell>
          <cell r="D58">
            <v>2262</v>
          </cell>
          <cell r="E58" t="str">
            <v>M</v>
          </cell>
        </row>
        <row r="59">
          <cell r="A59" t="str">
            <v>-5</v>
          </cell>
          <cell r="B59" t="str">
            <v>성토부다이크</v>
          </cell>
          <cell r="C59" t="str">
            <v>(H=0.15M)</v>
          </cell>
          <cell r="D59">
            <v>3188</v>
          </cell>
          <cell r="E59" t="str">
            <v>M</v>
          </cell>
        </row>
        <row r="60">
          <cell r="A60" t="str">
            <v>b</v>
          </cell>
          <cell r="B60" t="str">
            <v>V형측구</v>
          </cell>
          <cell r="C60" t="str">
            <v>(TYPE-1,H=0.6M)</v>
          </cell>
          <cell r="D60">
            <v>1718</v>
          </cell>
          <cell r="E60" t="str">
            <v>M</v>
          </cell>
        </row>
        <row r="61">
          <cell r="A61" t="str">
            <v>c</v>
          </cell>
          <cell r="B61" t="str">
            <v>산마루측구</v>
          </cell>
          <cell r="C61" t="str">
            <v>(H=0.45M)</v>
          </cell>
          <cell r="D61">
            <v>1512</v>
          </cell>
          <cell r="E61" t="str">
            <v>M</v>
          </cell>
        </row>
        <row r="62">
          <cell r="A62" t="str">
            <v>2.02</v>
          </cell>
          <cell r="B62" t="str">
            <v>맹암거</v>
          </cell>
        </row>
        <row r="63">
          <cell r="A63" t="str">
            <v>a</v>
          </cell>
          <cell r="B63" t="str">
            <v>맹암거설치</v>
          </cell>
          <cell r="C63" t="str">
            <v>(TYPE-1)</v>
          </cell>
          <cell r="D63">
            <v>108</v>
          </cell>
          <cell r="E63" t="str">
            <v>M</v>
          </cell>
        </row>
        <row r="64">
          <cell r="A64" t="str">
            <v>b</v>
          </cell>
          <cell r="B64" t="str">
            <v>맹암거설치</v>
          </cell>
          <cell r="C64" t="str">
            <v>(TYPE-2):리핑암</v>
          </cell>
          <cell r="D64">
            <v>290</v>
          </cell>
          <cell r="E64" t="str">
            <v>M</v>
          </cell>
        </row>
        <row r="65">
          <cell r="A65" t="str">
            <v>c</v>
          </cell>
          <cell r="B65" t="str">
            <v>맹암거설치</v>
          </cell>
          <cell r="C65" t="str">
            <v>(TYPE-2):발파암</v>
          </cell>
          <cell r="D65">
            <v>3080</v>
          </cell>
          <cell r="E65" t="str">
            <v>M</v>
          </cell>
        </row>
        <row r="66">
          <cell r="A66" t="str">
            <v>d</v>
          </cell>
          <cell r="B66" t="str">
            <v>맹암거설치</v>
          </cell>
          <cell r="C66" t="str">
            <v>(TYPE-3)</v>
          </cell>
          <cell r="D66">
            <v>233</v>
          </cell>
          <cell r="E66" t="str">
            <v>M</v>
          </cell>
        </row>
        <row r="67">
          <cell r="A67" t="str">
            <v>2.03</v>
          </cell>
          <cell r="B67" t="str">
            <v>배수관공</v>
          </cell>
        </row>
        <row r="68">
          <cell r="A68" t="str">
            <v>a</v>
          </cell>
          <cell r="B68" t="str">
            <v>구조물터파기</v>
          </cell>
          <cell r="C68" t="str">
            <v>(육상토사:0-2M)</v>
          </cell>
          <cell r="D68">
            <v>2326</v>
          </cell>
          <cell r="E68" t="str">
            <v>㎥</v>
          </cell>
        </row>
        <row r="69">
          <cell r="A69" t="str">
            <v>b</v>
          </cell>
          <cell r="B69" t="str">
            <v>되메우기및다짐</v>
          </cell>
          <cell r="C69" t="str">
            <v>(인력50%+기계50%)</v>
          </cell>
          <cell r="D69">
            <v>1335</v>
          </cell>
          <cell r="E69" t="str">
            <v>㎥</v>
          </cell>
        </row>
        <row r="70">
          <cell r="A70" t="str">
            <v>c</v>
          </cell>
          <cell r="B70" t="str">
            <v>무근콘크리트타설</v>
          </cell>
          <cell r="C70" t="str">
            <v>(진동기포함)</v>
          </cell>
          <cell r="D70">
            <v>571</v>
          </cell>
          <cell r="E70" t="str">
            <v>㎥</v>
          </cell>
        </row>
        <row r="71">
          <cell r="A71" t="str">
            <v>d</v>
          </cell>
          <cell r="B71" t="str">
            <v>합판거푸집</v>
          </cell>
          <cell r="C71" t="str">
            <v>(3회)0-7M</v>
          </cell>
          <cell r="D71">
            <v>424</v>
          </cell>
          <cell r="E71" t="str">
            <v>㎡</v>
          </cell>
        </row>
        <row r="72">
          <cell r="A72" t="str">
            <v>e</v>
          </cell>
          <cell r="B72" t="str">
            <v>합판거푸집</v>
          </cell>
          <cell r="C72" t="str">
            <v>(6회)0-7M</v>
          </cell>
          <cell r="D72">
            <v>1276</v>
          </cell>
          <cell r="E72" t="str">
            <v>㎡</v>
          </cell>
        </row>
        <row r="73">
          <cell r="A73" t="str">
            <v>f</v>
          </cell>
          <cell r="B73" t="str">
            <v>몰탈</v>
          </cell>
          <cell r="C73" t="str">
            <v>1:3</v>
          </cell>
          <cell r="D73">
            <v>1.3919999999999999</v>
          </cell>
          <cell r="E73" t="str">
            <v>㎥</v>
          </cell>
        </row>
        <row r="74">
          <cell r="A74" t="str">
            <v>g</v>
          </cell>
          <cell r="B74" t="str">
            <v>횡배수관운반및부설</v>
          </cell>
          <cell r="C74" t="str">
            <v>(V.R관Φ800M/M)</v>
          </cell>
          <cell r="D74">
            <v>399</v>
          </cell>
          <cell r="E74" t="str">
            <v>M</v>
          </cell>
        </row>
        <row r="75">
          <cell r="A75" t="str">
            <v>h</v>
          </cell>
          <cell r="B75" t="str">
            <v>횡배수관운반및부설</v>
          </cell>
          <cell r="C75" t="str">
            <v>(V.R관Φ1000M/M)</v>
          </cell>
          <cell r="D75">
            <v>195</v>
          </cell>
          <cell r="E75" t="str">
            <v>M</v>
          </cell>
        </row>
        <row r="76">
          <cell r="A76" t="str">
            <v>i</v>
          </cell>
          <cell r="B76" t="str">
            <v>횡배수관운반및부설</v>
          </cell>
          <cell r="C76" t="str">
            <v>(V.R관Φ1200M/M)</v>
          </cell>
          <cell r="D76">
            <v>81</v>
          </cell>
          <cell r="E76" t="str">
            <v>M</v>
          </cell>
        </row>
        <row r="77">
          <cell r="A77" t="str">
            <v>2.04</v>
          </cell>
          <cell r="B77" t="str">
            <v>집수정공</v>
          </cell>
        </row>
        <row r="78">
          <cell r="A78" t="str">
            <v>a</v>
          </cell>
          <cell r="B78" t="str">
            <v>구조물터파기</v>
          </cell>
          <cell r="C78" t="str">
            <v>(육상토사:0-2M)</v>
          </cell>
          <cell r="D78">
            <v>935</v>
          </cell>
          <cell r="E78" t="str">
            <v>㎥</v>
          </cell>
        </row>
        <row r="79">
          <cell r="A79" t="str">
            <v>b</v>
          </cell>
          <cell r="B79" t="str">
            <v>되메우기및다짐</v>
          </cell>
          <cell r="C79" t="str">
            <v>(인력50%+기계50%)</v>
          </cell>
          <cell r="D79">
            <v>834</v>
          </cell>
          <cell r="E79" t="str">
            <v>㎥</v>
          </cell>
        </row>
        <row r="80">
          <cell r="A80" t="str">
            <v>c</v>
          </cell>
          <cell r="B80" t="str">
            <v>무근콘크리트타설</v>
          </cell>
          <cell r="C80" t="str">
            <v>(진동기포함)</v>
          </cell>
          <cell r="D80">
            <v>68</v>
          </cell>
          <cell r="E80" t="str">
            <v>㎥</v>
          </cell>
        </row>
        <row r="81">
          <cell r="A81" t="str">
            <v>d</v>
          </cell>
          <cell r="B81" t="str">
            <v>철근콘크리트타설</v>
          </cell>
          <cell r="C81" t="str">
            <v>(진동기 포함)</v>
          </cell>
          <cell r="D81">
            <v>6</v>
          </cell>
          <cell r="E81" t="str">
            <v>㎥</v>
          </cell>
        </row>
        <row r="82">
          <cell r="A82" t="str">
            <v>e</v>
          </cell>
          <cell r="B82" t="str">
            <v>합판거푸집</v>
          </cell>
          <cell r="C82" t="str">
            <v>(3회)0-7M</v>
          </cell>
          <cell r="D82">
            <v>752</v>
          </cell>
          <cell r="E82" t="str">
            <v>㎡</v>
          </cell>
        </row>
        <row r="83">
          <cell r="A83" t="str">
            <v>f</v>
          </cell>
          <cell r="B83" t="str">
            <v>철근가공조립</v>
          </cell>
          <cell r="C83" t="str">
            <v>(간단)</v>
          </cell>
          <cell r="D83">
            <v>0.55700000000000005</v>
          </cell>
          <cell r="E83" t="str">
            <v>TON</v>
          </cell>
        </row>
        <row r="84">
          <cell r="A84" t="str">
            <v>g</v>
          </cell>
          <cell r="B84" t="str">
            <v>STEEL GRATING설치</v>
          </cell>
          <cell r="C84" t="str">
            <v>(800*800*75)</v>
          </cell>
          <cell r="D84">
            <v>68</v>
          </cell>
          <cell r="E84" t="str">
            <v>EA</v>
          </cell>
        </row>
        <row r="85">
          <cell r="A85" t="str">
            <v>h</v>
          </cell>
          <cell r="B85" t="str">
            <v>STEEL GRATING설치</v>
          </cell>
          <cell r="C85" t="str">
            <v>(600*600*65)</v>
          </cell>
          <cell r="D85">
            <v>10</v>
          </cell>
          <cell r="E85" t="str">
            <v>EA</v>
          </cell>
        </row>
        <row r="86">
          <cell r="A86" t="str">
            <v>2.03</v>
          </cell>
          <cell r="B86" t="str">
            <v>암거공</v>
          </cell>
        </row>
        <row r="87">
          <cell r="A87" t="str">
            <v>a</v>
          </cell>
          <cell r="B87" t="str">
            <v>구조물터파기</v>
          </cell>
          <cell r="C87" t="str">
            <v>(육상토사:0-2M)</v>
          </cell>
          <cell r="D87">
            <v>856</v>
          </cell>
          <cell r="E87" t="str">
            <v>㎥</v>
          </cell>
        </row>
        <row r="88">
          <cell r="A88" t="str">
            <v>b</v>
          </cell>
          <cell r="B88" t="str">
            <v>되메우기및다짐</v>
          </cell>
          <cell r="C88" t="str">
            <v>(인력50%+기계50%)</v>
          </cell>
          <cell r="D88">
            <v>109</v>
          </cell>
          <cell r="E88" t="str">
            <v>㎥</v>
          </cell>
        </row>
        <row r="89">
          <cell r="A89" t="str">
            <v>c</v>
          </cell>
          <cell r="B89" t="str">
            <v>철근콘크리트타설</v>
          </cell>
          <cell r="C89" t="str">
            <v>(진동기 포함)</v>
          </cell>
          <cell r="D89">
            <v>1549</v>
          </cell>
          <cell r="E89" t="str">
            <v>㎥</v>
          </cell>
        </row>
        <row r="90">
          <cell r="A90" t="str">
            <v>d</v>
          </cell>
          <cell r="B90" t="str">
            <v>무근콘크리트타설</v>
          </cell>
          <cell r="C90" t="str">
            <v>(진동기포함)</v>
          </cell>
          <cell r="D90">
            <v>65</v>
          </cell>
          <cell r="E90" t="str">
            <v>㎥</v>
          </cell>
        </row>
        <row r="91">
          <cell r="A91" t="str">
            <v>e</v>
          </cell>
          <cell r="B91" t="str">
            <v>합판거푸집</v>
          </cell>
          <cell r="C91" t="str">
            <v>(3회)0-7M</v>
          </cell>
          <cell r="D91">
            <v>2235</v>
          </cell>
          <cell r="E91" t="str">
            <v>㎡</v>
          </cell>
        </row>
        <row r="92">
          <cell r="A92" t="str">
            <v>f</v>
          </cell>
          <cell r="B92" t="str">
            <v>합판거푸집</v>
          </cell>
          <cell r="C92" t="str">
            <v>(4회)0-7M</v>
          </cell>
          <cell r="D92">
            <v>51</v>
          </cell>
          <cell r="E92" t="str">
            <v>㎡</v>
          </cell>
        </row>
        <row r="93">
          <cell r="A93" t="str">
            <v>g</v>
          </cell>
          <cell r="B93" t="str">
            <v>코팅거푸집</v>
          </cell>
          <cell r="C93" t="str">
            <v>(3회)</v>
          </cell>
          <cell r="D93">
            <v>100</v>
          </cell>
          <cell r="E93" t="str">
            <v>㎡</v>
          </cell>
        </row>
        <row r="94">
          <cell r="A94" t="str">
            <v>h</v>
          </cell>
          <cell r="B94" t="str">
            <v>철근가공조립</v>
          </cell>
          <cell r="C94" t="str">
            <v>(복잡)</v>
          </cell>
          <cell r="D94">
            <v>233.80699999999999</v>
          </cell>
          <cell r="E94" t="str">
            <v>TON</v>
          </cell>
        </row>
        <row r="95">
          <cell r="A95" t="str">
            <v>i</v>
          </cell>
          <cell r="B95" t="str">
            <v>비계</v>
          </cell>
          <cell r="C95" t="str">
            <v>암거용(강관)</v>
          </cell>
          <cell r="D95">
            <v>801</v>
          </cell>
          <cell r="E95" t="str">
            <v>㎡</v>
          </cell>
        </row>
        <row r="96">
          <cell r="A96" t="str">
            <v>j</v>
          </cell>
          <cell r="B96" t="str">
            <v>동바리</v>
          </cell>
          <cell r="C96" t="str">
            <v>암거용(강관3개월)</v>
          </cell>
          <cell r="D96">
            <v>1428</v>
          </cell>
          <cell r="E96" t="str">
            <v>공㎥</v>
          </cell>
        </row>
        <row r="97">
          <cell r="A97" t="str">
            <v>k</v>
          </cell>
          <cell r="B97" t="str">
            <v>P.V.C PIPE</v>
          </cell>
          <cell r="C97" t="str">
            <v>(Φ100 M/M)</v>
          </cell>
          <cell r="D97">
            <v>13</v>
          </cell>
          <cell r="E97" t="str">
            <v>M</v>
          </cell>
        </row>
        <row r="98">
          <cell r="A98" t="str">
            <v>l</v>
          </cell>
          <cell r="B98" t="str">
            <v>아스팔트코팅</v>
          </cell>
          <cell r="C98" t="str">
            <v>2회</v>
          </cell>
          <cell r="D98">
            <v>894</v>
          </cell>
          <cell r="E98" t="str">
            <v>㎡</v>
          </cell>
        </row>
        <row r="99">
          <cell r="A99" t="str">
            <v>m</v>
          </cell>
          <cell r="B99" t="str">
            <v>스치로폴</v>
          </cell>
          <cell r="C99" t="str">
            <v>(신축이음T=20M/M)</v>
          </cell>
          <cell r="D99">
            <v>73</v>
          </cell>
          <cell r="E99" t="str">
            <v>㎡</v>
          </cell>
        </row>
        <row r="100">
          <cell r="A100" t="str">
            <v>n</v>
          </cell>
          <cell r="B100" t="str">
            <v>지수판설치</v>
          </cell>
          <cell r="C100" t="str">
            <v>200*5M/M</v>
          </cell>
          <cell r="D100">
            <v>40</v>
          </cell>
          <cell r="E100" t="str">
            <v>M</v>
          </cell>
        </row>
        <row r="101">
          <cell r="A101" t="str">
            <v>o</v>
          </cell>
          <cell r="B101" t="str">
            <v>뒷채움및다짐</v>
          </cell>
          <cell r="D101">
            <v>3264</v>
          </cell>
          <cell r="E101" t="str">
            <v>㎥</v>
          </cell>
        </row>
        <row r="102">
          <cell r="A102" t="str">
            <v>p</v>
          </cell>
          <cell r="B102" t="str">
            <v>부직포설치</v>
          </cell>
          <cell r="D102">
            <v>5</v>
          </cell>
          <cell r="E102" t="str">
            <v>㎡</v>
          </cell>
        </row>
        <row r="103">
          <cell r="A103" t="str">
            <v>2.04</v>
          </cell>
          <cell r="B103" t="str">
            <v>기타공</v>
          </cell>
        </row>
        <row r="104">
          <cell r="A104" t="str">
            <v>a</v>
          </cell>
          <cell r="B104" t="str">
            <v>중분대횡배수관</v>
          </cell>
        </row>
        <row r="105">
          <cell r="A105" t="str">
            <v>-1</v>
          </cell>
          <cell r="B105" t="str">
            <v>구조물터파기</v>
          </cell>
          <cell r="C105" t="str">
            <v>(육상토사:0-2M)</v>
          </cell>
          <cell r="D105">
            <v>42</v>
          </cell>
          <cell r="E105" t="str">
            <v>㎥</v>
          </cell>
        </row>
        <row r="106">
          <cell r="A106" t="str">
            <v>-2</v>
          </cell>
          <cell r="B106" t="str">
            <v>구조물터파기</v>
          </cell>
          <cell r="C106" t="str">
            <v>(육상리핑암:0-2M)</v>
          </cell>
          <cell r="D106">
            <v>7</v>
          </cell>
          <cell r="E106" t="str">
            <v>㎥</v>
          </cell>
        </row>
        <row r="107">
          <cell r="A107" t="str">
            <v>-3</v>
          </cell>
          <cell r="B107" t="str">
            <v>구조물터파기</v>
          </cell>
          <cell r="C107" t="str">
            <v>(육상발파암:0-2M)</v>
          </cell>
          <cell r="D107">
            <v>29</v>
          </cell>
          <cell r="E107" t="str">
            <v>㎥</v>
          </cell>
        </row>
        <row r="108">
          <cell r="A108" t="str">
            <v>-4</v>
          </cell>
          <cell r="B108" t="str">
            <v>무근콘크리트타설</v>
          </cell>
          <cell r="C108" t="str">
            <v>(진동기포함)</v>
          </cell>
          <cell r="D108">
            <v>62</v>
          </cell>
          <cell r="E108" t="str">
            <v>㎥</v>
          </cell>
        </row>
        <row r="109">
          <cell r="A109" t="str">
            <v>-5</v>
          </cell>
          <cell r="B109" t="str">
            <v>흄관부설및운반</v>
          </cell>
          <cell r="C109" t="str">
            <v>(Φ300M/M)</v>
          </cell>
          <cell r="D109">
            <v>171</v>
          </cell>
          <cell r="E109" t="str">
            <v>M</v>
          </cell>
        </row>
        <row r="110">
          <cell r="A110" t="str">
            <v>b</v>
          </cell>
          <cell r="B110" t="str">
            <v>종배수관</v>
          </cell>
          <cell r="C110" t="str">
            <v>중분대및L형측구</v>
          </cell>
        </row>
        <row r="111">
          <cell r="A111" t="str">
            <v>-1</v>
          </cell>
          <cell r="B111" t="str">
            <v>구조물터파기</v>
          </cell>
          <cell r="C111" t="str">
            <v>(육상토사:0-2M)</v>
          </cell>
          <cell r="D111">
            <v>376</v>
          </cell>
          <cell r="E111" t="str">
            <v>㎥</v>
          </cell>
        </row>
        <row r="112">
          <cell r="A112" t="str">
            <v>-2</v>
          </cell>
          <cell r="B112" t="str">
            <v>구조물터파기</v>
          </cell>
          <cell r="C112" t="str">
            <v>(육상리핑암:0-2M)</v>
          </cell>
          <cell r="D112">
            <v>154</v>
          </cell>
          <cell r="E112" t="str">
            <v>㎥</v>
          </cell>
        </row>
        <row r="113">
          <cell r="A113" t="str">
            <v>-3</v>
          </cell>
          <cell r="B113" t="str">
            <v>구조물터파기</v>
          </cell>
          <cell r="C113" t="str">
            <v>(육상발파암:0-2M)</v>
          </cell>
          <cell r="D113">
            <v>863</v>
          </cell>
          <cell r="E113" t="str">
            <v>㎥</v>
          </cell>
        </row>
        <row r="114">
          <cell r="A114" t="str">
            <v>-4</v>
          </cell>
          <cell r="B114" t="str">
            <v>되메우기및다짐</v>
          </cell>
          <cell r="C114" t="str">
            <v>(인력50%+기계50%)</v>
          </cell>
          <cell r="D114">
            <v>1123</v>
          </cell>
          <cell r="E114" t="str">
            <v>㎥</v>
          </cell>
        </row>
        <row r="115">
          <cell r="A115" t="str">
            <v>-5</v>
          </cell>
          <cell r="B115" t="str">
            <v>몰탈</v>
          </cell>
          <cell r="C115" t="str">
            <v>1:3</v>
          </cell>
          <cell r="D115">
            <v>3.6190000000000002</v>
          </cell>
          <cell r="E115" t="str">
            <v>㎥</v>
          </cell>
        </row>
        <row r="116">
          <cell r="A116" t="str">
            <v>-6</v>
          </cell>
          <cell r="B116" t="str">
            <v>흄관부설및운반</v>
          </cell>
          <cell r="C116" t="str">
            <v>(Φ300M/M)</v>
          </cell>
          <cell r="D116">
            <v>1964</v>
          </cell>
          <cell r="E116" t="str">
            <v>M</v>
          </cell>
        </row>
        <row r="117">
          <cell r="A117" t="str">
            <v>-7</v>
          </cell>
          <cell r="B117" t="str">
            <v>흄관부설및운반</v>
          </cell>
          <cell r="C117" t="str">
            <v>(Φ600M/M)</v>
          </cell>
          <cell r="D117">
            <v>1784</v>
          </cell>
          <cell r="E117" t="str">
            <v>M</v>
          </cell>
        </row>
        <row r="118">
          <cell r="A118" t="str">
            <v>c</v>
          </cell>
          <cell r="B118" t="str">
            <v>중분대집수정</v>
          </cell>
        </row>
        <row r="119">
          <cell r="A119" t="str">
            <v>-1</v>
          </cell>
          <cell r="B119" t="str">
            <v>구조물터파기</v>
          </cell>
          <cell r="C119" t="str">
            <v>(육상토사:0-2M)</v>
          </cell>
          <cell r="D119">
            <v>122</v>
          </cell>
          <cell r="E119" t="str">
            <v>㎥</v>
          </cell>
        </row>
        <row r="120">
          <cell r="A120" t="str">
            <v>-2</v>
          </cell>
          <cell r="B120" t="str">
            <v>구조물터파기</v>
          </cell>
          <cell r="C120" t="str">
            <v>(육상리핑암:0-2M)</v>
          </cell>
          <cell r="D120">
            <v>19</v>
          </cell>
          <cell r="E120" t="str">
            <v>㎥</v>
          </cell>
        </row>
        <row r="121">
          <cell r="A121" t="str">
            <v>-3</v>
          </cell>
          <cell r="B121" t="str">
            <v>구조물터파기</v>
          </cell>
          <cell r="C121" t="str">
            <v>(육상발파암:0-2M)</v>
          </cell>
          <cell r="D121">
            <v>133</v>
          </cell>
          <cell r="E121" t="str">
            <v>㎥</v>
          </cell>
        </row>
        <row r="122">
          <cell r="A122" t="str">
            <v>-4</v>
          </cell>
          <cell r="B122" t="str">
            <v>무근콘크리트타설</v>
          </cell>
          <cell r="C122" t="str">
            <v>(진동기포함)</v>
          </cell>
          <cell r="D122">
            <v>71</v>
          </cell>
          <cell r="E122" t="str">
            <v>㎥</v>
          </cell>
        </row>
        <row r="123">
          <cell r="A123" t="str">
            <v>-5</v>
          </cell>
          <cell r="B123" t="str">
            <v>합판거푸집</v>
          </cell>
          <cell r="C123" t="str">
            <v>(4회)0-7M</v>
          </cell>
          <cell r="D123">
            <v>860</v>
          </cell>
          <cell r="E123" t="str">
            <v>㎡</v>
          </cell>
        </row>
        <row r="124">
          <cell r="A124" t="str">
            <v>-6</v>
          </cell>
          <cell r="B124" t="str">
            <v>철근가공조립</v>
          </cell>
          <cell r="C124" t="str">
            <v>(보통)</v>
          </cell>
          <cell r="D124">
            <v>12.15</v>
          </cell>
          <cell r="E124" t="str">
            <v>TON</v>
          </cell>
        </row>
        <row r="125">
          <cell r="A125" t="str">
            <v>-7</v>
          </cell>
          <cell r="B125" t="str">
            <v>STEEL GRATING설치</v>
          </cell>
          <cell r="C125" t="str">
            <v>(430*1120*75)</v>
          </cell>
          <cell r="D125">
            <v>115</v>
          </cell>
          <cell r="E125" t="str">
            <v>EA</v>
          </cell>
        </row>
        <row r="126">
          <cell r="A126" t="str">
            <v>d</v>
          </cell>
          <cell r="B126" t="str">
            <v>도수로</v>
          </cell>
        </row>
        <row r="127">
          <cell r="A127" t="str">
            <v>-1</v>
          </cell>
          <cell r="B127" t="str">
            <v>측구터파기(토사)</v>
          </cell>
          <cell r="C127" t="str">
            <v>(0-1 M)</v>
          </cell>
          <cell r="D127">
            <v>724</v>
          </cell>
          <cell r="E127" t="str">
            <v>㎥</v>
          </cell>
        </row>
        <row r="128">
          <cell r="A128" t="str">
            <v>-2</v>
          </cell>
          <cell r="B128" t="str">
            <v>측구터파기</v>
          </cell>
          <cell r="C128" t="str">
            <v>(리핑암)</v>
          </cell>
          <cell r="D128">
            <v>20</v>
          </cell>
          <cell r="E128" t="str">
            <v>㎥</v>
          </cell>
        </row>
        <row r="129">
          <cell r="A129" t="str">
            <v>-3</v>
          </cell>
          <cell r="B129" t="str">
            <v>측구터파기</v>
          </cell>
          <cell r="C129" t="str">
            <v>(발파암)</v>
          </cell>
          <cell r="D129">
            <v>83</v>
          </cell>
          <cell r="E129" t="str">
            <v>㎥</v>
          </cell>
        </row>
        <row r="130">
          <cell r="A130" t="str">
            <v>-4</v>
          </cell>
          <cell r="B130" t="str">
            <v>되메우기및다짐</v>
          </cell>
          <cell r="C130" t="str">
            <v>(인력50%+기계50%)</v>
          </cell>
          <cell r="D130">
            <v>243</v>
          </cell>
          <cell r="E130" t="str">
            <v>㎥</v>
          </cell>
        </row>
        <row r="131">
          <cell r="A131" t="str">
            <v>-5</v>
          </cell>
          <cell r="B131" t="str">
            <v>무근콘크리트타설</v>
          </cell>
          <cell r="C131" t="str">
            <v>(진동기포함)</v>
          </cell>
          <cell r="D131">
            <v>260</v>
          </cell>
          <cell r="E131" t="str">
            <v>㎥</v>
          </cell>
        </row>
        <row r="132">
          <cell r="A132" t="str">
            <v>-6</v>
          </cell>
          <cell r="B132" t="str">
            <v>합판거푸집</v>
          </cell>
          <cell r="C132" t="str">
            <v>(4회)0-7M</v>
          </cell>
          <cell r="D132">
            <v>1818</v>
          </cell>
          <cell r="E132" t="str">
            <v>㎡</v>
          </cell>
        </row>
        <row r="133">
          <cell r="A133" t="str">
            <v>-7</v>
          </cell>
          <cell r="B133" t="str">
            <v>철근가공조립</v>
          </cell>
          <cell r="C133" t="str">
            <v>(간단)</v>
          </cell>
          <cell r="D133">
            <v>13.193</v>
          </cell>
          <cell r="E133" t="str">
            <v>TON</v>
          </cell>
        </row>
        <row r="134">
          <cell r="A134" t="str">
            <v>e</v>
          </cell>
          <cell r="B134" t="str">
            <v>절토부소단측구</v>
          </cell>
        </row>
        <row r="135">
          <cell r="A135" t="str">
            <v>-1</v>
          </cell>
          <cell r="B135" t="str">
            <v>무근콘크리트타설</v>
          </cell>
          <cell r="C135" t="str">
            <v>(진동기제외)</v>
          </cell>
          <cell r="D135">
            <v>675</v>
          </cell>
          <cell r="E135" t="str">
            <v>㎥</v>
          </cell>
        </row>
        <row r="136">
          <cell r="A136" t="str">
            <v>-2</v>
          </cell>
          <cell r="B136" t="str">
            <v>합판거푸집</v>
          </cell>
          <cell r="C136" t="str">
            <v>(소형4회)</v>
          </cell>
          <cell r="D136">
            <v>1657</v>
          </cell>
          <cell r="E136" t="str">
            <v>㎡</v>
          </cell>
        </row>
        <row r="137">
          <cell r="A137" t="str">
            <v>g</v>
          </cell>
          <cell r="B137" t="str">
            <v>수로보호공</v>
          </cell>
        </row>
        <row r="138">
          <cell r="A138" t="str">
            <v>-1</v>
          </cell>
          <cell r="B138" t="str">
            <v>구조물터파기</v>
          </cell>
          <cell r="C138" t="str">
            <v>(육상토사:0-2M)</v>
          </cell>
          <cell r="D138">
            <v>34</v>
          </cell>
          <cell r="E138" t="str">
            <v>㎥</v>
          </cell>
        </row>
        <row r="139">
          <cell r="A139" t="str">
            <v>-2</v>
          </cell>
          <cell r="B139" t="str">
            <v>무근콘크리트타설</v>
          </cell>
          <cell r="C139" t="str">
            <v>(진동기제외)</v>
          </cell>
          <cell r="D139">
            <v>4</v>
          </cell>
          <cell r="E139" t="str">
            <v>㎥</v>
          </cell>
        </row>
        <row r="140">
          <cell r="A140" t="str">
            <v>-3</v>
          </cell>
          <cell r="B140" t="str">
            <v>합판거푸집</v>
          </cell>
          <cell r="C140" t="str">
            <v>(소형4회)</v>
          </cell>
          <cell r="D140">
            <v>13</v>
          </cell>
          <cell r="E140" t="str">
            <v>㎡</v>
          </cell>
        </row>
        <row r="141">
          <cell r="A141" t="str">
            <v>2.05</v>
          </cell>
          <cell r="B141" t="str">
            <v>우수맨홀및연결관</v>
          </cell>
        </row>
        <row r="142">
          <cell r="A142" t="str">
            <v>-1</v>
          </cell>
          <cell r="B142" t="str">
            <v>구조물터파기</v>
          </cell>
          <cell r="C142" t="str">
            <v>(육상토사:0-2M)</v>
          </cell>
          <cell r="D142">
            <v>7682</v>
          </cell>
          <cell r="E142" t="str">
            <v>㎥</v>
          </cell>
        </row>
        <row r="143">
          <cell r="A143" t="str">
            <v>-2</v>
          </cell>
          <cell r="B143" t="str">
            <v>되메우기및다짐</v>
          </cell>
          <cell r="C143" t="str">
            <v>(인력50%+기계50%)</v>
          </cell>
          <cell r="D143">
            <v>5548</v>
          </cell>
          <cell r="E143" t="str">
            <v>㎥</v>
          </cell>
        </row>
        <row r="144">
          <cell r="A144" t="str">
            <v>-3</v>
          </cell>
          <cell r="B144" t="str">
            <v>철근콘크리트타설</v>
          </cell>
          <cell r="C144" t="str">
            <v>(진동기 포함)</v>
          </cell>
          <cell r="D144">
            <v>19</v>
          </cell>
          <cell r="E144" t="str">
            <v>㎥</v>
          </cell>
        </row>
        <row r="145">
          <cell r="A145" t="str">
            <v>-4</v>
          </cell>
          <cell r="B145" t="str">
            <v>무근콘크리트타설</v>
          </cell>
          <cell r="C145" t="str">
            <v>(진동기제외)</v>
          </cell>
          <cell r="D145">
            <v>184</v>
          </cell>
          <cell r="E145" t="str">
            <v>㎥</v>
          </cell>
        </row>
        <row r="146">
          <cell r="A146" t="str">
            <v>-5</v>
          </cell>
          <cell r="B146" t="str">
            <v>원형거푸집</v>
          </cell>
          <cell r="C146" t="str">
            <v>(3회 0-7M)</v>
          </cell>
          <cell r="D146">
            <v>1307</v>
          </cell>
          <cell r="E146" t="str">
            <v>㎡</v>
          </cell>
        </row>
        <row r="147">
          <cell r="A147" t="str">
            <v>-6</v>
          </cell>
          <cell r="B147" t="str">
            <v>합판거푸집</v>
          </cell>
          <cell r="C147" t="str">
            <v>(6회)0-7M</v>
          </cell>
          <cell r="D147">
            <v>1877</v>
          </cell>
          <cell r="E147" t="str">
            <v>㎡</v>
          </cell>
        </row>
        <row r="148">
          <cell r="A148" t="str">
            <v>-7</v>
          </cell>
          <cell r="B148" t="str">
            <v>몰탈</v>
          </cell>
          <cell r="C148" t="str">
            <v>1:3</v>
          </cell>
          <cell r="D148">
            <v>7.57</v>
          </cell>
          <cell r="E148" t="str">
            <v>㎥</v>
          </cell>
        </row>
        <row r="149">
          <cell r="A149" t="str">
            <v>-8</v>
          </cell>
          <cell r="B149" t="str">
            <v>철근가공조립</v>
          </cell>
          <cell r="C149" t="str">
            <v>(보통)</v>
          </cell>
          <cell r="D149">
            <v>3.984</v>
          </cell>
          <cell r="E149" t="str">
            <v>TON</v>
          </cell>
        </row>
        <row r="150">
          <cell r="A150" t="str">
            <v>-9</v>
          </cell>
          <cell r="B150" t="str">
            <v>우수관부설및운반</v>
          </cell>
          <cell r="C150" t="str">
            <v>(Φ600M/M)</v>
          </cell>
          <cell r="D150">
            <v>2364</v>
          </cell>
          <cell r="E150" t="str">
            <v>M</v>
          </cell>
        </row>
        <row r="151">
          <cell r="A151" t="str">
            <v>-10</v>
          </cell>
          <cell r="B151" t="str">
            <v>맨홀뚜껑설치</v>
          </cell>
          <cell r="C151" t="str">
            <v>주철(D=648M/M)</v>
          </cell>
          <cell r="D151">
            <v>48</v>
          </cell>
          <cell r="E151" t="str">
            <v>EA</v>
          </cell>
        </row>
        <row r="152">
          <cell r="A152" t="str">
            <v>2.06</v>
          </cell>
          <cell r="B152" t="str">
            <v>우수받이공</v>
          </cell>
        </row>
        <row r="153">
          <cell r="A153" t="str">
            <v>-1</v>
          </cell>
          <cell r="B153" t="str">
            <v>구조물터파기</v>
          </cell>
          <cell r="C153" t="str">
            <v>(육상토사:0-2M)</v>
          </cell>
          <cell r="D153">
            <v>2</v>
          </cell>
          <cell r="E153" t="str">
            <v>㎥</v>
          </cell>
        </row>
        <row r="154">
          <cell r="A154" t="str">
            <v>-2</v>
          </cell>
          <cell r="B154" t="str">
            <v>되메우기및다짐</v>
          </cell>
          <cell r="C154" t="str">
            <v>(인력50%+기계50%)</v>
          </cell>
          <cell r="D154">
            <v>1</v>
          </cell>
          <cell r="E154" t="str">
            <v>㎥</v>
          </cell>
        </row>
        <row r="155">
          <cell r="A155" t="str">
            <v>-3</v>
          </cell>
          <cell r="B155" t="str">
            <v>우수받이설치</v>
          </cell>
          <cell r="C155" t="str">
            <v>(500X400X940)</v>
          </cell>
          <cell r="D155">
            <v>112</v>
          </cell>
          <cell r="E155" t="str">
            <v>조</v>
          </cell>
        </row>
        <row r="156">
          <cell r="A156" t="str">
            <v>-4</v>
          </cell>
          <cell r="B156" t="str">
            <v>우수받이연결관</v>
          </cell>
          <cell r="C156" t="str">
            <v>(D=300M/M)</v>
          </cell>
          <cell r="D156">
            <v>155</v>
          </cell>
          <cell r="E156" t="str">
            <v>M</v>
          </cell>
        </row>
        <row r="157">
          <cell r="A157" t="str">
            <v>2.07</v>
          </cell>
          <cell r="B157" t="str">
            <v>자재비</v>
          </cell>
        </row>
        <row r="158">
          <cell r="A158" t="str">
            <v>a</v>
          </cell>
          <cell r="B158" t="str">
            <v>시멘트</v>
          </cell>
          <cell r="C158" t="str">
            <v>40㎏/대</v>
          </cell>
          <cell r="D158">
            <v>175</v>
          </cell>
          <cell r="E158" t="str">
            <v>대</v>
          </cell>
        </row>
        <row r="159">
          <cell r="A159" t="str">
            <v>b</v>
          </cell>
          <cell r="B159" t="str">
            <v>모래</v>
          </cell>
          <cell r="D159">
            <v>15</v>
          </cell>
          <cell r="E159" t="str">
            <v>㎥</v>
          </cell>
        </row>
        <row r="160">
          <cell r="A160" t="str">
            <v>c</v>
          </cell>
          <cell r="B160" t="str">
            <v>철근</v>
          </cell>
          <cell r="C160" t="str">
            <v>D16M/M 이상</v>
          </cell>
          <cell r="D160">
            <v>255.26599999999999</v>
          </cell>
          <cell r="E160" t="str">
            <v>TON</v>
          </cell>
        </row>
        <row r="161">
          <cell r="A161" t="str">
            <v>d</v>
          </cell>
          <cell r="B161" t="str">
            <v>철근</v>
          </cell>
          <cell r="C161" t="str">
            <v>13M/M</v>
          </cell>
          <cell r="D161">
            <v>34.311999999999998</v>
          </cell>
          <cell r="E161" t="str">
            <v>TON</v>
          </cell>
        </row>
        <row r="162">
          <cell r="A162" t="str">
            <v>e</v>
          </cell>
          <cell r="B162" t="str">
            <v>레미콘</v>
          </cell>
          <cell r="C162" t="str">
            <v>25-210-8</v>
          </cell>
          <cell r="D162">
            <v>1655</v>
          </cell>
          <cell r="E162" t="str">
            <v>㎥</v>
          </cell>
        </row>
        <row r="163">
          <cell r="A163" t="str">
            <v>g</v>
          </cell>
          <cell r="B163" t="str">
            <v>레미콘</v>
          </cell>
          <cell r="C163" t="str">
            <v>40-180-8</v>
          </cell>
          <cell r="D163">
            <v>6634</v>
          </cell>
          <cell r="E163" t="str">
            <v>㎥</v>
          </cell>
        </row>
        <row r="164">
          <cell r="A164" t="str">
            <v>h</v>
          </cell>
          <cell r="B164" t="str">
            <v>레미콘</v>
          </cell>
          <cell r="C164" t="str">
            <v>40-160-8</v>
          </cell>
          <cell r="D164">
            <v>1180</v>
          </cell>
          <cell r="E164" t="str">
            <v>㎥</v>
          </cell>
        </row>
        <row r="165">
          <cell r="A165" t="str">
            <v>3.</v>
          </cell>
          <cell r="B165" t="str">
            <v>구조물공</v>
          </cell>
        </row>
        <row r="166">
          <cell r="A166" t="str">
            <v>3.01</v>
          </cell>
          <cell r="B166" t="str">
            <v>진산교(S.T BOX)</v>
          </cell>
          <cell r="C166" t="str">
            <v>L=288.0, B=21.0</v>
          </cell>
        </row>
        <row r="167">
          <cell r="A167" t="str">
            <v>a</v>
          </cell>
          <cell r="B167" t="str">
            <v>토  공</v>
          </cell>
        </row>
        <row r="168">
          <cell r="A168" t="str">
            <v>-1</v>
          </cell>
          <cell r="B168" t="str">
            <v>구조물터파기</v>
          </cell>
          <cell r="C168" t="str">
            <v>(육상토사:0-4M)</v>
          </cell>
          <cell r="D168">
            <v>3836</v>
          </cell>
          <cell r="E168" t="str">
            <v>㎥</v>
          </cell>
        </row>
        <row r="169">
          <cell r="A169" t="str">
            <v>-2</v>
          </cell>
          <cell r="B169" t="str">
            <v>구조물터파기</v>
          </cell>
          <cell r="C169" t="str">
            <v>(육상토사:4m이상)</v>
          </cell>
          <cell r="D169">
            <v>791</v>
          </cell>
          <cell r="E169" t="str">
            <v>㎥</v>
          </cell>
        </row>
        <row r="170">
          <cell r="A170" t="str">
            <v>-3</v>
          </cell>
          <cell r="B170" t="str">
            <v>구조물터파기</v>
          </cell>
          <cell r="C170" t="str">
            <v>(육상리핑암:0-4M)</v>
          </cell>
          <cell r="D170">
            <v>94</v>
          </cell>
          <cell r="E170" t="str">
            <v>㎥</v>
          </cell>
        </row>
        <row r="171">
          <cell r="A171" t="str">
            <v>-4</v>
          </cell>
          <cell r="B171" t="str">
            <v>구조물터파기</v>
          </cell>
          <cell r="C171" t="str">
            <v>(육상리핑암:4M이상)</v>
          </cell>
          <cell r="D171">
            <v>209</v>
          </cell>
          <cell r="E171" t="str">
            <v>㎥</v>
          </cell>
        </row>
        <row r="172">
          <cell r="A172" t="str">
            <v>-5</v>
          </cell>
          <cell r="B172" t="str">
            <v>구조물터파기</v>
          </cell>
          <cell r="C172" t="str">
            <v>(수중토사:0-4M)</v>
          </cell>
          <cell r="D172">
            <v>2551</v>
          </cell>
          <cell r="E172" t="str">
            <v>㎥</v>
          </cell>
        </row>
        <row r="173">
          <cell r="A173" t="str">
            <v>-6</v>
          </cell>
          <cell r="B173" t="str">
            <v>구조물터파기</v>
          </cell>
          <cell r="C173" t="str">
            <v>(수중리핑암:0-4M)</v>
          </cell>
          <cell r="D173">
            <v>693</v>
          </cell>
          <cell r="E173" t="str">
            <v>㎥</v>
          </cell>
        </row>
        <row r="174">
          <cell r="A174" t="str">
            <v>-7</v>
          </cell>
          <cell r="B174" t="str">
            <v>구조물터파기</v>
          </cell>
          <cell r="C174" t="str">
            <v>(수중리핑암:4M이상)</v>
          </cell>
          <cell r="D174">
            <v>16</v>
          </cell>
          <cell r="E174" t="str">
            <v>㎥</v>
          </cell>
        </row>
        <row r="175">
          <cell r="A175" t="str">
            <v>-8</v>
          </cell>
          <cell r="B175" t="str">
            <v>구조물터파기</v>
          </cell>
          <cell r="C175" t="str">
            <v>(수중발파암:0-4M)</v>
          </cell>
          <cell r="D175">
            <v>91</v>
          </cell>
          <cell r="E175" t="str">
            <v>㎥</v>
          </cell>
        </row>
        <row r="176">
          <cell r="A176" t="str">
            <v>-9</v>
          </cell>
          <cell r="B176" t="str">
            <v>구조물터파기</v>
          </cell>
          <cell r="C176" t="str">
            <v>(수중발파암:4M이상)</v>
          </cell>
          <cell r="D176">
            <v>33</v>
          </cell>
          <cell r="E176" t="str">
            <v>㎥</v>
          </cell>
        </row>
        <row r="177">
          <cell r="A177" t="str">
            <v>-10</v>
          </cell>
          <cell r="B177" t="str">
            <v>되메우기및다짐</v>
          </cell>
          <cell r="C177" t="str">
            <v>(인력30%+기계70%)</v>
          </cell>
          <cell r="D177">
            <v>6122</v>
          </cell>
          <cell r="E177" t="str">
            <v>㎥</v>
          </cell>
        </row>
        <row r="178">
          <cell r="A178" t="str">
            <v>-11</v>
          </cell>
          <cell r="B178" t="str">
            <v>물푸기</v>
          </cell>
          <cell r="C178" t="str">
            <v>(교량등대형구조물)</v>
          </cell>
          <cell r="D178">
            <v>221</v>
          </cell>
          <cell r="E178" t="str">
            <v>HR</v>
          </cell>
        </row>
        <row r="179">
          <cell r="A179" t="str">
            <v>-12</v>
          </cell>
          <cell r="B179" t="str">
            <v>뒷채움및다짐</v>
          </cell>
          <cell r="D179">
            <v>1258</v>
          </cell>
          <cell r="E179" t="str">
            <v>㎥</v>
          </cell>
        </row>
        <row r="180">
          <cell r="A180" t="str">
            <v>-13</v>
          </cell>
          <cell r="B180" t="str">
            <v>면정리및청소</v>
          </cell>
          <cell r="C180" t="str">
            <v>육상</v>
          </cell>
          <cell r="D180">
            <v>81</v>
          </cell>
          <cell r="E180" t="str">
            <v>M2</v>
          </cell>
        </row>
        <row r="181">
          <cell r="A181" t="str">
            <v>b</v>
          </cell>
          <cell r="B181" t="str">
            <v>강관파일공</v>
          </cell>
        </row>
        <row r="182">
          <cell r="A182" t="str">
            <v>-1</v>
          </cell>
          <cell r="B182" t="str">
            <v>강관파일자재비</v>
          </cell>
          <cell r="C182" t="str">
            <v>(Φ508.0M/M*12T)</v>
          </cell>
          <cell r="D182">
            <v>302</v>
          </cell>
          <cell r="E182" t="str">
            <v>M</v>
          </cell>
        </row>
        <row r="183">
          <cell r="A183" t="str">
            <v>-2</v>
          </cell>
          <cell r="B183" t="str">
            <v>항타비직항(진산교)</v>
          </cell>
          <cell r="C183" t="str">
            <v>(Φ508.0*12T)</v>
          </cell>
          <cell r="D183">
            <v>279</v>
          </cell>
          <cell r="E183" t="str">
            <v>M</v>
          </cell>
        </row>
        <row r="184">
          <cell r="A184" t="str">
            <v>-3</v>
          </cell>
          <cell r="B184" t="str">
            <v>두부선단보강</v>
          </cell>
          <cell r="C184" t="str">
            <v>(Φ508.0M/M*12T)</v>
          </cell>
          <cell r="D184">
            <v>36</v>
          </cell>
          <cell r="E184" t="str">
            <v>개소</v>
          </cell>
        </row>
        <row r="185">
          <cell r="A185" t="str">
            <v>c</v>
          </cell>
          <cell r="B185" t="str">
            <v>콘크리트타설</v>
          </cell>
        </row>
        <row r="186">
          <cell r="A186" t="str">
            <v>-1</v>
          </cell>
          <cell r="B186" t="str">
            <v>철근콘크리트타설</v>
          </cell>
          <cell r="C186" t="str">
            <v>펌프카타설(0-15M)</v>
          </cell>
          <cell r="D186">
            <v>5357</v>
          </cell>
          <cell r="E186" t="str">
            <v>㎥</v>
          </cell>
        </row>
        <row r="187">
          <cell r="A187" t="str">
            <v>-2</v>
          </cell>
          <cell r="B187" t="str">
            <v>무근콘크리트타설</v>
          </cell>
          <cell r="C187" t="str">
            <v>(진동기제외)</v>
          </cell>
          <cell r="D187">
            <v>578</v>
          </cell>
          <cell r="E187" t="str">
            <v>㎥</v>
          </cell>
        </row>
        <row r="188">
          <cell r="A188" t="str">
            <v>d</v>
          </cell>
          <cell r="B188" t="str">
            <v>스페이셔설치</v>
          </cell>
        </row>
        <row r="189">
          <cell r="A189" t="str">
            <v>-1</v>
          </cell>
          <cell r="B189" t="str">
            <v>스페이셔설치</v>
          </cell>
          <cell r="C189" t="str">
            <v>벽체용</v>
          </cell>
          <cell r="D189">
            <v>3486</v>
          </cell>
          <cell r="E189" t="str">
            <v>㎡</v>
          </cell>
        </row>
        <row r="190">
          <cell r="A190" t="str">
            <v>-2</v>
          </cell>
          <cell r="B190" t="str">
            <v>스페이서설치</v>
          </cell>
          <cell r="C190" t="str">
            <v>슬라브용</v>
          </cell>
          <cell r="D190">
            <v>6947</v>
          </cell>
          <cell r="E190" t="str">
            <v>㎡</v>
          </cell>
        </row>
        <row r="191">
          <cell r="A191" t="str">
            <v>e</v>
          </cell>
          <cell r="B191" t="str">
            <v>철근가공조립</v>
          </cell>
        </row>
        <row r="192">
          <cell r="A192" t="str">
            <v>-1</v>
          </cell>
          <cell r="B192" t="str">
            <v>철근가공조립</v>
          </cell>
          <cell r="C192" t="str">
            <v>(보통)</v>
          </cell>
          <cell r="D192">
            <v>152.137</v>
          </cell>
          <cell r="E192" t="str">
            <v>TON</v>
          </cell>
        </row>
        <row r="193">
          <cell r="A193" t="str">
            <v>-2</v>
          </cell>
          <cell r="B193" t="str">
            <v>철근가공조립</v>
          </cell>
          <cell r="C193" t="str">
            <v>(복잡)</v>
          </cell>
          <cell r="D193">
            <v>594.23400000000004</v>
          </cell>
          <cell r="E193" t="str">
            <v>TON</v>
          </cell>
        </row>
        <row r="194">
          <cell r="A194" t="str">
            <v>-3</v>
          </cell>
          <cell r="B194" t="str">
            <v>철근가공조립</v>
          </cell>
          <cell r="C194" t="str">
            <v>(매우복잡)</v>
          </cell>
          <cell r="D194">
            <v>599.71100000000001</v>
          </cell>
          <cell r="E194" t="str">
            <v>TON</v>
          </cell>
        </row>
        <row r="195">
          <cell r="A195" t="str">
            <v>f</v>
          </cell>
          <cell r="B195" t="str">
            <v>합판거푸집</v>
          </cell>
        </row>
        <row r="196">
          <cell r="A196" t="str">
            <v>-1</v>
          </cell>
          <cell r="B196" t="str">
            <v>합판거푸집</v>
          </cell>
          <cell r="C196" t="str">
            <v>(3회)0-7M</v>
          </cell>
          <cell r="D196">
            <v>992</v>
          </cell>
          <cell r="E196" t="str">
            <v>㎡</v>
          </cell>
        </row>
        <row r="197">
          <cell r="A197" t="str">
            <v>-2</v>
          </cell>
          <cell r="B197" t="str">
            <v>합판거푸집</v>
          </cell>
          <cell r="C197" t="str">
            <v>(3회)7-10M</v>
          </cell>
          <cell r="D197">
            <v>228</v>
          </cell>
          <cell r="E197" t="str">
            <v>㎡</v>
          </cell>
        </row>
        <row r="198">
          <cell r="A198" t="str">
            <v>-3</v>
          </cell>
          <cell r="B198" t="str">
            <v>합판거푸집</v>
          </cell>
          <cell r="C198" t="str">
            <v>(3회)10-13M</v>
          </cell>
          <cell r="D198">
            <v>750</v>
          </cell>
          <cell r="E198" t="str">
            <v>㎡</v>
          </cell>
        </row>
        <row r="199">
          <cell r="A199" t="str">
            <v>-4</v>
          </cell>
          <cell r="B199" t="str">
            <v>원형거푸집</v>
          </cell>
          <cell r="C199" t="str">
            <v>(3회 0-7M)</v>
          </cell>
          <cell r="D199">
            <v>543</v>
          </cell>
          <cell r="E199" t="str">
            <v>㎡</v>
          </cell>
        </row>
        <row r="200">
          <cell r="A200" t="str">
            <v>-5</v>
          </cell>
          <cell r="B200" t="str">
            <v>원형거푸집</v>
          </cell>
          <cell r="C200" t="str">
            <v>(3회 7-10M)</v>
          </cell>
          <cell r="D200">
            <v>97</v>
          </cell>
          <cell r="E200" t="str">
            <v>㎡</v>
          </cell>
        </row>
        <row r="201">
          <cell r="A201" t="str">
            <v>-6</v>
          </cell>
          <cell r="B201" t="str">
            <v>합판거푸집</v>
          </cell>
          <cell r="C201" t="str">
            <v>(소형3회)</v>
          </cell>
          <cell r="D201">
            <v>4959</v>
          </cell>
          <cell r="E201" t="str">
            <v>㎡</v>
          </cell>
        </row>
        <row r="202">
          <cell r="A202" t="str">
            <v>-7</v>
          </cell>
          <cell r="B202" t="str">
            <v>합판거푸집</v>
          </cell>
          <cell r="C202" t="str">
            <v>(소형4회)</v>
          </cell>
          <cell r="D202">
            <v>877</v>
          </cell>
          <cell r="E202" t="str">
            <v>㎡</v>
          </cell>
        </row>
        <row r="203">
          <cell r="A203" t="str">
            <v>-8</v>
          </cell>
          <cell r="B203" t="str">
            <v>합판거푸집</v>
          </cell>
          <cell r="C203" t="str">
            <v>(소형6회)</v>
          </cell>
          <cell r="D203">
            <v>156</v>
          </cell>
          <cell r="E203" t="str">
            <v>㎡</v>
          </cell>
        </row>
        <row r="204">
          <cell r="A204" t="str">
            <v>g</v>
          </cell>
          <cell r="B204" t="str">
            <v>비계</v>
          </cell>
          <cell r="C204" t="str">
            <v>(강관)0-30M</v>
          </cell>
          <cell r="D204">
            <v>4087</v>
          </cell>
          <cell r="E204" t="str">
            <v>㎡</v>
          </cell>
        </row>
        <row r="205">
          <cell r="A205" t="str">
            <v>h</v>
          </cell>
          <cell r="B205" t="str">
            <v>동바리공</v>
          </cell>
        </row>
        <row r="206">
          <cell r="A206" t="str">
            <v>-1</v>
          </cell>
          <cell r="B206" t="str">
            <v>강관동바리</v>
          </cell>
          <cell r="C206" t="str">
            <v>(교량용)</v>
          </cell>
          <cell r="D206">
            <v>1974</v>
          </cell>
          <cell r="E206" t="str">
            <v>공㎥</v>
          </cell>
        </row>
        <row r="207">
          <cell r="A207" t="str">
            <v>-2</v>
          </cell>
          <cell r="B207" t="str">
            <v>동바리공</v>
          </cell>
          <cell r="C207" t="str">
            <v>(목재4회)</v>
          </cell>
          <cell r="D207">
            <v>6713</v>
          </cell>
          <cell r="E207" t="str">
            <v>공㎥</v>
          </cell>
        </row>
        <row r="208">
          <cell r="A208" t="str">
            <v>i</v>
          </cell>
          <cell r="B208" t="str">
            <v>무수축콘크리트</v>
          </cell>
        </row>
        <row r="209">
          <cell r="A209" t="str">
            <v>-1</v>
          </cell>
          <cell r="B209" t="str">
            <v>무수축몰탈</v>
          </cell>
          <cell r="C209" t="str">
            <v>1:1</v>
          </cell>
          <cell r="D209">
            <v>2.42</v>
          </cell>
          <cell r="E209" t="str">
            <v>㎥</v>
          </cell>
        </row>
        <row r="210">
          <cell r="A210" t="str">
            <v>-2</v>
          </cell>
          <cell r="B210" t="str">
            <v>무수축콘크리트</v>
          </cell>
          <cell r="D210">
            <v>13.27</v>
          </cell>
          <cell r="E210" t="str">
            <v>㎥</v>
          </cell>
        </row>
        <row r="211">
          <cell r="A211" t="str">
            <v>j</v>
          </cell>
          <cell r="B211" t="str">
            <v>교좌장치공</v>
          </cell>
        </row>
        <row r="212">
          <cell r="A212" t="str">
            <v>-1</v>
          </cell>
          <cell r="B212" t="str">
            <v>POT BEARING</v>
          </cell>
          <cell r="C212" t="str">
            <v>일방향(200TON)</v>
          </cell>
          <cell r="D212">
            <v>8</v>
          </cell>
          <cell r="E212" t="str">
            <v>EA</v>
          </cell>
        </row>
        <row r="213">
          <cell r="A213" t="str">
            <v>-2</v>
          </cell>
          <cell r="B213" t="str">
            <v>POT BEARING</v>
          </cell>
          <cell r="C213" t="str">
            <v>양방향(200TON)</v>
          </cell>
          <cell r="D213">
            <v>24</v>
          </cell>
          <cell r="E213" t="str">
            <v>EA</v>
          </cell>
        </row>
        <row r="214">
          <cell r="A214" t="str">
            <v>-3</v>
          </cell>
          <cell r="B214" t="str">
            <v>POT BEARING</v>
          </cell>
          <cell r="C214" t="str">
            <v>고정단(400TON)</v>
          </cell>
          <cell r="D214">
            <v>4</v>
          </cell>
          <cell r="E214" t="str">
            <v>EA</v>
          </cell>
        </row>
        <row r="215">
          <cell r="A215" t="str">
            <v>-4</v>
          </cell>
          <cell r="B215" t="str">
            <v>POT BEARING</v>
          </cell>
          <cell r="C215" t="str">
            <v>일방향(400TON)</v>
          </cell>
          <cell r="D215">
            <v>16</v>
          </cell>
          <cell r="E215" t="str">
            <v>EA</v>
          </cell>
        </row>
        <row r="216">
          <cell r="A216" t="str">
            <v>-5</v>
          </cell>
          <cell r="B216" t="str">
            <v>POT BEARING</v>
          </cell>
          <cell r="C216" t="str">
            <v>양방향(400TON)</v>
          </cell>
          <cell r="D216">
            <v>12</v>
          </cell>
          <cell r="E216" t="str">
            <v>EA</v>
          </cell>
        </row>
        <row r="217">
          <cell r="A217" t="str">
            <v>k</v>
          </cell>
          <cell r="B217" t="str">
            <v>신축이음장치</v>
          </cell>
          <cell r="C217" t="str">
            <v>(NO100)</v>
          </cell>
          <cell r="D217">
            <v>58</v>
          </cell>
          <cell r="E217" t="str">
            <v>M</v>
          </cell>
        </row>
        <row r="218">
          <cell r="A218" t="str">
            <v>l</v>
          </cell>
          <cell r="B218" t="str">
            <v>표면처리공</v>
          </cell>
        </row>
        <row r="219">
          <cell r="A219" t="str">
            <v>-1</v>
          </cell>
          <cell r="B219" t="str">
            <v>면고르기</v>
          </cell>
          <cell r="C219" t="str">
            <v>DECK FINISHER</v>
          </cell>
          <cell r="D219">
            <v>5550</v>
          </cell>
          <cell r="E219" t="str">
            <v>㎡</v>
          </cell>
        </row>
        <row r="220">
          <cell r="A220" t="str">
            <v>-2</v>
          </cell>
          <cell r="B220" t="str">
            <v>슬라브양생</v>
          </cell>
          <cell r="C220" t="str">
            <v>(도막양생)</v>
          </cell>
          <cell r="D220">
            <v>5550</v>
          </cell>
          <cell r="E220" t="str">
            <v>㎡</v>
          </cell>
        </row>
        <row r="221">
          <cell r="A221" t="str">
            <v>-3</v>
          </cell>
          <cell r="B221" t="str">
            <v>교면방수</v>
          </cell>
          <cell r="C221" t="str">
            <v>(도막방수)</v>
          </cell>
          <cell r="D221">
            <v>5550</v>
          </cell>
          <cell r="E221" t="str">
            <v>㎡</v>
          </cell>
        </row>
        <row r="222">
          <cell r="A222" t="str">
            <v>m</v>
          </cell>
          <cell r="B222" t="str">
            <v>교량명판공</v>
          </cell>
        </row>
        <row r="223">
          <cell r="A223" t="str">
            <v>-1</v>
          </cell>
          <cell r="B223" t="str">
            <v>교명주</v>
          </cell>
          <cell r="C223" t="str">
            <v>(1000*500*350)</v>
          </cell>
          <cell r="D223">
            <v>4</v>
          </cell>
          <cell r="E223" t="str">
            <v>EA</v>
          </cell>
        </row>
        <row r="224">
          <cell r="A224" t="str">
            <v>-2</v>
          </cell>
          <cell r="B224" t="str">
            <v>교명판</v>
          </cell>
          <cell r="C224" t="str">
            <v>(200X450X10)</v>
          </cell>
          <cell r="D224">
            <v>2</v>
          </cell>
          <cell r="E224" t="str">
            <v>EA</v>
          </cell>
        </row>
        <row r="225">
          <cell r="A225" t="str">
            <v>-3</v>
          </cell>
          <cell r="B225" t="str">
            <v>설명판</v>
          </cell>
          <cell r="C225" t="str">
            <v>(500X300X10)</v>
          </cell>
          <cell r="D225">
            <v>2</v>
          </cell>
          <cell r="E225" t="str">
            <v>EA</v>
          </cell>
        </row>
        <row r="226">
          <cell r="A226" t="str">
            <v>-4</v>
          </cell>
          <cell r="B226" t="str">
            <v>TBM 설치</v>
          </cell>
          <cell r="D226">
            <v>2</v>
          </cell>
          <cell r="E226" t="str">
            <v>EA</v>
          </cell>
        </row>
        <row r="227">
          <cell r="A227" t="str">
            <v>n</v>
          </cell>
          <cell r="B227" t="str">
            <v>다월바설치</v>
          </cell>
          <cell r="D227">
            <v>92</v>
          </cell>
          <cell r="E227" t="str">
            <v>EA</v>
          </cell>
        </row>
        <row r="228">
          <cell r="A228" t="str">
            <v>o</v>
          </cell>
          <cell r="B228" t="str">
            <v>신축이음</v>
          </cell>
        </row>
        <row r="229">
          <cell r="A229" t="str">
            <v>-1</v>
          </cell>
          <cell r="B229" t="str">
            <v>스치로폴</v>
          </cell>
          <cell r="C229" t="str">
            <v>(시공이음T=10M)</v>
          </cell>
          <cell r="D229">
            <v>71</v>
          </cell>
          <cell r="E229" t="str">
            <v>㎡</v>
          </cell>
        </row>
        <row r="230">
          <cell r="A230" t="str">
            <v>-2</v>
          </cell>
          <cell r="B230" t="str">
            <v>스치로폴</v>
          </cell>
          <cell r="C230" t="str">
            <v>(신축이음T=20M/M)</v>
          </cell>
          <cell r="D230">
            <v>14</v>
          </cell>
          <cell r="E230" t="str">
            <v>㎡</v>
          </cell>
        </row>
        <row r="231">
          <cell r="A231" t="str">
            <v>p</v>
          </cell>
          <cell r="B231" t="str">
            <v>교량용배수구</v>
          </cell>
        </row>
        <row r="232">
          <cell r="A232" t="str">
            <v>-1</v>
          </cell>
          <cell r="B232" t="str">
            <v>집수구</v>
          </cell>
          <cell r="C232" t="str">
            <v>(주철)</v>
          </cell>
          <cell r="D232">
            <v>28</v>
          </cell>
          <cell r="E232" t="str">
            <v>EA</v>
          </cell>
        </row>
        <row r="233">
          <cell r="A233" t="str">
            <v>-2</v>
          </cell>
          <cell r="B233" t="str">
            <v>연결배수구</v>
          </cell>
          <cell r="C233" t="str">
            <v>(스텐레스)</v>
          </cell>
          <cell r="D233">
            <v>10</v>
          </cell>
          <cell r="E233" t="str">
            <v>EA</v>
          </cell>
        </row>
        <row r="234">
          <cell r="A234" t="str">
            <v>-3</v>
          </cell>
          <cell r="B234" t="str">
            <v>직관</v>
          </cell>
          <cell r="C234" t="str">
            <v>(Φ150)</v>
          </cell>
          <cell r="D234">
            <v>192</v>
          </cell>
          <cell r="E234" t="str">
            <v>M</v>
          </cell>
        </row>
        <row r="235">
          <cell r="A235" t="str">
            <v>-4</v>
          </cell>
          <cell r="B235" t="str">
            <v>육교용곡관</v>
          </cell>
          <cell r="D235">
            <v>22</v>
          </cell>
          <cell r="E235" t="str">
            <v>EA</v>
          </cell>
        </row>
        <row r="236">
          <cell r="A236" t="str">
            <v>-5</v>
          </cell>
          <cell r="B236" t="str">
            <v>연결부</v>
          </cell>
          <cell r="C236" t="str">
            <v>(스텐레스)</v>
          </cell>
          <cell r="D236">
            <v>192</v>
          </cell>
          <cell r="E236" t="str">
            <v>EA</v>
          </cell>
        </row>
        <row r="237">
          <cell r="A237" t="str">
            <v>-6</v>
          </cell>
          <cell r="B237" t="str">
            <v>하천용배수구</v>
          </cell>
          <cell r="C237" t="str">
            <v>(아연도강관D=150MM)</v>
          </cell>
          <cell r="D237">
            <v>56</v>
          </cell>
          <cell r="E237" t="str">
            <v>M</v>
          </cell>
        </row>
        <row r="238">
          <cell r="A238" t="str">
            <v>q</v>
          </cell>
          <cell r="B238" t="str">
            <v>전선관</v>
          </cell>
          <cell r="C238" t="str">
            <v>P.V.C PIPE</v>
          </cell>
          <cell r="D238">
            <v>575</v>
          </cell>
          <cell r="E238" t="str">
            <v>M</v>
          </cell>
        </row>
        <row r="239">
          <cell r="A239" t="str">
            <v>r</v>
          </cell>
          <cell r="B239" t="str">
            <v>강교가설</v>
          </cell>
        </row>
        <row r="240">
          <cell r="A240" t="str">
            <v>-1</v>
          </cell>
          <cell r="B240" t="str">
            <v>강교제작</v>
          </cell>
          <cell r="C240" t="str">
            <v>(진산교)</v>
          </cell>
          <cell r="D240">
            <v>2208.748</v>
          </cell>
          <cell r="E240" t="str">
            <v>TON</v>
          </cell>
        </row>
        <row r="241">
          <cell r="A241" t="str">
            <v>-2</v>
          </cell>
          <cell r="B241" t="str">
            <v>강교운반및가설</v>
          </cell>
          <cell r="C241" t="str">
            <v>(진산교)</v>
          </cell>
          <cell r="D241">
            <v>2208.748</v>
          </cell>
          <cell r="E241" t="str">
            <v>TON</v>
          </cell>
        </row>
        <row r="242">
          <cell r="A242" t="str">
            <v>-3</v>
          </cell>
          <cell r="B242" t="str">
            <v>내부도장</v>
          </cell>
          <cell r="C242" t="str">
            <v>(공장)</v>
          </cell>
          <cell r="D242">
            <v>22599</v>
          </cell>
          <cell r="E242" t="str">
            <v>㎡</v>
          </cell>
        </row>
        <row r="243">
          <cell r="A243" t="str">
            <v>-4</v>
          </cell>
          <cell r="B243" t="str">
            <v>연결판도장</v>
          </cell>
          <cell r="C243" t="str">
            <v>(공장)</v>
          </cell>
          <cell r="D243">
            <v>2103</v>
          </cell>
          <cell r="E243" t="str">
            <v>㎡</v>
          </cell>
        </row>
        <row r="244">
          <cell r="A244" t="str">
            <v>-5</v>
          </cell>
          <cell r="B244" t="str">
            <v>내부볼트및연결판도장</v>
          </cell>
          <cell r="C244" t="str">
            <v>(현장)</v>
          </cell>
          <cell r="D244">
            <v>587</v>
          </cell>
          <cell r="E244" t="str">
            <v>㎡</v>
          </cell>
        </row>
        <row r="245">
          <cell r="A245" t="str">
            <v>-6</v>
          </cell>
          <cell r="B245" t="str">
            <v>외부도장</v>
          </cell>
          <cell r="C245" t="str">
            <v>(공장)</v>
          </cell>
          <cell r="D245">
            <v>14727</v>
          </cell>
          <cell r="E245" t="str">
            <v>㎡</v>
          </cell>
        </row>
        <row r="246">
          <cell r="A246" t="str">
            <v>-7</v>
          </cell>
          <cell r="B246" t="str">
            <v>외부포장면도장</v>
          </cell>
          <cell r="C246" t="str">
            <v>(공장)</v>
          </cell>
          <cell r="D246">
            <v>2990</v>
          </cell>
          <cell r="E246" t="str">
            <v>㎡</v>
          </cell>
        </row>
        <row r="247">
          <cell r="A247" t="str">
            <v>-8</v>
          </cell>
          <cell r="B247" t="str">
            <v>외부볼트및연결판도장</v>
          </cell>
          <cell r="C247" t="str">
            <v>(현장)</v>
          </cell>
          <cell r="D247">
            <v>1516</v>
          </cell>
          <cell r="E247" t="str">
            <v>㎡</v>
          </cell>
        </row>
        <row r="248">
          <cell r="A248" t="str">
            <v>-9</v>
          </cell>
          <cell r="B248" t="str">
            <v>외부도장</v>
          </cell>
          <cell r="C248" t="str">
            <v>(현장)</v>
          </cell>
          <cell r="D248">
            <v>2209</v>
          </cell>
          <cell r="E248" t="str">
            <v>㎡</v>
          </cell>
        </row>
        <row r="249">
          <cell r="A249" t="str">
            <v>s</v>
          </cell>
          <cell r="B249" t="str">
            <v>기타공</v>
          </cell>
        </row>
        <row r="250">
          <cell r="A250" t="str">
            <v>-1</v>
          </cell>
          <cell r="B250" t="str">
            <v>낙교방지책</v>
          </cell>
          <cell r="C250" t="str">
            <v>(2SHOE,TYPE-1)</v>
          </cell>
          <cell r="D250">
            <v>8</v>
          </cell>
          <cell r="E250" t="str">
            <v>EA</v>
          </cell>
        </row>
        <row r="251">
          <cell r="A251" t="str">
            <v>-2</v>
          </cell>
          <cell r="B251" t="str">
            <v>낙교방지책</v>
          </cell>
          <cell r="C251" t="str">
            <v>(2SHOE,TYPE-2)</v>
          </cell>
          <cell r="D251">
            <v>16</v>
          </cell>
          <cell r="E251" t="str">
            <v>EA</v>
          </cell>
        </row>
        <row r="252">
          <cell r="A252" t="str">
            <v>-3</v>
          </cell>
          <cell r="B252" t="str">
            <v>낙교방지책</v>
          </cell>
          <cell r="C252" t="str">
            <v>(2SHOE, TYPE-3)</v>
          </cell>
          <cell r="D252">
            <v>8</v>
          </cell>
          <cell r="E252" t="str">
            <v>EA</v>
          </cell>
        </row>
        <row r="253">
          <cell r="A253" t="str">
            <v>-4</v>
          </cell>
          <cell r="B253" t="str">
            <v>안전점검통로</v>
          </cell>
          <cell r="C253" t="str">
            <v>교축방향(TYPE-1)</v>
          </cell>
          <cell r="D253">
            <v>122</v>
          </cell>
          <cell r="E253" t="str">
            <v>개소</v>
          </cell>
        </row>
        <row r="254">
          <cell r="A254" t="str">
            <v>-5</v>
          </cell>
          <cell r="B254" t="str">
            <v>안전점검통로(진산교)</v>
          </cell>
          <cell r="C254" t="str">
            <v>교축직각방향TYPE-1</v>
          </cell>
          <cell r="D254">
            <v>8</v>
          </cell>
          <cell r="E254" t="str">
            <v>개소</v>
          </cell>
        </row>
        <row r="255">
          <cell r="A255" t="str">
            <v>-6</v>
          </cell>
          <cell r="B255" t="str">
            <v>안전점검통로(진산교)</v>
          </cell>
          <cell r="C255" t="str">
            <v>교축직각방향TYPE-2</v>
          </cell>
          <cell r="D255">
            <v>2</v>
          </cell>
          <cell r="E255" t="str">
            <v>개소</v>
          </cell>
        </row>
        <row r="256">
          <cell r="A256" t="str">
            <v>-7</v>
          </cell>
          <cell r="B256" t="str">
            <v>내부출입구설치</v>
          </cell>
          <cell r="C256" t="str">
            <v>LOWER FLANGE</v>
          </cell>
          <cell r="D256">
            <v>16</v>
          </cell>
          <cell r="E256" t="str">
            <v>EA</v>
          </cell>
        </row>
        <row r="257">
          <cell r="A257" t="str">
            <v>-8</v>
          </cell>
          <cell r="B257" t="str">
            <v>내부출입구설치</v>
          </cell>
          <cell r="C257" t="str">
            <v>DIAPHRAGM</v>
          </cell>
          <cell r="D257">
            <v>16</v>
          </cell>
          <cell r="E257" t="str">
            <v>EA</v>
          </cell>
        </row>
        <row r="258">
          <cell r="A258" t="str">
            <v>-9</v>
          </cell>
          <cell r="B258" t="str">
            <v>내부출입구설치</v>
          </cell>
          <cell r="C258" t="str">
            <v>WEB</v>
          </cell>
          <cell r="D258">
            <v>16</v>
          </cell>
          <cell r="E258" t="str">
            <v>EA</v>
          </cell>
        </row>
        <row r="259">
          <cell r="A259" t="str">
            <v>-10</v>
          </cell>
          <cell r="B259" t="str">
            <v>환풍기받침대설치</v>
          </cell>
          <cell r="D259">
            <v>24</v>
          </cell>
          <cell r="E259" t="str">
            <v>EA</v>
          </cell>
        </row>
        <row r="260">
          <cell r="A260" t="str">
            <v>t</v>
          </cell>
          <cell r="B260" t="str">
            <v>가  도</v>
          </cell>
        </row>
        <row r="261">
          <cell r="A261" t="str">
            <v>-1</v>
          </cell>
          <cell r="B261" t="str">
            <v>가도공흙쌓기</v>
          </cell>
          <cell r="D261">
            <v>1973</v>
          </cell>
          <cell r="E261" t="str">
            <v>M3</v>
          </cell>
        </row>
        <row r="262">
          <cell r="A262" t="str">
            <v>-2</v>
          </cell>
          <cell r="B262" t="str">
            <v>가마니쌓기및헐기</v>
          </cell>
          <cell r="D262">
            <v>564</v>
          </cell>
          <cell r="E262" t="str">
            <v>M2</v>
          </cell>
        </row>
        <row r="263">
          <cell r="A263" t="str">
            <v>V</v>
          </cell>
          <cell r="B263" t="str">
            <v>가시설</v>
          </cell>
          <cell r="C263" t="str">
            <v>(교각부)</v>
          </cell>
        </row>
        <row r="264">
          <cell r="A264" t="str">
            <v>-1</v>
          </cell>
          <cell r="B264" t="str">
            <v>강널말뚝자재비</v>
          </cell>
          <cell r="C264" t="str">
            <v>400*150*13</v>
          </cell>
          <cell r="D264">
            <v>252.28</v>
          </cell>
          <cell r="E264" t="str">
            <v>TON</v>
          </cell>
        </row>
        <row r="265">
          <cell r="A265" t="str">
            <v>-2</v>
          </cell>
          <cell r="B265" t="str">
            <v>강널말뚝 항타(진산교</v>
          </cell>
          <cell r="C265" t="str">
            <v>400*150*13(가시설용)</v>
          </cell>
          <cell r="D265">
            <v>2612</v>
          </cell>
          <cell r="E265" t="str">
            <v>M</v>
          </cell>
        </row>
        <row r="266">
          <cell r="A266" t="str">
            <v>-3</v>
          </cell>
          <cell r="B266" t="str">
            <v>강널말뚝 뽑기진산교</v>
          </cell>
          <cell r="C266" t="str">
            <v>(가시설용)</v>
          </cell>
          <cell r="D266">
            <v>2612</v>
          </cell>
          <cell r="E266" t="str">
            <v>M</v>
          </cell>
        </row>
        <row r="267">
          <cell r="A267" t="str">
            <v>-4</v>
          </cell>
          <cell r="B267" t="str">
            <v>띠장설치및철거</v>
          </cell>
          <cell r="C267" t="str">
            <v>진산교300*300*10*15</v>
          </cell>
          <cell r="D267">
            <v>337</v>
          </cell>
          <cell r="E267" t="str">
            <v>M</v>
          </cell>
        </row>
        <row r="268">
          <cell r="A268" t="str">
            <v>-5</v>
          </cell>
          <cell r="B268" t="str">
            <v>L형강설치및철거</v>
          </cell>
          <cell r="C268" t="str">
            <v>100*100*10</v>
          </cell>
          <cell r="D268">
            <v>85</v>
          </cell>
          <cell r="E268" t="str">
            <v>M</v>
          </cell>
        </row>
        <row r="269">
          <cell r="A269" t="str">
            <v>-6</v>
          </cell>
          <cell r="B269" t="str">
            <v>보걸이 설치</v>
          </cell>
          <cell r="D269">
            <v>168</v>
          </cell>
          <cell r="E269" t="str">
            <v>EA</v>
          </cell>
        </row>
        <row r="270">
          <cell r="A270" t="str">
            <v>-7</v>
          </cell>
          <cell r="B270" t="str">
            <v>강판설치</v>
          </cell>
          <cell r="D270">
            <v>17.803999999999998</v>
          </cell>
          <cell r="E270" t="str">
            <v>TON</v>
          </cell>
        </row>
        <row r="271">
          <cell r="A271" t="str">
            <v>w</v>
          </cell>
          <cell r="B271" t="str">
            <v>가교가설(진산교)</v>
          </cell>
          <cell r="C271" t="str">
            <v>(L=120M,B=8.0M)</v>
          </cell>
          <cell r="D271">
            <v>1</v>
          </cell>
          <cell r="E271" t="str">
            <v>L.S</v>
          </cell>
        </row>
        <row r="272">
          <cell r="A272" t="str">
            <v>x</v>
          </cell>
          <cell r="B272" t="str">
            <v>검사시험</v>
          </cell>
        </row>
        <row r="273">
          <cell r="A273" t="str">
            <v>-1</v>
          </cell>
          <cell r="B273" t="str">
            <v>방사선투과검사</v>
          </cell>
          <cell r="C273" t="str">
            <v>R.T</v>
          </cell>
          <cell r="D273">
            <v>77</v>
          </cell>
          <cell r="E273" t="str">
            <v>SHEET</v>
          </cell>
        </row>
        <row r="274">
          <cell r="A274" t="str">
            <v>-2</v>
          </cell>
          <cell r="B274" t="str">
            <v>초음파탐상검사</v>
          </cell>
          <cell r="C274" t="str">
            <v>U.T</v>
          </cell>
          <cell r="D274">
            <v>55</v>
          </cell>
          <cell r="E274" t="str">
            <v>M</v>
          </cell>
        </row>
        <row r="275">
          <cell r="A275" t="str">
            <v>y</v>
          </cell>
          <cell r="B275" t="str">
            <v>자재비</v>
          </cell>
        </row>
        <row r="276">
          <cell r="A276" t="str">
            <v>-1</v>
          </cell>
          <cell r="B276" t="str">
            <v>레미콘</v>
          </cell>
          <cell r="C276" t="str">
            <v>25-240-12</v>
          </cell>
          <cell r="D276">
            <v>1872</v>
          </cell>
          <cell r="E276" t="str">
            <v>㎥</v>
          </cell>
        </row>
        <row r="277">
          <cell r="A277" t="str">
            <v>-2</v>
          </cell>
          <cell r="B277" t="str">
            <v>레미콘</v>
          </cell>
          <cell r="C277" t="str">
            <v>25-210-12</v>
          </cell>
          <cell r="D277">
            <v>3539</v>
          </cell>
          <cell r="E277" t="str">
            <v>㎥</v>
          </cell>
        </row>
        <row r="278">
          <cell r="A278" t="str">
            <v>-3</v>
          </cell>
          <cell r="B278" t="str">
            <v>레미콘</v>
          </cell>
          <cell r="C278" t="str">
            <v>40-180-8</v>
          </cell>
          <cell r="D278">
            <v>239</v>
          </cell>
          <cell r="E278" t="str">
            <v>㎥</v>
          </cell>
        </row>
        <row r="279">
          <cell r="A279" t="str">
            <v>-4</v>
          </cell>
          <cell r="B279" t="str">
            <v>레미콘</v>
          </cell>
          <cell r="C279" t="str">
            <v>40-160-8</v>
          </cell>
          <cell r="D279">
            <v>350</v>
          </cell>
          <cell r="E279" t="str">
            <v>㎥</v>
          </cell>
        </row>
        <row r="280">
          <cell r="A280" t="str">
            <v>-5</v>
          </cell>
          <cell r="B280" t="str">
            <v>시멘트</v>
          </cell>
          <cell r="C280" t="str">
            <v>40㎏/대</v>
          </cell>
          <cell r="D280">
            <v>260</v>
          </cell>
          <cell r="E280" t="str">
            <v>대</v>
          </cell>
        </row>
        <row r="281">
          <cell r="A281" t="str">
            <v>-6</v>
          </cell>
          <cell r="B281" t="str">
            <v>철근</v>
          </cell>
          <cell r="C281" t="str">
            <v>SD40 H16M/M 이상</v>
          </cell>
          <cell r="D281">
            <v>580.03200000000004</v>
          </cell>
          <cell r="E281" t="str">
            <v>TON</v>
          </cell>
        </row>
        <row r="282">
          <cell r="A282" t="str">
            <v>-7</v>
          </cell>
          <cell r="B282" t="str">
            <v>철근</v>
          </cell>
          <cell r="C282" t="str">
            <v>SD40 H13M/M</v>
          </cell>
          <cell r="D282">
            <v>4.556</v>
          </cell>
          <cell r="E282" t="str">
            <v>TON</v>
          </cell>
        </row>
        <row r="283">
          <cell r="A283" t="str">
            <v>-8</v>
          </cell>
          <cell r="B283" t="str">
            <v>철근</v>
          </cell>
          <cell r="C283" t="str">
            <v>SD30 D16M/M 이상</v>
          </cell>
          <cell r="D283">
            <v>788.351</v>
          </cell>
          <cell r="E283" t="str">
            <v>TON</v>
          </cell>
        </row>
        <row r="284">
          <cell r="A284" t="str">
            <v>-9</v>
          </cell>
          <cell r="B284" t="str">
            <v>철근</v>
          </cell>
          <cell r="C284" t="str">
            <v>SD30 D13M/M</v>
          </cell>
          <cell r="D284">
            <v>17.175000000000001</v>
          </cell>
          <cell r="E284" t="str">
            <v>TON</v>
          </cell>
        </row>
        <row r="285">
          <cell r="A285" t="str">
            <v>3.02</v>
          </cell>
          <cell r="B285" t="str">
            <v>건계정교(S.T BOX)</v>
          </cell>
          <cell r="C285" t="str">
            <v>L=188.0, B=21.0</v>
          </cell>
        </row>
        <row r="286">
          <cell r="A286" t="str">
            <v>a</v>
          </cell>
          <cell r="B286" t="str">
            <v>토  공</v>
          </cell>
        </row>
        <row r="287">
          <cell r="A287" t="str">
            <v>-1</v>
          </cell>
          <cell r="B287" t="str">
            <v>구조물터파기</v>
          </cell>
          <cell r="C287" t="str">
            <v>(육상발파암:0-4M)</v>
          </cell>
          <cell r="D287">
            <v>1714</v>
          </cell>
          <cell r="E287" t="str">
            <v>㎥</v>
          </cell>
        </row>
        <row r="288">
          <cell r="A288" t="str">
            <v>-2</v>
          </cell>
          <cell r="B288" t="str">
            <v>구조물터파기</v>
          </cell>
          <cell r="C288" t="str">
            <v>(육상발파암:4M이상)</v>
          </cell>
          <cell r="D288">
            <v>1938</v>
          </cell>
          <cell r="E288" t="str">
            <v>㎥</v>
          </cell>
        </row>
        <row r="289">
          <cell r="A289" t="str">
            <v>-3</v>
          </cell>
          <cell r="B289" t="str">
            <v>구조물터파기</v>
          </cell>
          <cell r="C289" t="str">
            <v>(수중토사:0-4M)</v>
          </cell>
          <cell r="D289">
            <v>1803</v>
          </cell>
          <cell r="E289" t="str">
            <v>㎥</v>
          </cell>
        </row>
        <row r="290">
          <cell r="A290" t="str">
            <v>-4</v>
          </cell>
          <cell r="B290" t="str">
            <v>구조물터파기</v>
          </cell>
          <cell r="C290" t="str">
            <v>(수중발파암:0-4M)</v>
          </cell>
          <cell r="D290">
            <v>2136</v>
          </cell>
          <cell r="E290" t="str">
            <v>㎥</v>
          </cell>
        </row>
        <row r="291">
          <cell r="A291" t="str">
            <v>-5</v>
          </cell>
          <cell r="B291" t="str">
            <v>구조물터파기</v>
          </cell>
          <cell r="C291" t="str">
            <v>(수중발파암:4M이상)</v>
          </cell>
          <cell r="D291">
            <v>1131</v>
          </cell>
          <cell r="E291" t="str">
            <v>㎥</v>
          </cell>
        </row>
        <row r="292">
          <cell r="A292" t="str">
            <v>-6</v>
          </cell>
          <cell r="B292" t="str">
            <v>되메우기및다짐</v>
          </cell>
          <cell r="C292" t="str">
            <v>(인력30%+기계70%)</v>
          </cell>
          <cell r="D292">
            <v>5665</v>
          </cell>
          <cell r="E292" t="str">
            <v>㎥</v>
          </cell>
        </row>
        <row r="293">
          <cell r="A293" t="str">
            <v>-7</v>
          </cell>
          <cell r="B293" t="str">
            <v>물푸기</v>
          </cell>
          <cell r="C293" t="str">
            <v>(교량등대형구조물)</v>
          </cell>
          <cell r="D293">
            <v>213</v>
          </cell>
          <cell r="E293" t="str">
            <v>HR</v>
          </cell>
        </row>
        <row r="294">
          <cell r="A294" t="str">
            <v>-8</v>
          </cell>
          <cell r="B294" t="str">
            <v>뒷채움및다짐</v>
          </cell>
          <cell r="D294">
            <v>1507</v>
          </cell>
          <cell r="E294" t="str">
            <v>㎥</v>
          </cell>
        </row>
        <row r="295">
          <cell r="A295" t="str">
            <v>-9</v>
          </cell>
          <cell r="B295" t="str">
            <v>면정리및청소</v>
          </cell>
          <cell r="C295" t="str">
            <v>육상</v>
          </cell>
          <cell r="D295">
            <v>1001</v>
          </cell>
          <cell r="E295" t="str">
            <v>M2</v>
          </cell>
        </row>
        <row r="296">
          <cell r="A296" t="str">
            <v>b</v>
          </cell>
          <cell r="B296" t="str">
            <v>콘크리트타설</v>
          </cell>
        </row>
        <row r="297">
          <cell r="A297" t="str">
            <v>-1</v>
          </cell>
          <cell r="B297" t="str">
            <v>철근콘크리트타설</v>
          </cell>
          <cell r="C297" t="str">
            <v>펌프카타설(0-15M)</v>
          </cell>
          <cell r="D297">
            <v>4559</v>
          </cell>
          <cell r="E297" t="str">
            <v>㎥</v>
          </cell>
        </row>
        <row r="298">
          <cell r="A298" t="str">
            <v>-2</v>
          </cell>
          <cell r="B298" t="str">
            <v>철근콘크리트타설</v>
          </cell>
          <cell r="C298" t="str">
            <v>펌프카타설(15M이상)</v>
          </cell>
          <cell r="D298">
            <v>741</v>
          </cell>
          <cell r="E298" t="str">
            <v>㎥</v>
          </cell>
        </row>
        <row r="299">
          <cell r="A299" t="str">
            <v>-3</v>
          </cell>
          <cell r="B299" t="str">
            <v>무근콘크리트타설</v>
          </cell>
          <cell r="C299" t="str">
            <v>(진동기제외)</v>
          </cell>
          <cell r="D299">
            <v>183</v>
          </cell>
          <cell r="E299" t="str">
            <v>㎥</v>
          </cell>
        </row>
        <row r="300">
          <cell r="A300" t="str">
            <v>c</v>
          </cell>
          <cell r="B300" t="str">
            <v>스페이셔설치</v>
          </cell>
        </row>
        <row r="301">
          <cell r="A301" t="str">
            <v>-1</v>
          </cell>
          <cell r="B301" t="str">
            <v>스페이셔설치</v>
          </cell>
          <cell r="C301" t="str">
            <v>벽체용</v>
          </cell>
          <cell r="D301">
            <v>3983</v>
          </cell>
          <cell r="E301" t="str">
            <v>㎡</v>
          </cell>
        </row>
        <row r="302">
          <cell r="A302" t="str">
            <v>-2</v>
          </cell>
          <cell r="B302" t="str">
            <v>스페이서설치</v>
          </cell>
          <cell r="C302" t="str">
            <v>슬라브용</v>
          </cell>
          <cell r="D302">
            <v>4728</v>
          </cell>
          <cell r="E302" t="str">
            <v>㎡</v>
          </cell>
        </row>
        <row r="303">
          <cell r="A303" t="str">
            <v>d</v>
          </cell>
          <cell r="B303" t="str">
            <v>철근가공조립</v>
          </cell>
        </row>
        <row r="304">
          <cell r="A304" t="str">
            <v>-1</v>
          </cell>
          <cell r="B304" t="str">
            <v>철근가공조립</v>
          </cell>
          <cell r="C304" t="str">
            <v>(보통)</v>
          </cell>
          <cell r="D304">
            <v>184.49199999999999</v>
          </cell>
          <cell r="E304" t="str">
            <v>TON</v>
          </cell>
        </row>
        <row r="305">
          <cell r="A305" t="str">
            <v>-2</v>
          </cell>
          <cell r="B305" t="str">
            <v>철근가공조립</v>
          </cell>
          <cell r="C305" t="str">
            <v>(복잡)</v>
          </cell>
          <cell r="D305">
            <v>424.32499999999999</v>
          </cell>
          <cell r="E305" t="str">
            <v>TON</v>
          </cell>
        </row>
        <row r="306">
          <cell r="A306" t="str">
            <v>-3</v>
          </cell>
          <cell r="B306" t="str">
            <v>철근가공조립</v>
          </cell>
          <cell r="C306" t="str">
            <v>(매우복잡)</v>
          </cell>
          <cell r="D306">
            <v>705.37199999999996</v>
          </cell>
          <cell r="E306" t="str">
            <v>TON</v>
          </cell>
        </row>
        <row r="307">
          <cell r="A307" t="str">
            <v>e</v>
          </cell>
          <cell r="B307" t="str">
            <v>합판거푸집</v>
          </cell>
        </row>
        <row r="308">
          <cell r="A308" t="str">
            <v>-1</v>
          </cell>
          <cell r="B308" t="str">
            <v>합판거푸집</v>
          </cell>
          <cell r="C308" t="str">
            <v>(3회)0-7M</v>
          </cell>
          <cell r="D308">
            <v>1083</v>
          </cell>
          <cell r="E308" t="str">
            <v>㎡</v>
          </cell>
        </row>
        <row r="309">
          <cell r="A309" t="str">
            <v>-2</v>
          </cell>
          <cell r="B309" t="str">
            <v>합판거푸집</v>
          </cell>
          <cell r="C309" t="str">
            <v>(3회)7-10M</v>
          </cell>
          <cell r="D309">
            <v>292</v>
          </cell>
          <cell r="E309" t="str">
            <v>㎡</v>
          </cell>
        </row>
        <row r="310">
          <cell r="A310" t="str">
            <v>-3</v>
          </cell>
          <cell r="B310" t="str">
            <v>합판거푸집</v>
          </cell>
          <cell r="C310" t="str">
            <v>(3회)19-22M</v>
          </cell>
          <cell r="D310">
            <v>126</v>
          </cell>
          <cell r="E310" t="str">
            <v>㎡</v>
          </cell>
        </row>
        <row r="311">
          <cell r="A311" t="str">
            <v>-4</v>
          </cell>
          <cell r="B311" t="str">
            <v>합판거푸집</v>
          </cell>
          <cell r="C311" t="str">
            <v>(3회)22-25M</v>
          </cell>
          <cell r="D311">
            <v>126</v>
          </cell>
          <cell r="E311" t="str">
            <v>㎡</v>
          </cell>
        </row>
        <row r="312">
          <cell r="A312" t="str">
            <v>-5</v>
          </cell>
          <cell r="B312" t="str">
            <v>합판거푸집</v>
          </cell>
          <cell r="C312" t="str">
            <v>(3회)25-28M</v>
          </cell>
          <cell r="D312">
            <v>125</v>
          </cell>
          <cell r="E312" t="str">
            <v>㎡</v>
          </cell>
        </row>
        <row r="313">
          <cell r="A313" t="str">
            <v>-6</v>
          </cell>
          <cell r="B313" t="str">
            <v>원형거푸집</v>
          </cell>
          <cell r="C313" t="str">
            <v>(3회 0-7M)</v>
          </cell>
          <cell r="D313">
            <v>461</v>
          </cell>
          <cell r="E313" t="str">
            <v>㎡</v>
          </cell>
        </row>
        <row r="314">
          <cell r="A314" t="str">
            <v>-7</v>
          </cell>
          <cell r="B314" t="str">
            <v>원형거푸집</v>
          </cell>
          <cell r="C314" t="str">
            <v>(3회 7-10M)</v>
          </cell>
          <cell r="D314">
            <v>197</v>
          </cell>
          <cell r="E314" t="str">
            <v>㎡</v>
          </cell>
        </row>
        <row r="315">
          <cell r="A315" t="str">
            <v>-8</v>
          </cell>
          <cell r="B315" t="str">
            <v>원형거푸집</v>
          </cell>
          <cell r="C315" t="str">
            <v>(3회 10-13M)</v>
          </cell>
          <cell r="D315">
            <v>197</v>
          </cell>
          <cell r="E315" t="str">
            <v>㎡</v>
          </cell>
        </row>
        <row r="316">
          <cell r="A316" t="str">
            <v>-9</v>
          </cell>
          <cell r="B316" t="str">
            <v>원형거푸집</v>
          </cell>
          <cell r="C316" t="str">
            <v>(3회 13-16M)</v>
          </cell>
          <cell r="D316">
            <v>197</v>
          </cell>
          <cell r="E316" t="str">
            <v>㎡</v>
          </cell>
        </row>
        <row r="317">
          <cell r="A317" t="str">
            <v>-10</v>
          </cell>
          <cell r="B317" t="str">
            <v>원형거푸집</v>
          </cell>
          <cell r="C317" t="str">
            <v>(3회 16-19M)</v>
          </cell>
          <cell r="D317">
            <v>184</v>
          </cell>
          <cell r="E317" t="str">
            <v>㎡</v>
          </cell>
        </row>
        <row r="318">
          <cell r="A318" t="str">
            <v>-11</v>
          </cell>
          <cell r="B318" t="str">
            <v>원형거푸집</v>
          </cell>
          <cell r="C318" t="str">
            <v>(3회 19-22M)</v>
          </cell>
          <cell r="D318">
            <v>107</v>
          </cell>
          <cell r="E318" t="str">
            <v>㎡</v>
          </cell>
        </row>
        <row r="319">
          <cell r="A319" t="str">
            <v>-12</v>
          </cell>
          <cell r="B319" t="str">
            <v>원형거푸집</v>
          </cell>
          <cell r="C319" t="str">
            <v>(3회 22-25M)</v>
          </cell>
          <cell r="D319">
            <v>94</v>
          </cell>
          <cell r="E319" t="str">
            <v>㎡</v>
          </cell>
        </row>
        <row r="320">
          <cell r="A320" t="str">
            <v>-13</v>
          </cell>
          <cell r="B320" t="str">
            <v>원형거푸집</v>
          </cell>
          <cell r="C320" t="str">
            <v>(3회 25-28M)</v>
          </cell>
          <cell r="D320">
            <v>33</v>
          </cell>
          <cell r="E320" t="str">
            <v>㎡</v>
          </cell>
        </row>
        <row r="321">
          <cell r="A321" t="str">
            <v>-14</v>
          </cell>
          <cell r="B321" t="str">
            <v>합판거푸집</v>
          </cell>
          <cell r="C321" t="str">
            <v>(소형6회)</v>
          </cell>
          <cell r="D321">
            <v>44</v>
          </cell>
          <cell r="E321" t="str">
            <v>㎡</v>
          </cell>
        </row>
        <row r="322">
          <cell r="A322" t="str">
            <v>-15</v>
          </cell>
          <cell r="B322" t="str">
            <v>합판거푸집</v>
          </cell>
          <cell r="C322" t="str">
            <v>(소형4회)</v>
          </cell>
          <cell r="D322">
            <v>786</v>
          </cell>
          <cell r="E322" t="str">
            <v>㎡</v>
          </cell>
        </row>
        <row r="323">
          <cell r="A323" t="str">
            <v>-16</v>
          </cell>
          <cell r="B323" t="str">
            <v>합판거푸집</v>
          </cell>
          <cell r="C323" t="str">
            <v>(소형3회)</v>
          </cell>
          <cell r="D323">
            <v>3230</v>
          </cell>
          <cell r="E323" t="str">
            <v>㎡</v>
          </cell>
        </row>
        <row r="324">
          <cell r="A324" t="str">
            <v>f</v>
          </cell>
          <cell r="B324" t="str">
            <v>비계</v>
          </cell>
          <cell r="C324" t="str">
            <v>(강관)0-30M</v>
          </cell>
          <cell r="D324">
            <v>5353</v>
          </cell>
          <cell r="E324" t="str">
            <v>㎡</v>
          </cell>
        </row>
        <row r="325">
          <cell r="A325" t="str">
            <v>g</v>
          </cell>
          <cell r="B325" t="str">
            <v>동바리공</v>
          </cell>
        </row>
        <row r="326">
          <cell r="A326" t="str">
            <v>-1</v>
          </cell>
          <cell r="B326" t="str">
            <v>강관동바리</v>
          </cell>
          <cell r="C326" t="str">
            <v>(교량용)</v>
          </cell>
          <cell r="D326">
            <v>2207</v>
          </cell>
          <cell r="E326" t="str">
            <v>공㎥</v>
          </cell>
        </row>
        <row r="327">
          <cell r="A327" t="str">
            <v>-2</v>
          </cell>
          <cell r="B327" t="str">
            <v>동바리공</v>
          </cell>
          <cell r="C327" t="str">
            <v>(목재4회)</v>
          </cell>
          <cell r="D327">
            <v>4387</v>
          </cell>
          <cell r="E327" t="str">
            <v>공㎥</v>
          </cell>
        </row>
        <row r="328">
          <cell r="A328" t="str">
            <v>h</v>
          </cell>
          <cell r="B328" t="str">
            <v>무수축콘크리트</v>
          </cell>
        </row>
        <row r="329">
          <cell r="A329" t="str">
            <v>-1</v>
          </cell>
          <cell r="B329" t="str">
            <v>무수축몰탈</v>
          </cell>
          <cell r="C329" t="str">
            <v>1:1</v>
          </cell>
          <cell r="D329">
            <v>1.6619999999999999</v>
          </cell>
          <cell r="E329" t="str">
            <v>㎥</v>
          </cell>
        </row>
        <row r="330">
          <cell r="A330" t="str">
            <v>-2</v>
          </cell>
          <cell r="B330" t="str">
            <v>무수축콘크리트</v>
          </cell>
          <cell r="D330">
            <v>9.58</v>
          </cell>
          <cell r="E330" t="str">
            <v>㎥</v>
          </cell>
        </row>
        <row r="331">
          <cell r="A331" t="str">
            <v>i</v>
          </cell>
          <cell r="B331" t="str">
            <v>교좌장치공</v>
          </cell>
        </row>
        <row r="332">
          <cell r="A332" t="str">
            <v>-1</v>
          </cell>
          <cell r="B332" t="str">
            <v>POT BEARING</v>
          </cell>
          <cell r="C332" t="str">
            <v>일방향(200TON)</v>
          </cell>
          <cell r="D332">
            <v>4</v>
          </cell>
          <cell r="E332" t="str">
            <v>EA</v>
          </cell>
        </row>
        <row r="333">
          <cell r="A333" t="str">
            <v>-2</v>
          </cell>
          <cell r="B333" t="str">
            <v>POT BEARING</v>
          </cell>
          <cell r="C333" t="str">
            <v>양방향(200TON)</v>
          </cell>
          <cell r="D333">
            <v>12</v>
          </cell>
          <cell r="E333" t="str">
            <v>EA</v>
          </cell>
        </row>
        <row r="334">
          <cell r="A334" t="str">
            <v>-3</v>
          </cell>
          <cell r="B334" t="str">
            <v>POT BEARING</v>
          </cell>
          <cell r="C334" t="str">
            <v>고정단(400TON)</v>
          </cell>
          <cell r="D334">
            <v>2</v>
          </cell>
          <cell r="E334" t="str">
            <v>EA</v>
          </cell>
        </row>
        <row r="335">
          <cell r="A335" t="str">
            <v>-4</v>
          </cell>
          <cell r="B335" t="str">
            <v>POT BEARING</v>
          </cell>
          <cell r="C335" t="str">
            <v>일방향(400TON).</v>
          </cell>
          <cell r="D335">
            <v>10</v>
          </cell>
          <cell r="E335" t="str">
            <v>EA</v>
          </cell>
        </row>
        <row r="336">
          <cell r="A336" t="str">
            <v>-5</v>
          </cell>
          <cell r="B336" t="str">
            <v>POT BEARING</v>
          </cell>
          <cell r="C336" t="str">
            <v>양방향(400TON)</v>
          </cell>
          <cell r="D336">
            <v>12</v>
          </cell>
          <cell r="E336" t="str">
            <v>EA</v>
          </cell>
        </row>
        <row r="337">
          <cell r="A337" t="str">
            <v>j</v>
          </cell>
          <cell r="B337" t="str">
            <v>신축이음장치</v>
          </cell>
          <cell r="C337" t="str">
            <v>(NO100)</v>
          </cell>
          <cell r="D337">
            <v>39</v>
          </cell>
          <cell r="E337" t="str">
            <v>M</v>
          </cell>
        </row>
        <row r="338">
          <cell r="A338" t="str">
            <v>k</v>
          </cell>
          <cell r="B338" t="str">
            <v>표면처리공</v>
          </cell>
        </row>
        <row r="339">
          <cell r="A339" t="str">
            <v>-1</v>
          </cell>
          <cell r="B339" t="str">
            <v>면고르기</v>
          </cell>
          <cell r="C339" t="str">
            <v>DECK FINISHER</v>
          </cell>
          <cell r="D339">
            <v>3649</v>
          </cell>
          <cell r="E339" t="str">
            <v>㎡</v>
          </cell>
        </row>
        <row r="340">
          <cell r="A340" t="str">
            <v>-2</v>
          </cell>
          <cell r="B340" t="str">
            <v>슬라브양생</v>
          </cell>
          <cell r="C340" t="str">
            <v>(도막양생)</v>
          </cell>
          <cell r="D340">
            <v>3649</v>
          </cell>
          <cell r="E340" t="str">
            <v>㎡</v>
          </cell>
        </row>
        <row r="341">
          <cell r="A341" t="str">
            <v>-3</v>
          </cell>
          <cell r="B341" t="str">
            <v>교면방수</v>
          </cell>
          <cell r="C341" t="str">
            <v>(도막방수)</v>
          </cell>
          <cell r="D341">
            <v>3649</v>
          </cell>
          <cell r="E341" t="str">
            <v>㎡</v>
          </cell>
        </row>
        <row r="342">
          <cell r="A342" t="str">
            <v>l</v>
          </cell>
          <cell r="B342" t="str">
            <v>교량명판공</v>
          </cell>
        </row>
        <row r="343">
          <cell r="A343" t="str">
            <v>-1</v>
          </cell>
          <cell r="B343" t="str">
            <v>교명주</v>
          </cell>
          <cell r="C343" t="str">
            <v>(1000*500*350)</v>
          </cell>
          <cell r="D343">
            <v>4</v>
          </cell>
          <cell r="E343" t="str">
            <v>EA</v>
          </cell>
        </row>
        <row r="344">
          <cell r="A344" t="str">
            <v>-2</v>
          </cell>
          <cell r="B344" t="str">
            <v>교명판</v>
          </cell>
          <cell r="C344" t="str">
            <v>(200X450X10)</v>
          </cell>
          <cell r="D344">
            <v>2</v>
          </cell>
          <cell r="E344" t="str">
            <v>EA</v>
          </cell>
        </row>
        <row r="345">
          <cell r="A345" t="str">
            <v>-3</v>
          </cell>
          <cell r="B345" t="str">
            <v>설명판</v>
          </cell>
          <cell r="C345" t="str">
            <v>(500X300X10)</v>
          </cell>
          <cell r="D345">
            <v>2</v>
          </cell>
          <cell r="E345" t="str">
            <v>EA</v>
          </cell>
        </row>
        <row r="346">
          <cell r="A346" t="str">
            <v>-4</v>
          </cell>
          <cell r="B346" t="str">
            <v>TBM 설치</v>
          </cell>
          <cell r="D346">
            <v>2</v>
          </cell>
          <cell r="E346" t="str">
            <v>EA</v>
          </cell>
        </row>
        <row r="347">
          <cell r="A347" t="str">
            <v>m</v>
          </cell>
          <cell r="B347" t="str">
            <v>다월바설치</v>
          </cell>
          <cell r="D347">
            <v>92</v>
          </cell>
          <cell r="E347" t="str">
            <v>EA</v>
          </cell>
        </row>
        <row r="348">
          <cell r="A348" t="str">
            <v>o</v>
          </cell>
          <cell r="B348" t="str">
            <v>신축이음</v>
          </cell>
        </row>
        <row r="349">
          <cell r="A349" t="str">
            <v>-1</v>
          </cell>
          <cell r="B349" t="str">
            <v>스치로폴</v>
          </cell>
          <cell r="C349" t="str">
            <v>(시공이음T=10M)</v>
          </cell>
          <cell r="D349">
            <v>46</v>
          </cell>
          <cell r="E349" t="str">
            <v>㎡</v>
          </cell>
        </row>
        <row r="350">
          <cell r="A350" t="str">
            <v>-2</v>
          </cell>
          <cell r="B350" t="str">
            <v>스치로폴</v>
          </cell>
          <cell r="C350" t="str">
            <v>(신축이음T=20M/M)</v>
          </cell>
          <cell r="D350">
            <v>14</v>
          </cell>
          <cell r="E350" t="str">
            <v>㎡</v>
          </cell>
        </row>
        <row r="351">
          <cell r="A351" t="str">
            <v>p</v>
          </cell>
          <cell r="B351" t="str">
            <v>교량용집수구</v>
          </cell>
        </row>
        <row r="352">
          <cell r="A352" t="str">
            <v>-1</v>
          </cell>
          <cell r="B352" t="str">
            <v>집수구</v>
          </cell>
          <cell r="C352" t="str">
            <v>(주철)</v>
          </cell>
          <cell r="D352">
            <v>18</v>
          </cell>
          <cell r="E352" t="str">
            <v>EA</v>
          </cell>
        </row>
        <row r="353">
          <cell r="A353" t="str">
            <v>-2</v>
          </cell>
          <cell r="B353" t="str">
            <v>연결배수구</v>
          </cell>
          <cell r="C353" t="str">
            <v>(스텐레스)</v>
          </cell>
          <cell r="D353">
            <v>4</v>
          </cell>
          <cell r="E353" t="str">
            <v>EA</v>
          </cell>
        </row>
        <row r="354">
          <cell r="A354" t="str">
            <v>-3</v>
          </cell>
          <cell r="B354" t="str">
            <v>직관</v>
          </cell>
          <cell r="C354" t="str">
            <v>(Φ150)</v>
          </cell>
          <cell r="D354">
            <v>92</v>
          </cell>
          <cell r="E354" t="str">
            <v>M</v>
          </cell>
        </row>
        <row r="355">
          <cell r="A355" t="str">
            <v>-4</v>
          </cell>
          <cell r="B355" t="str">
            <v>육교용곡관</v>
          </cell>
          <cell r="D355">
            <v>10</v>
          </cell>
          <cell r="E355" t="str">
            <v>EA</v>
          </cell>
        </row>
        <row r="356">
          <cell r="A356" t="str">
            <v>-5</v>
          </cell>
          <cell r="B356" t="str">
            <v>연결부</v>
          </cell>
          <cell r="C356" t="str">
            <v>(스텐레스)</v>
          </cell>
          <cell r="D356">
            <v>92</v>
          </cell>
          <cell r="E356" t="str">
            <v>EA</v>
          </cell>
        </row>
        <row r="357">
          <cell r="A357" t="str">
            <v>-6</v>
          </cell>
          <cell r="B357" t="str">
            <v>하천용배수구</v>
          </cell>
          <cell r="C357" t="str">
            <v>(아연도강관D=150MM)</v>
          </cell>
          <cell r="D357">
            <v>44</v>
          </cell>
          <cell r="E357" t="str">
            <v>M</v>
          </cell>
        </row>
        <row r="358">
          <cell r="A358" t="str">
            <v>q</v>
          </cell>
          <cell r="B358" t="str">
            <v>전선관</v>
          </cell>
          <cell r="C358" t="str">
            <v>P.V.C PIPE</v>
          </cell>
          <cell r="D358">
            <v>375</v>
          </cell>
          <cell r="E358" t="str">
            <v>M</v>
          </cell>
        </row>
        <row r="359">
          <cell r="A359" t="str">
            <v>r</v>
          </cell>
          <cell r="B359" t="str">
            <v>환풍기받침대설치</v>
          </cell>
          <cell r="D359">
            <v>16</v>
          </cell>
          <cell r="E359" t="str">
            <v>EA</v>
          </cell>
        </row>
        <row r="360">
          <cell r="A360" t="str">
            <v>s</v>
          </cell>
          <cell r="B360" t="str">
            <v>강교가설</v>
          </cell>
        </row>
        <row r="361">
          <cell r="A361" t="str">
            <v>-1</v>
          </cell>
          <cell r="B361" t="str">
            <v>강교제작</v>
          </cell>
          <cell r="C361" t="str">
            <v>(건계정교)</v>
          </cell>
          <cell r="D361">
            <v>1395.232</v>
          </cell>
          <cell r="E361" t="str">
            <v>TON</v>
          </cell>
        </row>
        <row r="362">
          <cell r="A362" t="str">
            <v>-2</v>
          </cell>
          <cell r="B362" t="str">
            <v>강교운반및가설</v>
          </cell>
          <cell r="C362" t="str">
            <v>(건계정교)</v>
          </cell>
          <cell r="D362">
            <v>1395.232</v>
          </cell>
          <cell r="E362" t="str">
            <v>TON</v>
          </cell>
        </row>
        <row r="363">
          <cell r="A363" t="str">
            <v>-3</v>
          </cell>
          <cell r="B363" t="str">
            <v>내부도장</v>
          </cell>
          <cell r="C363" t="str">
            <v>(공장)</v>
          </cell>
          <cell r="D363">
            <v>14630</v>
          </cell>
          <cell r="E363" t="str">
            <v>㎡</v>
          </cell>
        </row>
        <row r="364">
          <cell r="A364" t="str">
            <v>-4</v>
          </cell>
          <cell r="B364" t="str">
            <v>연결판도장</v>
          </cell>
          <cell r="C364" t="str">
            <v>(공장)</v>
          </cell>
          <cell r="D364">
            <v>1247</v>
          </cell>
          <cell r="E364" t="str">
            <v>㎡</v>
          </cell>
        </row>
        <row r="365">
          <cell r="A365" t="str">
            <v>-5</v>
          </cell>
          <cell r="B365" t="str">
            <v>내부볼트및연결판도장</v>
          </cell>
          <cell r="C365" t="str">
            <v>(현장)</v>
          </cell>
          <cell r="D365">
            <v>388</v>
          </cell>
          <cell r="E365" t="str">
            <v>㎡</v>
          </cell>
        </row>
        <row r="366">
          <cell r="A366" t="str">
            <v>-6</v>
          </cell>
          <cell r="B366" t="str">
            <v>외부도장</v>
          </cell>
          <cell r="C366" t="str">
            <v>(공장)</v>
          </cell>
          <cell r="D366">
            <v>9286</v>
          </cell>
          <cell r="E366" t="str">
            <v>㎡</v>
          </cell>
        </row>
        <row r="367">
          <cell r="A367" t="str">
            <v>-7</v>
          </cell>
          <cell r="B367" t="str">
            <v>외부포장면도장</v>
          </cell>
          <cell r="C367" t="str">
            <v>(공장)</v>
          </cell>
          <cell r="D367">
            <v>1953</v>
          </cell>
          <cell r="E367" t="str">
            <v>㎡</v>
          </cell>
        </row>
        <row r="368">
          <cell r="A368" t="str">
            <v>-8</v>
          </cell>
          <cell r="B368" t="str">
            <v>외부볼트및연결판도장</v>
          </cell>
          <cell r="C368" t="str">
            <v>(현장)</v>
          </cell>
          <cell r="D368">
            <v>859</v>
          </cell>
          <cell r="E368" t="str">
            <v>㎡</v>
          </cell>
        </row>
        <row r="369">
          <cell r="A369" t="str">
            <v>-9</v>
          </cell>
          <cell r="B369" t="str">
            <v>외부도장</v>
          </cell>
          <cell r="C369" t="str">
            <v>(현장)</v>
          </cell>
          <cell r="D369">
            <v>1393</v>
          </cell>
          <cell r="E369" t="str">
            <v>㎡</v>
          </cell>
        </row>
        <row r="370">
          <cell r="A370" t="str">
            <v>t</v>
          </cell>
          <cell r="B370" t="str">
            <v>기타공</v>
          </cell>
        </row>
        <row r="371">
          <cell r="A371" t="str">
            <v>-1</v>
          </cell>
          <cell r="B371" t="str">
            <v>낙교방지책</v>
          </cell>
          <cell r="C371" t="str">
            <v>(2SHOE,TYPE-1)</v>
          </cell>
          <cell r="D371">
            <v>8</v>
          </cell>
          <cell r="E371" t="str">
            <v>EA</v>
          </cell>
        </row>
        <row r="372">
          <cell r="A372" t="str">
            <v>-2</v>
          </cell>
          <cell r="B372" t="str">
            <v>낙교방지책</v>
          </cell>
          <cell r="C372" t="str">
            <v>(2SHOE,TYPE-2)</v>
          </cell>
          <cell r="D372">
            <v>8</v>
          </cell>
          <cell r="E372" t="str">
            <v>EA</v>
          </cell>
        </row>
        <row r="373">
          <cell r="A373" t="str">
            <v>-3</v>
          </cell>
          <cell r="B373" t="str">
            <v>낙교방지책</v>
          </cell>
          <cell r="C373" t="str">
            <v>(2SHOE, TYPE-3)</v>
          </cell>
          <cell r="D373">
            <v>4</v>
          </cell>
          <cell r="E373" t="str">
            <v>EA</v>
          </cell>
        </row>
        <row r="374">
          <cell r="A374" t="str">
            <v>-4</v>
          </cell>
          <cell r="B374" t="str">
            <v>안전점검통로</v>
          </cell>
          <cell r="C374" t="str">
            <v>교축방향(TYPE-1)</v>
          </cell>
          <cell r="D374">
            <v>38</v>
          </cell>
          <cell r="E374" t="str">
            <v>개소</v>
          </cell>
        </row>
        <row r="375">
          <cell r="A375" t="str">
            <v>-5</v>
          </cell>
          <cell r="B375" t="str">
            <v>안전점검통로</v>
          </cell>
          <cell r="C375" t="str">
            <v>교축방향(TYPE-2)</v>
          </cell>
          <cell r="D375">
            <v>42</v>
          </cell>
          <cell r="E375" t="str">
            <v>개소</v>
          </cell>
        </row>
        <row r="376">
          <cell r="A376" t="str">
            <v>-6</v>
          </cell>
          <cell r="B376" t="str">
            <v>안전점검통로(건계정)</v>
          </cell>
          <cell r="C376" t="str">
            <v>(교축직각방향TYPE-1)</v>
          </cell>
          <cell r="D376">
            <v>6</v>
          </cell>
          <cell r="E376" t="str">
            <v>개소</v>
          </cell>
        </row>
        <row r="377">
          <cell r="A377" t="str">
            <v>-7</v>
          </cell>
          <cell r="B377" t="str">
            <v>내부출입구설치</v>
          </cell>
          <cell r="C377" t="str">
            <v>LOWER FLANGE</v>
          </cell>
          <cell r="D377">
            <v>8</v>
          </cell>
          <cell r="E377" t="str">
            <v>EA</v>
          </cell>
        </row>
        <row r="378">
          <cell r="A378" t="str">
            <v>-8</v>
          </cell>
          <cell r="B378" t="str">
            <v>내부출입구설치</v>
          </cell>
          <cell r="C378" t="str">
            <v>DIAPHRAGM</v>
          </cell>
          <cell r="D378">
            <v>8</v>
          </cell>
          <cell r="E378" t="str">
            <v>EA</v>
          </cell>
        </row>
        <row r="379">
          <cell r="A379" t="str">
            <v>-9</v>
          </cell>
          <cell r="B379" t="str">
            <v>내부출입구설치</v>
          </cell>
          <cell r="C379" t="str">
            <v>WEB</v>
          </cell>
          <cell r="D379">
            <v>12</v>
          </cell>
          <cell r="E379" t="str">
            <v>EA</v>
          </cell>
        </row>
        <row r="380">
          <cell r="A380" t="str">
            <v>u</v>
          </cell>
          <cell r="B380" t="str">
            <v>가 도</v>
          </cell>
        </row>
        <row r="381">
          <cell r="A381" t="str">
            <v>-1</v>
          </cell>
          <cell r="B381" t="str">
            <v>가도공흙쌓기</v>
          </cell>
          <cell r="D381">
            <v>340</v>
          </cell>
          <cell r="E381" t="str">
            <v>M3</v>
          </cell>
        </row>
        <row r="382">
          <cell r="A382" t="str">
            <v>-2</v>
          </cell>
          <cell r="B382" t="str">
            <v>가마니쌓기및헐기</v>
          </cell>
          <cell r="D382">
            <v>130</v>
          </cell>
          <cell r="E382" t="str">
            <v>M2</v>
          </cell>
        </row>
        <row r="383">
          <cell r="A383" t="str">
            <v>v</v>
          </cell>
          <cell r="B383" t="str">
            <v>가시설</v>
          </cell>
          <cell r="C383" t="str">
            <v>(교각부)</v>
          </cell>
        </row>
        <row r="384">
          <cell r="A384" t="str">
            <v>-1</v>
          </cell>
          <cell r="B384" t="str">
            <v>강널말뚝자재비</v>
          </cell>
          <cell r="C384" t="str">
            <v>400*150*13</v>
          </cell>
          <cell r="D384">
            <v>168</v>
          </cell>
          <cell r="E384" t="str">
            <v>TON</v>
          </cell>
        </row>
        <row r="385">
          <cell r="A385" t="str">
            <v>-2</v>
          </cell>
          <cell r="B385" t="str">
            <v>강널말뚝항타</v>
          </cell>
          <cell r="C385" t="str">
            <v>건계정교,가시설용</v>
          </cell>
          <cell r="D385">
            <v>1522</v>
          </cell>
          <cell r="E385" t="str">
            <v>M</v>
          </cell>
        </row>
        <row r="386">
          <cell r="A386" t="str">
            <v>-3</v>
          </cell>
          <cell r="B386" t="str">
            <v>강널말뚝뽑기</v>
          </cell>
          <cell r="C386" t="str">
            <v>건계정교,가시설용</v>
          </cell>
          <cell r="D386">
            <v>1522</v>
          </cell>
          <cell r="E386" t="str">
            <v>M</v>
          </cell>
        </row>
        <row r="387">
          <cell r="A387" t="str">
            <v>-4</v>
          </cell>
          <cell r="B387" t="str">
            <v>띠장설치및철거</v>
          </cell>
          <cell r="C387" t="str">
            <v>건계정교300*300*10*1</v>
          </cell>
          <cell r="D387">
            <v>241</v>
          </cell>
          <cell r="E387" t="str">
            <v>M</v>
          </cell>
        </row>
        <row r="388">
          <cell r="A388" t="str">
            <v>-5</v>
          </cell>
          <cell r="B388" t="str">
            <v>L형강설치및철거</v>
          </cell>
          <cell r="C388" t="str">
            <v>100*100*10</v>
          </cell>
          <cell r="D388">
            <v>63</v>
          </cell>
          <cell r="E388" t="str">
            <v>M</v>
          </cell>
        </row>
        <row r="389">
          <cell r="A389" t="str">
            <v>-6</v>
          </cell>
          <cell r="B389" t="str">
            <v>보걸이 설치</v>
          </cell>
          <cell r="D389">
            <v>120</v>
          </cell>
          <cell r="E389" t="str">
            <v>EA</v>
          </cell>
        </row>
        <row r="390">
          <cell r="A390" t="str">
            <v>-7</v>
          </cell>
          <cell r="B390" t="str">
            <v>강판설치</v>
          </cell>
          <cell r="D390">
            <v>7.7290000000000001</v>
          </cell>
          <cell r="E390" t="str">
            <v>TON</v>
          </cell>
        </row>
        <row r="391">
          <cell r="A391" t="str">
            <v>w</v>
          </cell>
          <cell r="B391" t="str">
            <v>가교가설(건계정교)</v>
          </cell>
          <cell r="C391" t="str">
            <v>(L=70M,B=8.0M)</v>
          </cell>
          <cell r="D391">
            <v>1</v>
          </cell>
          <cell r="E391" t="str">
            <v>L.S</v>
          </cell>
        </row>
        <row r="392">
          <cell r="A392" t="str">
            <v>x</v>
          </cell>
          <cell r="B392" t="str">
            <v>검사시험</v>
          </cell>
        </row>
        <row r="393">
          <cell r="A393" t="str">
            <v>-1</v>
          </cell>
          <cell r="B393" t="str">
            <v>방사선투과검사</v>
          </cell>
          <cell r="C393" t="str">
            <v>R.T</v>
          </cell>
          <cell r="D393">
            <v>48</v>
          </cell>
          <cell r="E393" t="str">
            <v>SHEET</v>
          </cell>
        </row>
        <row r="394">
          <cell r="A394" t="str">
            <v>-2</v>
          </cell>
          <cell r="B394" t="str">
            <v>초음파탐상검사</v>
          </cell>
          <cell r="C394" t="str">
            <v>U.T</v>
          </cell>
          <cell r="D394">
            <v>34</v>
          </cell>
          <cell r="E394" t="str">
            <v>M</v>
          </cell>
        </row>
        <row r="395">
          <cell r="A395" t="str">
            <v>y</v>
          </cell>
          <cell r="B395" t="str">
            <v>자재비</v>
          </cell>
        </row>
        <row r="396">
          <cell r="A396" t="str">
            <v>-1</v>
          </cell>
          <cell r="B396" t="str">
            <v>레미콘</v>
          </cell>
          <cell r="C396" t="str">
            <v>25-240-12</v>
          </cell>
          <cell r="D396">
            <v>1217</v>
          </cell>
          <cell r="E396" t="str">
            <v>㎥</v>
          </cell>
        </row>
        <row r="397">
          <cell r="A397" t="str">
            <v>-2</v>
          </cell>
          <cell r="B397" t="str">
            <v>레미콘</v>
          </cell>
          <cell r="C397" t="str">
            <v>25-210-12</v>
          </cell>
          <cell r="D397">
            <v>4136</v>
          </cell>
          <cell r="E397" t="str">
            <v>㎥</v>
          </cell>
        </row>
        <row r="398">
          <cell r="A398" t="str">
            <v>-3</v>
          </cell>
          <cell r="B398" t="str">
            <v>레미콘</v>
          </cell>
          <cell r="C398" t="str">
            <v>40-160-8</v>
          </cell>
          <cell r="D398">
            <v>186</v>
          </cell>
          <cell r="E398" t="str">
            <v>㎥</v>
          </cell>
        </row>
        <row r="399">
          <cell r="A399" t="str">
            <v>-4</v>
          </cell>
          <cell r="B399" t="str">
            <v>시멘트</v>
          </cell>
          <cell r="C399" t="str">
            <v>40㎏/대</v>
          </cell>
          <cell r="D399">
            <v>186</v>
          </cell>
          <cell r="E399" t="str">
            <v>대</v>
          </cell>
        </row>
        <row r="400">
          <cell r="A400" t="str">
            <v>-7</v>
          </cell>
          <cell r="B400" t="str">
            <v>철근</v>
          </cell>
          <cell r="C400" t="str">
            <v>SD40 H16M/M 이상</v>
          </cell>
          <cell r="D400">
            <v>412.11599999999999</v>
          </cell>
          <cell r="E400" t="str">
            <v>TON</v>
          </cell>
        </row>
        <row r="401">
          <cell r="A401" t="str">
            <v>-8</v>
          </cell>
          <cell r="B401" t="str">
            <v>철근</v>
          </cell>
          <cell r="C401" t="str">
            <v>SD40 H13M/M</v>
          </cell>
          <cell r="D401">
            <v>6.9359999999999999</v>
          </cell>
          <cell r="E401" t="str">
            <v>TON</v>
          </cell>
        </row>
        <row r="402">
          <cell r="A402" t="str">
            <v>-5</v>
          </cell>
          <cell r="B402" t="str">
            <v>철근</v>
          </cell>
          <cell r="C402" t="str">
            <v>SD30 D16M/M 이상</v>
          </cell>
          <cell r="D402">
            <v>922.84900000000005</v>
          </cell>
          <cell r="E402" t="str">
            <v>TON</v>
          </cell>
        </row>
        <row r="403">
          <cell r="A403" t="str">
            <v>-6</v>
          </cell>
          <cell r="B403" t="str">
            <v>철근</v>
          </cell>
          <cell r="C403" t="str">
            <v>SD30 D13M/M</v>
          </cell>
          <cell r="D403">
            <v>12.384</v>
          </cell>
          <cell r="E403" t="str">
            <v>TON</v>
          </cell>
        </row>
        <row r="404">
          <cell r="A404" t="str">
            <v>3.03</v>
          </cell>
          <cell r="B404" t="str">
            <v>송정RAMP-A교(S.T BOX</v>
          </cell>
          <cell r="C404" t="str">
            <v>)L=392.0, B=14.0</v>
          </cell>
        </row>
        <row r="405">
          <cell r="A405" t="str">
            <v>a</v>
          </cell>
          <cell r="B405" t="str">
            <v>토  공</v>
          </cell>
        </row>
        <row r="406">
          <cell r="A406" t="str">
            <v>-1</v>
          </cell>
          <cell r="B406" t="str">
            <v>구조물터파기</v>
          </cell>
          <cell r="C406" t="str">
            <v>(육상발파암:0-4M)</v>
          </cell>
          <cell r="D406">
            <v>9286</v>
          </cell>
          <cell r="E406" t="str">
            <v>㎥</v>
          </cell>
        </row>
        <row r="407">
          <cell r="A407" t="str">
            <v>-2</v>
          </cell>
          <cell r="B407" t="str">
            <v>구조물터파기</v>
          </cell>
          <cell r="C407" t="str">
            <v>(육상발파암:4M이상)</v>
          </cell>
          <cell r="D407">
            <v>4455</v>
          </cell>
          <cell r="E407" t="str">
            <v>㎥</v>
          </cell>
        </row>
        <row r="408">
          <cell r="A408" t="str">
            <v>-3</v>
          </cell>
          <cell r="B408" t="str">
            <v>구조물터파기</v>
          </cell>
          <cell r="C408" t="str">
            <v>(육상리핑암:0-4M)</v>
          </cell>
          <cell r="D408">
            <v>1019</v>
          </cell>
          <cell r="E408" t="str">
            <v>㎥</v>
          </cell>
        </row>
        <row r="409">
          <cell r="A409" t="str">
            <v>-4</v>
          </cell>
          <cell r="B409" t="str">
            <v>구조물터파기</v>
          </cell>
          <cell r="C409" t="str">
            <v>(육상리핑암:4M이상)</v>
          </cell>
          <cell r="D409">
            <v>1051</v>
          </cell>
          <cell r="E409" t="str">
            <v>㎥</v>
          </cell>
        </row>
        <row r="410">
          <cell r="A410" t="str">
            <v>-5</v>
          </cell>
          <cell r="B410" t="str">
            <v>구조물터파기</v>
          </cell>
          <cell r="C410" t="str">
            <v>(수중토사:0-4M)</v>
          </cell>
          <cell r="D410">
            <v>4006</v>
          </cell>
          <cell r="E410" t="str">
            <v>㎥</v>
          </cell>
        </row>
        <row r="411">
          <cell r="A411" t="str">
            <v>-6</v>
          </cell>
          <cell r="B411" t="str">
            <v>구조물터파기</v>
          </cell>
          <cell r="C411" t="str">
            <v>(수중토사:4M이상)</v>
          </cell>
          <cell r="D411">
            <v>2229</v>
          </cell>
          <cell r="E411" t="str">
            <v>㎥</v>
          </cell>
        </row>
        <row r="412">
          <cell r="A412" t="str">
            <v>-7</v>
          </cell>
          <cell r="B412" t="str">
            <v>구조물터파기</v>
          </cell>
          <cell r="C412" t="str">
            <v>(수중리핑암:0-4M)</v>
          </cell>
          <cell r="D412">
            <v>403</v>
          </cell>
          <cell r="E412" t="str">
            <v>㎥</v>
          </cell>
        </row>
        <row r="413">
          <cell r="A413" t="str">
            <v>-8</v>
          </cell>
          <cell r="B413" t="str">
            <v>구조물터파기</v>
          </cell>
          <cell r="C413" t="str">
            <v>(수중리핑암:4M이상)</v>
          </cell>
          <cell r="D413">
            <v>251</v>
          </cell>
          <cell r="E413" t="str">
            <v>㎥</v>
          </cell>
        </row>
        <row r="414">
          <cell r="A414" t="str">
            <v>-9</v>
          </cell>
          <cell r="B414" t="str">
            <v>되메우기및다짐</v>
          </cell>
          <cell r="C414" t="str">
            <v>(인력30%+기계70%)</v>
          </cell>
          <cell r="D414">
            <v>18892</v>
          </cell>
          <cell r="E414" t="str">
            <v>㎥</v>
          </cell>
        </row>
        <row r="415">
          <cell r="A415" t="str">
            <v>-10</v>
          </cell>
          <cell r="B415" t="str">
            <v>뒷채움및다짐</v>
          </cell>
          <cell r="D415">
            <v>733</v>
          </cell>
          <cell r="E415" t="str">
            <v>㎥</v>
          </cell>
        </row>
        <row r="416">
          <cell r="A416" t="str">
            <v>-11</v>
          </cell>
          <cell r="B416" t="str">
            <v>물푸기</v>
          </cell>
          <cell r="C416" t="str">
            <v>(교량등대형구조물)</v>
          </cell>
          <cell r="D416">
            <v>176</v>
          </cell>
          <cell r="E416" t="str">
            <v>HR</v>
          </cell>
        </row>
        <row r="417">
          <cell r="A417" t="str">
            <v>b</v>
          </cell>
          <cell r="B417" t="str">
            <v>콘크리트타설</v>
          </cell>
        </row>
        <row r="418">
          <cell r="A418" t="str">
            <v>-1</v>
          </cell>
          <cell r="B418" t="str">
            <v>무근콘크리트타설</v>
          </cell>
          <cell r="C418" t="str">
            <v>(진동기제외)</v>
          </cell>
          <cell r="D418">
            <v>1094</v>
          </cell>
          <cell r="E418" t="str">
            <v>㎥</v>
          </cell>
        </row>
        <row r="419">
          <cell r="A419" t="str">
            <v>-2</v>
          </cell>
          <cell r="B419" t="str">
            <v>철근콘크리트타설</v>
          </cell>
          <cell r="C419" t="str">
            <v>펌프카타설(0-15M)</v>
          </cell>
          <cell r="D419">
            <v>6095</v>
          </cell>
          <cell r="E419" t="str">
            <v>㎥</v>
          </cell>
        </row>
        <row r="420">
          <cell r="A420" t="str">
            <v>-3</v>
          </cell>
          <cell r="B420" t="str">
            <v>철근콘크리트타설</v>
          </cell>
          <cell r="C420" t="str">
            <v>펌프카타설(15M이상)</v>
          </cell>
          <cell r="D420">
            <v>1955</v>
          </cell>
          <cell r="E420" t="str">
            <v>㎥</v>
          </cell>
        </row>
        <row r="421">
          <cell r="A421" t="str">
            <v>c</v>
          </cell>
          <cell r="B421" t="str">
            <v>스페이셔설치</v>
          </cell>
        </row>
        <row r="422">
          <cell r="A422" t="str">
            <v>-1</v>
          </cell>
          <cell r="B422" t="str">
            <v>스페이셔설치</v>
          </cell>
          <cell r="C422" t="str">
            <v>벽체용</v>
          </cell>
          <cell r="D422">
            <v>5230</v>
          </cell>
          <cell r="E422" t="str">
            <v>㎡</v>
          </cell>
        </row>
        <row r="423">
          <cell r="A423" t="str">
            <v>-2</v>
          </cell>
          <cell r="B423" t="str">
            <v>스페이서설치</v>
          </cell>
          <cell r="C423" t="str">
            <v>슬라브용</v>
          </cell>
          <cell r="D423">
            <v>6354</v>
          </cell>
          <cell r="E423" t="str">
            <v>㎡</v>
          </cell>
        </row>
        <row r="424">
          <cell r="A424" t="str">
            <v>d</v>
          </cell>
          <cell r="B424" t="str">
            <v>철근가공조립</v>
          </cell>
        </row>
        <row r="425">
          <cell r="A425" t="str">
            <v>-1</v>
          </cell>
          <cell r="B425" t="str">
            <v>철근가공조립</v>
          </cell>
          <cell r="C425" t="str">
            <v>(복잡)</v>
          </cell>
          <cell r="D425">
            <v>93.808000000000007</v>
          </cell>
          <cell r="E425" t="str">
            <v>TON</v>
          </cell>
        </row>
        <row r="426">
          <cell r="A426" t="str">
            <v>-2</v>
          </cell>
          <cell r="B426" t="str">
            <v>철근가공조립</v>
          </cell>
          <cell r="C426" t="str">
            <v>(보통)</v>
          </cell>
          <cell r="D426">
            <v>568.99199999999996</v>
          </cell>
          <cell r="E426" t="str">
            <v>TON</v>
          </cell>
        </row>
        <row r="427">
          <cell r="A427" t="str">
            <v>-3</v>
          </cell>
          <cell r="B427" t="str">
            <v>철근가공조립</v>
          </cell>
          <cell r="C427" t="str">
            <v>(매우복잡)</v>
          </cell>
          <cell r="D427">
            <v>1612.7929999999999</v>
          </cell>
          <cell r="E427" t="str">
            <v>TON</v>
          </cell>
        </row>
        <row r="428">
          <cell r="A428" t="str">
            <v>e</v>
          </cell>
          <cell r="B428" t="str">
            <v>합판거푸집</v>
          </cell>
        </row>
        <row r="429">
          <cell r="A429" t="str">
            <v>-1</v>
          </cell>
          <cell r="B429" t="str">
            <v>합판거푸집</v>
          </cell>
          <cell r="C429" t="str">
            <v>(3회)0-7M</v>
          </cell>
          <cell r="D429">
            <v>904</v>
          </cell>
          <cell r="E429" t="str">
            <v>㎡</v>
          </cell>
        </row>
        <row r="430">
          <cell r="A430" t="str">
            <v>-2</v>
          </cell>
          <cell r="B430" t="str">
            <v>합판거푸집</v>
          </cell>
          <cell r="C430" t="str">
            <v>(3회)7-10M</v>
          </cell>
          <cell r="D430">
            <v>214</v>
          </cell>
          <cell r="E430" t="str">
            <v>㎡</v>
          </cell>
        </row>
        <row r="431">
          <cell r="A431" t="str">
            <v>-3</v>
          </cell>
          <cell r="B431" t="str">
            <v>합판거푸집</v>
          </cell>
          <cell r="C431" t="str">
            <v>(3회)10-13M</v>
          </cell>
          <cell r="D431">
            <v>111</v>
          </cell>
          <cell r="E431" t="str">
            <v>㎡</v>
          </cell>
        </row>
        <row r="432">
          <cell r="A432" t="str">
            <v>-4</v>
          </cell>
          <cell r="B432" t="str">
            <v>합판거푸집</v>
          </cell>
          <cell r="C432" t="str">
            <v>(3회)13-16M</v>
          </cell>
          <cell r="D432">
            <v>246</v>
          </cell>
          <cell r="E432" t="str">
            <v>㎡</v>
          </cell>
        </row>
        <row r="433">
          <cell r="A433" t="str">
            <v>-5</v>
          </cell>
          <cell r="B433" t="str">
            <v>합판거푸집</v>
          </cell>
          <cell r="C433" t="str">
            <v>(3회)16-19M</v>
          </cell>
          <cell r="D433">
            <v>108</v>
          </cell>
          <cell r="E433" t="str">
            <v>㎡</v>
          </cell>
        </row>
        <row r="434">
          <cell r="A434" t="str">
            <v>-6</v>
          </cell>
          <cell r="B434" t="str">
            <v>합판거푸집</v>
          </cell>
          <cell r="C434" t="str">
            <v>(3회)19-22M</v>
          </cell>
          <cell r="D434">
            <v>103</v>
          </cell>
          <cell r="E434" t="str">
            <v>㎡</v>
          </cell>
        </row>
        <row r="435">
          <cell r="A435" t="str">
            <v>-7</v>
          </cell>
          <cell r="B435" t="str">
            <v>합판거푸집</v>
          </cell>
          <cell r="C435" t="str">
            <v>(3회)22-25M</v>
          </cell>
          <cell r="D435">
            <v>340</v>
          </cell>
          <cell r="E435" t="str">
            <v>㎡</v>
          </cell>
        </row>
        <row r="436">
          <cell r="A436" t="str">
            <v>-8</v>
          </cell>
          <cell r="B436" t="str">
            <v>합판거푸집</v>
          </cell>
          <cell r="C436" t="str">
            <v>(3회)25-28M</v>
          </cell>
          <cell r="D436">
            <v>72</v>
          </cell>
          <cell r="E436" t="str">
            <v>㎡</v>
          </cell>
        </row>
        <row r="437">
          <cell r="A437" t="str">
            <v>-9</v>
          </cell>
          <cell r="B437" t="str">
            <v>합판거푸집</v>
          </cell>
          <cell r="C437" t="str">
            <v>(3회)28-31M</v>
          </cell>
          <cell r="D437">
            <v>68</v>
          </cell>
          <cell r="E437" t="str">
            <v>㎡</v>
          </cell>
        </row>
        <row r="438">
          <cell r="A438" t="str">
            <v>-10</v>
          </cell>
          <cell r="B438" t="str">
            <v>합판거푸집</v>
          </cell>
          <cell r="C438" t="str">
            <v>(3회)31-34M</v>
          </cell>
          <cell r="D438">
            <v>282</v>
          </cell>
          <cell r="E438" t="str">
            <v>㎡</v>
          </cell>
        </row>
        <row r="439">
          <cell r="A439" t="str">
            <v>-11</v>
          </cell>
          <cell r="B439" t="str">
            <v>합판거푸집</v>
          </cell>
          <cell r="C439" t="str">
            <v>(3회)34-37M</v>
          </cell>
          <cell r="D439">
            <v>266</v>
          </cell>
          <cell r="E439" t="str">
            <v>M2</v>
          </cell>
        </row>
        <row r="440">
          <cell r="A440" t="str">
            <v>-12</v>
          </cell>
          <cell r="B440" t="str">
            <v>원형거푸집</v>
          </cell>
          <cell r="C440" t="str">
            <v>(3회 0-7M)</v>
          </cell>
          <cell r="D440">
            <v>461</v>
          </cell>
          <cell r="E440" t="str">
            <v>㎡</v>
          </cell>
        </row>
        <row r="441">
          <cell r="A441" t="str">
            <v>-13</v>
          </cell>
          <cell r="B441" t="str">
            <v>원형거푸집</v>
          </cell>
          <cell r="C441" t="str">
            <v>(3회 7-10M)</v>
          </cell>
          <cell r="D441">
            <v>197</v>
          </cell>
          <cell r="E441" t="str">
            <v>㎡</v>
          </cell>
        </row>
        <row r="442">
          <cell r="A442" t="str">
            <v>-14</v>
          </cell>
          <cell r="B442" t="str">
            <v>원형거푸집</v>
          </cell>
          <cell r="C442" t="str">
            <v>(3회 10-13M)</v>
          </cell>
          <cell r="D442">
            <v>174</v>
          </cell>
          <cell r="E442" t="str">
            <v>㎡</v>
          </cell>
        </row>
        <row r="443">
          <cell r="A443" t="str">
            <v>-15</v>
          </cell>
          <cell r="B443" t="str">
            <v>원형거푸집</v>
          </cell>
          <cell r="C443" t="str">
            <v>(3회 13-16M)</v>
          </cell>
          <cell r="D443">
            <v>183</v>
          </cell>
          <cell r="E443" t="str">
            <v>㎡</v>
          </cell>
        </row>
        <row r="444">
          <cell r="A444" t="str">
            <v>-16</v>
          </cell>
          <cell r="B444" t="str">
            <v>원형거푸집</v>
          </cell>
          <cell r="C444" t="str">
            <v>(3회 16-19M)</v>
          </cell>
          <cell r="D444">
            <v>169</v>
          </cell>
          <cell r="E444" t="str">
            <v>㎡</v>
          </cell>
        </row>
        <row r="445">
          <cell r="A445" t="str">
            <v>-17</v>
          </cell>
          <cell r="B445" t="str">
            <v>원형거푸집</v>
          </cell>
          <cell r="C445" t="str">
            <v>(3회 19-22M)</v>
          </cell>
          <cell r="D445">
            <v>162</v>
          </cell>
          <cell r="E445" t="str">
            <v>㎡</v>
          </cell>
        </row>
        <row r="446">
          <cell r="A446" t="str">
            <v>-18</v>
          </cell>
          <cell r="B446" t="str">
            <v>원형거푸집</v>
          </cell>
          <cell r="C446" t="str">
            <v>(3회 22-25M)</v>
          </cell>
          <cell r="D446">
            <v>138</v>
          </cell>
          <cell r="E446" t="str">
            <v>㎡</v>
          </cell>
        </row>
        <row r="447">
          <cell r="A447" t="str">
            <v>-19</v>
          </cell>
          <cell r="B447" t="str">
            <v>원형거푸집</v>
          </cell>
          <cell r="C447" t="str">
            <v>(3회 25-28M)</v>
          </cell>
          <cell r="D447">
            <v>113</v>
          </cell>
          <cell r="E447" t="str">
            <v>㎡</v>
          </cell>
        </row>
        <row r="448">
          <cell r="A448" t="str">
            <v>-20</v>
          </cell>
          <cell r="B448" t="str">
            <v>원형거푸집</v>
          </cell>
          <cell r="C448" t="str">
            <v>(3회 28-31M)</v>
          </cell>
          <cell r="D448">
            <v>106</v>
          </cell>
          <cell r="E448" t="str">
            <v>㎡</v>
          </cell>
        </row>
        <row r="449">
          <cell r="A449" t="str">
            <v>-21</v>
          </cell>
          <cell r="B449" t="str">
            <v>원형거푸집</v>
          </cell>
          <cell r="C449" t="str">
            <v>(3회)31-34M</v>
          </cell>
          <cell r="D449">
            <v>48</v>
          </cell>
          <cell r="E449" t="str">
            <v>M2</v>
          </cell>
        </row>
        <row r="450">
          <cell r="A450" t="str">
            <v>-22</v>
          </cell>
          <cell r="B450" t="str">
            <v>원형거푸집</v>
          </cell>
          <cell r="C450" t="str">
            <v>(3회)34-37M</v>
          </cell>
          <cell r="D450">
            <v>12</v>
          </cell>
          <cell r="E450" t="str">
            <v>M2</v>
          </cell>
        </row>
        <row r="451">
          <cell r="A451" t="str">
            <v>-23</v>
          </cell>
          <cell r="B451" t="str">
            <v>합판거푸집</v>
          </cell>
          <cell r="C451" t="str">
            <v>(소형6회)</v>
          </cell>
          <cell r="D451">
            <v>396</v>
          </cell>
          <cell r="E451" t="str">
            <v>㎡</v>
          </cell>
        </row>
        <row r="452">
          <cell r="A452" t="str">
            <v>-24</v>
          </cell>
          <cell r="B452" t="str">
            <v>합판거푸집</v>
          </cell>
          <cell r="C452" t="str">
            <v>(소형4회)</v>
          </cell>
          <cell r="D452">
            <v>840</v>
          </cell>
          <cell r="E452" t="str">
            <v>㎡</v>
          </cell>
        </row>
        <row r="453">
          <cell r="A453" t="str">
            <v>-25</v>
          </cell>
          <cell r="B453" t="str">
            <v>합판거푸집</v>
          </cell>
          <cell r="C453" t="str">
            <v>(소형3회)</v>
          </cell>
          <cell r="D453">
            <v>5381</v>
          </cell>
          <cell r="E453" t="str">
            <v>㎡</v>
          </cell>
        </row>
        <row r="454">
          <cell r="A454" t="str">
            <v>f</v>
          </cell>
          <cell r="B454" t="str">
            <v>비계</v>
          </cell>
          <cell r="C454" t="str">
            <v>(강관)0-30M</v>
          </cell>
          <cell r="D454">
            <v>7947</v>
          </cell>
          <cell r="E454" t="str">
            <v>㎡</v>
          </cell>
        </row>
        <row r="455">
          <cell r="A455" t="str">
            <v>g</v>
          </cell>
          <cell r="B455" t="str">
            <v>동바리공</v>
          </cell>
        </row>
        <row r="456">
          <cell r="A456" t="str">
            <v>-1</v>
          </cell>
          <cell r="B456" t="str">
            <v>강관동바리</v>
          </cell>
          <cell r="C456" t="str">
            <v>(교량용)</v>
          </cell>
          <cell r="D456">
            <v>3882</v>
          </cell>
          <cell r="E456" t="str">
            <v>공㎥</v>
          </cell>
        </row>
        <row r="457">
          <cell r="A457" t="str">
            <v>-2</v>
          </cell>
          <cell r="B457" t="str">
            <v>동바리공</v>
          </cell>
          <cell r="C457" t="str">
            <v>(목재4회)</v>
          </cell>
          <cell r="D457">
            <v>6814</v>
          </cell>
          <cell r="E457" t="str">
            <v>공㎥</v>
          </cell>
        </row>
        <row r="458">
          <cell r="A458" t="str">
            <v>h</v>
          </cell>
          <cell r="B458" t="str">
            <v>무수축콘크리트</v>
          </cell>
        </row>
        <row r="459">
          <cell r="A459" t="str">
            <v>-1</v>
          </cell>
          <cell r="B459" t="str">
            <v>무수축몰탈</v>
          </cell>
          <cell r="C459" t="str">
            <v>1:1</v>
          </cell>
          <cell r="D459">
            <v>1.837</v>
          </cell>
          <cell r="E459" t="str">
            <v>㎥</v>
          </cell>
        </row>
        <row r="460">
          <cell r="A460" t="str">
            <v>-2</v>
          </cell>
          <cell r="B460" t="str">
            <v>무수축콘크리트</v>
          </cell>
          <cell r="D460">
            <v>10.946</v>
          </cell>
          <cell r="E460" t="str">
            <v>㎥</v>
          </cell>
        </row>
        <row r="461">
          <cell r="A461" t="str">
            <v>i</v>
          </cell>
          <cell r="B461" t="str">
            <v>교좌장치공</v>
          </cell>
        </row>
        <row r="462">
          <cell r="A462" t="str">
            <v>-1</v>
          </cell>
          <cell r="B462" t="str">
            <v>POT BEARING</v>
          </cell>
          <cell r="C462" t="str">
            <v>일방향(300TON)</v>
          </cell>
          <cell r="D462">
            <v>4</v>
          </cell>
          <cell r="E462" t="str">
            <v>EA</v>
          </cell>
        </row>
        <row r="463">
          <cell r="A463" t="str">
            <v>-2</v>
          </cell>
          <cell r="B463" t="str">
            <v>POT BEARING</v>
          </cell>
          <cell r="C463" t="str">
            <v>양방향(300TON)</v>
          </cell>
          <cell r="D463">
            <v>8</v>
          </cell>
          <cell r="E463" t="str">
            <v>EA</v>
          </cell>
        </row>
        <row r="464">
          <cell r="A464" t="str">
            <v>-3</v>
          </cell>
          <cell r="B464" t="str">
            <v>POT BEARING</v>
          </cell>
          <cell r="C464" t="str">
            <v>고정단700TON</v>
          </cell>
          <cell r="D464">
            <v>2</v>
          </cell>
          <cell r="E464" t="str">
            <v>EA</v>
          </cell>
        </row>
        <row r="465">
          <cell r="A465" t="str">
            <v>-4</v>
          </cell>
          <cell r="B465" t="str">
            <v>POT BEARING</v>
          </cell>
          <cell r="C465" t="str">
            <v>일방향700TON</v>
          </cell>
          <cell r="D465">
            <v>8</v>
          </cell>
          <cell r="E465" t="str">
            <v>EA</v>
          </cell>
        </row>
        <row r="466">
          <cell r="A466" t="str">
            <v>-5</v>
          </cell>
          <cell r="B466" t="str">
            <v>POT BEARING</v>
          </cell>
          <cell r="C466" t="str">
            <v>양방향700TON</v>
          </cell>
          <cell r="D466">
            <v>8</v>
          </cell>
          <cell r="E466" t="str">
            <v>EA</v>
          </cell>
        </row>
        <row r="467">
          <cell r="A467" t="str">
            <v>j</v>
          </cell>
          <cell r="B467" t="str">
            <v>신축이음장치</v>
          </cell>
        </row>
        <row r="468">
          <cell r="A468" t="str">
            <v>-1</v>
          </cell>
          <cell r="B468" t="str">
            <v>신축이음장치</v>
          </cell>
          <cell r="C468" t="str">
            <v>(NO100)</v>
          </cell>
          <cell r="D468">
            <v>25</v>
          </cell>
          <cell r="E468" t="str">
            <v>M</v>
          </cell>
        </row>
        <row r="469">
          <cell r="A469" t="str">
            <v>-2</v>
          </cell>
          <cell r="B469" t="str">
            <v>신축이음장치</v>
          </cell>
          <cell r="C469" t="str">
            <v>(NO 160)</v>
          </cell>
          <cell r="D469">
            <v>12</v>
          </cell>
          <cell r="E469" t="str">
            <v>M</v>
          </cell>
        </row>
        <row r="470">
          <cell r="A470" t="str">
            <v>k</v>
          </cell>
          <cell r="B470" t="str">
            <v>표면처리공</v>
          </cell>
        </row>
        <row r="471">
          <cell r="A471" t="str">
            <v>-1</v>
          </cell>
          <cell r="B471" t="str">
            <v>면고르기</v>
          </cell>
          <cell r="C471" t="str">
            <v>DECK FINISHER</v>
          </cell>
          <cell r="D471">
            <v>4871</v>
          </cell>
          <cell r="E471" t="str">
            <v>㎡</v>
          </cell>
        </row>
        <row r="472">
          <cell r="A472" t="str">
            <v>-2</v>
          </cell>
          <cell r="B472" t="str">
            <v>슬라브양생</v>
          </cell>
          <cell r="C472" t="str">
            <v>(도막양생)</v>
          </cell>
          <cell r="D472">
            <v>4871</v>
          </cell>
          <cell r="E472" t="str">
            <v>㎡</v>
          </cell>
        </row>
        <row r="473">
          <cell r="A473" t="str">
            <v>-3</v>
          </cell>
          <cell r="B473" t="str">
            <v>교면방수</v>
          </cell>
          <cell r="C473" t="str">
            <v>(도막방수)</v>
          </cell>
          <cell r="D473">
            <v>4871</v>
          </cell>
          <cell r="E473" t="str">
            <v>㎡</v>
          </cell>
        </row>
        <row r="474">
          <cell r="A474" t="str">
            <v>l</v>
          </cell>
          <cell r="B474" t="str">
            <v>교량명판공</v>
          </cell>
        </row>
        <row r="475">
          <cell r="A475" t="str">
            <v>-1</v>
          </cell>
          <cell r="B475" t="str">
            <v>교명주</v>
          </cell>
          <cell r="C475" t="str">
            <v>(1000*500*350)</v>
          </cell>
          <cell r="D475">
            <v>4</v>
          </cell>
          <cell r="E475" t="str">
            <v>EA</v>
          </cell>
        </row>
        <row r="476">
          <cell r="A476" t="str">
            <v>-2</v>
          </cell>
          <cell r="B476" t="str">
            <v>교명판</v>
          </cell>
          <cell r="C476" t="str">
            <v>(200X450X10)</v>
          </cell>
          <cell r="D476">
            <v>2</v>
          </cell>
          <cell r="E476" t="str">
            <v>EA</v>
          </cell>
        </row>
        <row r="477">
          <cell r="A477" t="str">
            <v>-3</v>
          </cell>
          <cell r="B477" t="str">
            <v>설명판</v>
          </cell>
          <cell r="C477" t="str">
            <v>(500X300X10)</v>
          </cell>
          <cell r="D477">
            <v>2</v>
          </cell>
          <cell r="E477" t="str">
            <v>EA</v>
          </cell>
        </row>
        <row r="478">
          <cell r="A478" t="str">
            <v>-4</v>
          </cell>
          <cell r="B478" t="str">
            <v>TBM 설치</v>
          </cell>
          <cell r="D478">
            <v>2</v>
          </cell>
          <cell r="E478" t="str">
            <v>EA</v>
          </cell>
        </row>
        <row r="479">
          <cell r="A479" t="str">
            <v>m</v>
          </cell>
          <cell r="B479" t="str">
            <v>다월바설치</v>
          </cell>
          <cell r="D479">
            <v>64</v>
          </cell>
          <cell r="E479" t="str">
            <v>EA</v>
          </cell>
        </row>
        <row r="480">
          <cell r="A480" t="str">
            <v>n</v>
          </cell>
          <cell r="B480" t="str">
            <v>스치로폴</v>
          </cell>
          <cell r="C480" t="str">
            <v>(신축이음T=20M/M)</v>
          </cell>
          <cell r="D480">
            <v>9</v>
          </cell>
          <cell r="E480" t="str">
            <v>㎡</v>
          </cell>
        </row>
        <row r="481">
          <cell r="A481" t="str">
            <v>o</v>
          </cell>
          <cell r="B481" t="str">
            <v>교량용집수구</v>
          </cell>
        </row>
        <row r="482">
          <cell r="A482" t="str">
            <v>-1</v>
          </cell>
          <cell r="B482" t="str">
            <v>집수구</v>
          </cell>
          <cell r="C482" t="str">
            <v>(주철)</v>
          </cell>
          <cell r="D482">
            <v>19</v>
          </cell>
          <cell r="E482" t="str">
            <v>EA</v>
          </cell>
        </row>
        <row r="483">
          <cell r="A483" t="str">
            <v>-2</v>
          </cell>
          <cell r="B483" t="str">
            <v>연결배수구</v>
          </cell>
          <cell r="C483" t="str">
            <v>(스텐레스)</v>
          </cell>
          <cell r="D483">
            <v>7</v>
          </cell>
          <cell r="E483" t="str">
            <v>EA</v>
          </cell>
        </row>
        <row r="484">
          <cell r="A484" t="str">
            <v>-3</v>
          </cell>
          <cell r="B484" t="str">
            <v>직관</v>
          </cell>
          <cell r="C484" t="str">
            <v>(Φ150)</v>
          </cell>
          <cell r="D484">
            <v>147</v>
          </cell>
          <cell r="E484" t="str">
            <v>M</v>
          </cell>
        </row>
        <row r="485">
          <cell r="A485" t="str">
            <v>-4</v>
          </cell>
          <cell r="B485" t="str">
            <v>육교용곡관</v>
          </cell>
          <cell r="D485">
            <v>16</v>
          </cell>
          <cell r="E485" t="str">
            <v>EA</v>
          </cell>
        </row>
        <row r="486">
          <cell r="A486" t="str">
            <v>-5</v>
          </cell>
          <cell r="B486" t="str">
            <v>연결부</v>
          </cell>
          <cell r="C486" t="str">
            <v>(스텐레스)</v>
          </cell>
          <cell r="D486">
            <v>147</v>
          </cell>
          <cell r="E486" t="str">
            <v>EA</v>
          </cell>
        </row>
        <row r="487">
          <cell r="A487" t="str">
            <v>-6</v>
          </cell>
          <cell r="B487" t="str">
            <v>하천용배수구</v>
          </cell>
          <cell r="C487" t="str">
            <v>(아연도강관D=150MM)</v>
          </cell>
          <cell r="D487">
            <v>37</v>
          </cell>
          <cell r="E487" t="str">
            <v>M</v>
          </cell>
        </row>
        <row r="488">
          <cell r="A488" t="str">
            <v>p</v>
          </cell>
          <cell r="B488" t="str">
            <v>전선관</v>
          </cell>
          <cell r="C488" t="str">
            <v>P.V.C PIPE</v>
          </cell>
          <cell r="D488">
            <v>783</v>
          </cell>
          <cell r="E488" t="str">
            <v>M</v>
          </cell>
        </row>
        <row r="489">
          <cell r="A489" t="str">
            <v>q</v>
          </cell>
          <cell r="B489" t="str">
            <v>환풍기받침대설치</v>
          </cell>
          <cell r="D489">
            <v>24</v>
          </cell>
          <cell r="E489" t="str">
            <v>EA</v>
          </cell>
        </row>
        <row r="490">
          <cell r="A490" t="str">
            <v>r</v>
          </cell>
          <cell r="B490" t="str">
            <v>강교가설</v>
          </cell>
        </row>
        <row r="491">
          <cell r="A491" t="str">
            <v>-1</v>
          </cell>
          <cell r="B491" t="str">
            <v>강교제작</v>
          </cell>
          <cell r="C491" t="str">
            <v>(송정A)</v>
          </cell>
          <cell r="D491">
            <v>2179.9679999999998</v>
          </cell>
          <cell r="E491" t="str">
            <v>TON</v>
          </cell>
        </row>
        <row r="492">
          <cell r="A492" t="str">
            <v>-2</v>
          </cell>
          <cell r="B492" t="str">
            <v>강교운반및가설</v>
          </cell>
          <cell r="C492" t="str">
            <v>(송정A)</v>
          </cell>
          <cell r="D492">
            <v>2179.9679999999998</v>
          </cell>
          <cell r="E492" t="str">
            <v>TON</v>
          </cell>
        </row>
        <row r="493">
          <cell r="A493" t="str">
            <v>-3</v>
          </cell>
          <cell r="B493" t="str">
            <v>내부도장</v>
          </cell>
          <cell r="C493" t="str">
            <v>(공장)</v>
          </cell>
          <cell r="D493">
            <v>21900</v>
          </cell>
          <cell r="E493" t="str">
            <v>㎡</v>
          </cell>
        </row>
        <row r="494">
          <cell r="A494" t="str">
            <v>-4</v>
          </cell>
          <cell r="B494" t="str">
            <v>연결판도장</v>
          </cell>
          <cell r="C494" t="str">
            <v>(공장)</v>
          </cell>
          <cell r="D494">
            <v>2272</v>
          </cell>
          <cell r="E494" t="str">
            <v>㎡</v>
          </cell>
        </row>
        <row r="495">
          <cell r="A495" t="str">
            <v>-5</v>
          </cell>
          <cell r="B495" t="str">
            <v>내부볼트및연결판도장</v>
          </cell>
          <cell r="C495" t="str">
            <v>(현장)</v>
          </cell>
          <cell r="D495">
            <v>522</v>
          </cell>
          <cell r="E495" t="str">
            <v>㎡</v>
          </cell>
        </row>
        <row r="496">
          <cell r="A496" t="str">
            <v>-6</v>
          </cell>
          <cell r="B496" t="str">
            <v>외부도장</v>
          </cell>
          <cell r="C496" t="str">
            <v>(공장)</v>
          </cell>
          <cell r="D496">
            <v>14744</v>
          </cell>
          <cell r="E496" t="str">
            <v>㎡</v>
          </cell>
        </row>
        <row r="497">
          <cell r="A497" t="str">
            <v>-7</v>
          </cell>
          <cell r="B497" t="str">
            <v>외부포장면도장</v>
          </cell>
          <cell r="C497" t="str">
            <v>(공장)</v>
          </cell>
          <cell r="D497">
            <v>2818</v>
          </cell>
          <cell r="E497" t="str">
            <v>㎡</v>
          </cell>
        </row>
        <row r="498">
          <cell r="A498" t="str">
            <v>-8</v>
          </cell>
          <cell r="B498" t="str">
            <v>외부볼트및연결판도장</v>
          </cell>
          <cell r="C498" t="str">
            <v>(현장)</v>
          </cell>
          <cell r="D498">
            <v>1749</v>
          </cell>
          <cell r="E498" t="str">
            <v>㎡</v>
          </cell>
        </row>
        <row r="499">
          <cell r="A499" t="str">
            <v>-9</v>
          </cell>
          <cell r="B499" t="str">
            <v>외부도장</v>
          </cell>
          <cell r="C499" t="str">
            <v>(현장)</v>
          </cell>
          <cell r="D499">
            <v>2211</v>
          </cell>
          <cell r="E499" t="str">
            <v>㎡</v>
          </cell>
        </row>
        <row r="500">
          <cell r="A500" t="str">
            <v>s</v>
          </cell>
          <cell r="B500" t="str">
            <v>기타공</v>
          </cell>
        </row>
        <row r="501">
          <cell r="A501" t="str">
            <v>-1</v>
          </cell>
          <cell r="B501" t="str">
            <v>낙교방지책</v>
          </cell>
          <cell r="C501" t="str">
            <v>(1SHOE,TYPE-1)</v>
          </cell>
          <cell r="D501">
            <v>12</v>
          </cell>
          <cell r="E501" t="str">
            <v>EA</v>
          </cell>
        </row>
        <row r="502">
          <cell r="A502" t="str">
            <v>-2</v>
          </cell>
          <cell r="B502" t="str">
            <v>낙교방지책</v>
          </cell>
          <cell r="C502" t="str">
            <v>(1SHOE,TYPE-2)</v>
          </cell>
          <cell r="D502">
            <v>12</v>
          </cell>
          <cell r="E502" t="str">
            <v>EA</v>
          </cell>
        </row>
        <row r="503">
          <cell r="A503" t="str">
            <v>-3</v>
          </cell>
          <cell r="B503" t="str">
            <v>낙교방지책</v>
          </cell>
          <cell r="C503" t="str">
            <v>(1SHOE, TYPE-3)</v>
          </cell>
          <cell r="D503">
            <v>6</v>
          </cell>
          <cell r="E503" t="str">
            <v>EA</v>
          </cell>
        </row>
        <row r="504">
          <cell r="A504" t="str">
            <v>-4</v>
          </cell>
          <cell r="B504" t="str">
            <v>안전점검통로</v>
          </cell>
          <cell r="C504" t="str">
            <v>교축방향(TYPE-2)</v>
          </cell>
          <cell r="D504">
            <v>162</v>
          </cell>
          <cell r="E504" t="str">
            <v>개소</v>
          </cell>
        </row>
        <row r="505">
          <cell r="A505" t="str">
            <v>-5</v>
          </cell>
          <cell r="B505" t="str">
            <v>안전점검통로(송정A)</v>
          </cell>
          <cell r="C505" t="str">
            <v>(교축직각방향TYPE-1)</v>
          </cell>
          <cell r="D505">
            <v>6</v>
          </cell>
          <cell r="E505" t="str">
            <v>개소</v>
          </cell>
        </row>
        <row r="506">
          <cell r="A506" t="str">
            <v>-6</v>
          </cell>
          <cell r="B506" t="str">
            <v>안전점검통로(송정A)</v>
          </cell>
          <cell r="C506" t="str">
            <v>교축직각방향(TYPE-2)</v>
          </cell>
          <cell r="D506">
            <v>1</v>
          </cell>
          <cell r="E506" t="str">
            <v>개소</v>
          </cell>
        </row>
        <row r="507">
          <cell r="A507" t="str">
            <v>-7</v>
          </cell>
          <cell r="B507" t="str">
            <v>내부출입구설치</v>
          </cell>
          <cell r="C507" t="str">
            <v>LOWER FLANGE</v>
          </cell>
          <cell r="D507">
            <v>12</v>
          </cell>
          <cell r="E507" t="str">
            <v>EA</v>
          </cell>
        </row>
        <row r="508">
          <cell r="A508" t="str">
            <v>-8</v>
          </cell>
          <cell r="B508" t="str">
            <v>내부출입구설치</v>
          </cell>
          <cell r="C508" t="str">
            <v>DIAPHRAGM</v>
          </cell>
          <cell r="D508">
            <v>12</v>
          </cell>
          <cell r="E508" t="str">
            <v>EA</v>
          </cell>
        </row>
        <row r="509">
          <cell r="A509" t="str">
            <v>-9</v>
          </cell>
          <cell r="B509" t="str">
            <v>내부출입구설치</v>
          </cell>
          <cell r="C509" t="str">
            <v>WEB</v>
          </cell>
          <cell r="D509">
            <v>18</v>
          </cell>
          <cell r="E509" t="str">
            <v>EA</v>
          </cell>
        </row>
        <row r="510">
          <cell r="A510" t="str">
            <v>t</v>
          </cell>
          <cell r="B510" t="str">
            <v>가 도</v>
          </cell>
        </row>
        <row r="511">
          <cell r="A511" t="str">
            <v>-1</v>
          </cell>
          <cell r="B511" t="str">
            <v>가도공흙쌓기</v>
          </cell>
          <cell r="D511">
            <v>267</v>
          </cell>
          <cell r="E511" t="str">
            <v>M3</v>
          </cell>
        </row>
        <row r="512">
          <cell r="A512" t="str">
            <v>-2</v>
          </cell>
          <cell r="B512" t="str">
            <v>가마니쌓기및헐기</v>
          </cell>
          <cell r="D512">
            <v>79</v>
          </cell>
          <cell r="E512" t="str">
            <v>M2</v>
          </cell>
        </row>
        <row r="513">
          <cell r="A513" t="str">
            <v>u</v>
          </cell>
          <cell r="B513" t="str">
            <v>가시설</v>
          </cell>
          <cell r="C513" t="str">
            <v>(교각부)</v>
          </cell>
        </row>
        <row r="514">
          <cell r="A514" t="str">
            <v>-1</v>
          </cell>
          <cell r="B514" t="str">
            <v>강널말뚝자재비</v>
          </cell>
          <cell r="C514" t="str">
            <v>400*150*13</v>
          </cell>
          <cell r="D514">
            <v>188</v>
          </cell>
          <cell r="E514" t="str">
            <v>TON</v>
          </cell>
        </row>
        <row r="515">
          <cell r="A515" t="str">
            <v>-2</v>
          </cell>
          <cell r="B515" t="str">
            <v>강널말뚝 항타(송정IC</v>
          </cell>
          <cell r="C515" t="str">
            <v>RAMP-A교,가시설용)</v>
          </cell>
          <cell r="D515">
            <v>1760</v>
          </cell>
          <cell r="E515" t="str">
            <v>M</v>
          </cell>
        </row>
        <row r="516">
          <cell r="A516" t="str">
            <v>-3</v>
          </cell>
          <cell r="B516" t="str">
            <v>강널말뚝 뽑기(송정IC</v>
          </cell>
          <cell r="C516" t="str">
            <v>RAMP-A교)가시설용</v>
          </cell>
          <cell r="D516">
            <v>1612</v>
          </cell>
          <cell r="E516" t="str">
            <v>M</v>
          </cell>
        </row>
        <row r="517">
          <cell r="A517" t="str">
            <v>-4</v>
          </cell>
          <cell r="B517" t="str">
            <v>띠장설치및철거(송정)</v>
          </cell>
          <cell r="C517" t="str">
            <v>RAMP-A,E교</v>
          </cell>
          <cell r="D517">
            <v>287</v>
          </cell>
          <cell r="E517" t="str">
            <v>M</v>
          </cell>
        </row>
        <row r="518">
          <cell r="A518" t="str">
            <v>-5</v>
          </cell>
          <cell r="B518" t="str">
            <v>L형강설치및철거</v>
          </cell>
          <cell r="C518" t="str">
            <v>100*100*10</v>
          </cell>
          <cell r="D518">
            <v>64</v>
          </cell>
          <cell r="E518" t="str">
            <v>M</v>
          </cell>
        </row>
        <row r="519">
          <cell r="A519" t="str">
            <v>-6</v>
          </cell>
          <cell r="B519" t="str">
            <v>보걸이 설치</v>
          </cell>
          <cell r="D519">
            <v>144</v>
          </cell>
          <cell r="E519" t="str">
            <v>EA</v>
          </cell>
        </row>
        <row r="520">
          <cell r="A520" t="str">
            <v>-7</v>
          </cell>
          <cell r="B520" t="str">
            <v>강판설치</v>
          </cell>
          <cell r="D520">
            <v>1</v>
          </cell>
          <cell r="E520" t="str">
            <v>TON</v>
          </cell>
        </row>
        <row r="521">
          <cell r="A521" t="str">
            <v>w</v>
          </cell>
          <cell r="B521" t="str">
            <v>가교가설(송정R-A교)</v>
          </cell>
          <cell r="C521" t="str">
            <v>(L=80.0M,B=8.0M)</v>
          </cell>
          <cell r="D521">
            <v>1</v>
          </cell>
          <cell r="E521" t="str">
            <v>L.S</v>
          </cell>
        </row>
        <row r="522">
          <cell r="A522" t="str">
            <v>x</v>
          </cell>
          <cell r="B522" t="str">
            <v>검사시험</v>
          </cell>
        </row>
        <row r="523">
          <cell r="A523" t="str">
            <v>-1</v>
          </cell>
          <cell r="B523" t="str">
            <v>방사선투과검사</v>
          </cell>
          <cell r="C523" t="str">
            <v>R.T</v>
          </cell>
          <cell r="D523">
            <v>94</v>
          </cell>
          <cell r="E523" t="str">
            <v>SHEET</v>
          </cell>
        </row>
        <row r="524">
          <cell r="A524" t="str">
            <v>-2</v>
          </cell>
          <cell r="B524" t="str">
            <v>초음파탐상검사</v>
          </cell>
          <cell r="C524" t="str">
            <v>U.T</v>
          </cell>
          <cell r="D524">
            <v>62</v>
          </cell>
          <cell r="E524" t="str">
            <v>M</v>
          </cell>
        </row>
        <row r="525">
          <cell r="A525" t="str">
            <v>y</v>
          </cell>
          <cell r="B525" t="str">
            <v>자재비</v>
          </cell>
        </row>
        <row r="526">
          <cell r="A526" t="str">
            <v>-1</v>
          </cell>
          <cell r="B526" t="str">
            <v>레미콘</v>
          </cell>
          <cell r="C526" t="str">
            <v>25-240-12</v>
          </cell>
          <cell r="D526">
            <v>1751</v>
          </cell>
          <cell r="E526" t="str">
            <v>㎥</v>
          </cell>
        </row>
        <row r="527">
          <cell r="A527" t="str">
            <v>-2</v>
          </cell>
          <cell r="B527" t="str">
            <v>레미콘</v>
          </cell>
          <cell r="C527" t="str">
            <v>25-210-12</v>
          </cell>
          <cell r="D527">
            <v>6379</v>
          </cell>
          <cell r="E527" t="str">
            <v>㎥</v>
          </cell>
        </row>
        <row r="528">
          <cell r="A528" t="str">
            <v>-3</v>
          </cell>
          <cell r="B528" t="str">
            <v>레미콘</v>
          </cell>
          <cell r="C528" t="str">
            <v>40-180-8</v>
          </cell>
          <cell r="D528">
            <v>955</v>
          </cell>
          <cell r="E528" t="str">
            <v>㎥</v>
          </cell>
        </row>
        <row r="529">
          <cell r="A529" t="str">
            <v>-4</v>
          </cell>
          <cell r="B529" t="str">
            <v>레미콘</v>
          </cell>
          <cell r="C529" t="str">
            <v>40-160-8</v>
          </cell>
          <cell r="D529">
            <v>132</v>
          </cell>
          <cell r="E529" t="str">
            <v>㎥</v>
          </cell>
        </row>
        <row r="530">
          <cell r="A530" t="str">
            <v>-5</v>
          </cell>
          <cell r="B530" t="str">
            <v>시멘트</v>
          </cell>
          <cell r="C530" t="str">
            <v>40㎏/대</v>
          </cell>
          <cell r="D530">
            <v>210</v>
          </cell>
          <cell r="E530" t="str">
            <v>대</v>
          </cell>
        </row>
        <row r="531">
          <cell r="A531" t="str">
            <v>-6</v>
          </cell>
          <cell r="B531" t="str">
            <v>철근</v>
          </cell>
          <cell r="C531" t="str">
            <v>SD40 H16M/M 이상</v>
          </cell>
          <cell r="D531">
            <v>539.774</v>
          </cell>
          <cell r="E531" t="str">
            <v>TON</v>
          </cell>
        </row>
        <row r="532">
          <cell r="A532" t="str">
            <v>-7</v>
          </cell>
          <cell r="B532" t="str">
            <v>철근</v>
          </cell>
          <cell r="C532" t="str">
            <v>SD40 H13M/M</v>
          </cell>
          <cell r="D532">
            <v>9.4870000000000001</v>
          </cell>
          <cell r="E532" t="str">
            <v>TON</v>
          </cell>
        </row>
        <row r="533">
          <cell r="A533" t="str">
            <v>-8</v>
          </cell>
          <cell r="B533" t="str">
            <v>철근</v>
          </cell>
          <cell r="C533" t="str">
            <v>SD30 D16M/M 이상</v>
          </cell>
          <cell r="D533">
            <v>1774.6479999999999</v>
          </cell>
          <cell r="E533" t="str">
            <v>TON</v>
          </cell>
        </row>
        <row r="534">
          <cell r="A534" t="str">
            <v>-9</v>
          </cell>
          <cell r="B534" t="str">
            <v>철근</v>
          </cell>
          <cell r="C534" t="str">
            <v>SD30 D13M/M</v>
          </cell>
          <cell r="D534">
            <v>21.417999999999999</v>
          </cell>
          <cell r="E534" t="str">
            <v>TON</v>
          </cell>
        </row>
        <row r="535">
          <cell r="A535" t="str">
            <v>3.04</v>
          </cell>
          <cell r="B535" t="str">
            <v>송정RAMP-D교(S.T BOX</v>
          </cell>
          <cell r="C535" t="str">
            <v>)L=372.0, B=7.5</v>
          </cell>
        </row>
        <row r="536">
          <cell r="A536" t="str">
            <v>a</v>
          </cell>
          <cell r="B536" t="str">
            <v>토  공</v>
          </cell>
        </row>
        <row r="537">
          <cell r="A537" t="str">
            <v>-1</v>
          </cell>
          <cell r="B537" t="str">
            <v>구조물터파기</v>
          </cell>
          <cell r="C537" t="str">
            <v>(육상토사:0-4M)</v>
          </cell>
          <cell r="D537">
            <v>7937</v>
          </cell>
          <cell r="E537" t="str">
            <v>㎥</v>
          </cell>
        </row>
        <row r="538">
          <cell r="A538" t="str">
            <v>-2</v>
          </cell>
          <cell r="B538" t="str">
            <v>구조물터파기</v>
          </cell>
          <cell r="C538" t="str">
            <v>(육상토사:4m이상)</v>
          </cell>
          <cell r="D538">
            <v>4055</v>
          </cell>
          <cell r="E538" t="str">
            <v>㎥</v>
          </cell>
        </row>
        <row r="539">
          <cell r="A539" t="str">
            <v>-3</v>
          </cell>
          <cell r="B539" t="str">
            <v>구조물터파기</v>
          </cell>
          <cell r="C539" t="str">
            <v>(육상리핑암:0-4M)</v>
          </cell>
          <cell r="D539">
            <v>912</v>
          </cell>
          <cell r="E539" t="str">
            <v>㎥</v>
          </cell>
        </row>
        <row r="540">
          <cell r="A540" t="str">
            <v>-4</v>
          </cell>
          <cell r="B540" t="str">
            <v>구조물터파기</v>
          </cell>
          <cell r="C540" t="str">
            <v>(육상리핑암:4M이상)</v>
          </cell>
          <cell r="D540">
            <v>564</v>
          </cell>
          <cell r="E540" t="str">
            <v>㎥</v>
          </cell>
        </row>
        <row r="541">
          <cell r="A541" t="str">
            <v>-5</v>
          </cell>
          <cell r="B541" t="str">
            <v>구조물터파기</v>
          </cell>
          <cell r="C541" t="str">
            <v>(육상발파암:0-4M)</v>
          </cell>
          <cell r="D541">
            <v>829</v>
          </cell>
          <cell r="E541" t="str">
            <v>㎥</v>
          </cell>
        </row>
        <row r="542">
          <cell r="A542" t="str">
            <v>-6</v>
          </cell>
          <cell r="B542" t="str">
            <v>구조물터파기</v>
          </cell>
          <cell r="C542" t="str">
            <v>(육상발파암:4M이상)</v>
          </cell>
          <cell r="D542">
            <v>186</v>
          </cell>
          <cell r="E542" t="str">
            <v>㎥</v>
          </cell>
        </row>
        <row r="543">
          <cell r="A543" t="str">
            <v>-7</v>
          </cell>
          <cell r="B543" t="str">
            <v>구조물터파기</v>
          </cell>
          <cell r="C543" t="str">
            <v>(수중토사:0-4M)</v>
          </cell>
          <cell r="D543">
            <v>979</v>
          </cell>
          <cell r="E543" t="str">
            <v>㎥</v>
          </cell>
        </row>
        <row r="544">
          <cell r="A544" t="str">
            <v>-8</v>
          </cell>
          <cell r="B544" t="str">
            <v>구조물터파기</v>
          </cell>
          <cell r="C544" t="str">
            <v>(수중토사:4M이상)</v>
          </cell>
          <cell r="D544">
            <v>28</v>
          </cell>
          <cell r="E544" t="str">
            <v>㎥</v>
          </cell>
        </row>
        <row r="545">
          <cell r="A545" t="str">
            <v>-9</v>
          </cell>
          <cell r="B545" t="str">
            <v>구조물터파기</v>
          </cell>
          <cell r="C545" t="str">
            <v>(수중리핑암:0-4M)</v>
          </cell>
          <cell r="D545">
            <v>172</v>
          </cell>
          <cell r="E545" t="str">
            <v>㎥</v>
          </cell>
        </row>
        <row r="546">
          <cell r="A546" t="str">
            <v>-10</v>
          </cell>
          <cell r="B546" t="str">
            <v>구조물터파기</v>
          </cell>
          <cell r="C546" t="str">
            <v>(수중리핑암:4M이상)</v>
          </cell>
          <cell r="D546">
            <v>129</v>
          </cell>
          <cell r="E546" t="str">
            <v>㎥</v>
          </cell>
        </row>
        <row r="547">
          <cell r="A547" t="str">
            <v>-11</v>
          </cell>
          <cell r="B547" t="str">
            <v>되메우기및다짐</v>
          </cell>
          <cell r="C547" t="str">
            <v>(인력30%+기계70%)</v>
          </cell>
          <cell r="D547">
            <v>12918</v>
          </cell>
          <cell r="E547" t="str">
            <v>㎥</v>
          </cell>
        </row>
        <row r="548">
          <cell r="A548" t="str">
            <v>-12</v>
          </cell>
          <cell r="B548" t="str">
            <v>물푸기</v>
          </cell>
          <cell r="C548" t="str">
            <v>(교량등대형구조물)</v>
          </cell>
          <cell r="D548">
            <v>53</v>
          </cell>
          <cell r="E548" t="str">
            <v>HR</v>
          </cell>
        </row>
        <row r="549">
          <cell r="A549" t="str">
            <v>-13</v>
          </cell>
          <cell r="B549" t="str">
            <v>뒷채움및다짐</v>
          </cell>
          <cell r="D549">
            <v>421</v>
          </cell>
          <cell r="E549" t="str">
            <v>㎥</v>
          </cell>
        </row>
        <row r="550">
          <cell r="A550" t="str">
            <v>b</v>
          </cell>
          <cell r="B550" t="str">
            <v>강관파일공</v>
          </cell>
        </row>
        <row r="551">
          <cell r="A551" t="str">
            <v>-1</v>
          </cell>
          <cell r="B551" t="str">
            <v>강관파일자재비</v>
          </cell>
          <cell r="C551" t="str">
            <v>(Φ508.0M/M*12T)</v>
          </cell>
          <cell r="D551">
            <v>122</v>
          </cell>
          <cell r="E551" t="str">
            <v>M</v>
          </cell>
        </row>
        <row r="552">
          <cell r="A552" t="str">
            <v>-2</v>
          </cell>
          <cell r="B552" t="str">
            <v>항타비직항(송정D교)</v>
          </cell>
          <cell r="C552" t="str">
            <v>(Φ508.0*12T)</v>
          </cell>
          <cell r="D552">
            <v>112</v>
          </cell>
          <cell r="E552" t="str">
            <v>M</v>
          </cell>
        </row>
        <row r="553">
          <cell r="A553" t="str">
            <v>-3</v>
          </cell>
          <cell r="B553" t="str">
            <v>두부선단보강</v>
          </cell>
          <cell r="C553" t="str">
            <v>(Φ508.0M/M*12T)</v>
          </cell>
          <cell r="D553">
            <v>18</v>
          </cell>
          <cell r="E553" t="str">
            <v>개소</v>
          </cell>
        </row>
        <row r="554">
          <cell r="A554" t="str">
            <v>c</v>
          </cell>
          <cell r="B554" t="str">
            <v>콘크리트타설</v>
          </cell>
        </row>
        <row r="555">
          <cell r="A555" t="str">
            <v>-1</v>
          </cell>
          <cell r="B555" t="str">
            <v>무근콘크리트타설</v>
          </cell>
          <cell r="C555" t="str">
            <v>(진동기제외)</v>
          </cell>
          <cell r="D555">
            <v>785</v>
          </cell>
          <cell r="E555" t="str">
            <v>㎥</v>
          </cell>
        </row>
        <row r="556">
          <cell r="A556" t="str">
            <v>-2</v>
          </cell>
          <cell r="B556" t="str">
            <v>철근콘크리트타설</v>
          </cell>
          <cell r="C556" t="str">
            <v>펌프카타설(0-15M)</v>
          </cell>
          <cell r="D556">
            <v>3958</v>
          </cell>
          <cell r="E556" t="str">
            <v>㎥</v>
          </cell>
        </row>
        <row r="557">
          <cell r="A557" t="str">
            <v>-3</v>
          </cell>
          <cell r="B557" t="str">
            <v>철근콘크리트타설</v>
          </cell>
          <cell r="C557" t="str">
            <v>펌프카타설(15M이상)</v>
          </cell>
          <cell r="D557">
            <v>930</v>
          </cell>
          <cell r="E557" t="str">
            <v>㎥</v>
          </cell>
        </row>
        <row r="558">
          <cell r="A558" t="str">
            <v>d</v>
          </cell>
          <cell r="B558" t="str">
            <v>스페이셔설치</v>
          </cell>
        </row>
        <row r="559">
          <cell r="A559" t="str">
            <v>-1</v>
          </cell>
          <cell r="B559" t="str">
            <v>스페이셔설치</v>
          </cell>
          <cell r="C559" t="str">
            <v>벽체용</v>
          </cell>
          <cell r="D559">
            <v>3435</v>
          </cell>
          <cell r="E559" t="str">
            <v>㎡</v>
          </cell>
        </row>
        <row r="560">
          <cell r="A560" t="str">
            <v>-2</v>
          </cell>
          <cell r="B560" t="str">
            <v>스페이서설치</v>
          </cell>
          <cell r="C560" t="str">
            <v>슬라브용</v>
          </cell>
          <cell r="D560">
            <v>3556</v>
          </cell>
          <cell r="E560" t="str">
            <v>㎡</v>
          </cell>
        </row>
        <row r="561">
          <cell r="A561" t="str">
            <v>e</v>
          </cell>
          <cell r="B561" t="str">
            <v>철근가공조립</v>
          </cell>
        </row>
        <row r="562">
          <cell r="A562" t="str">
            <v>-1</v>
          </cell>
          <cell r="B562" t="str">
            <v>철근가공조립</v>
          </cell>
          <cell r="C562" t="str">
            <v>(보통)</v>
          </cell>
          <cell r="D562">
            <v>59.334000000000003</v>
          </cell>
          <cell r="E562" t="str">
            <v>TON</v>
          </cell>
        </row>
        <row r="563">
          <cell r="A563" t="str">
            <v>-2</v>
          </cell>
          <cell r="B563" t="str">
            <v>철근가공조립</v>
          </cell>
          <cell r="C563" t="str">
            <v>(복잡)</v>
          </cell>
          <cell r="D563">
            <v>330.52600000000001</v>
          </cell>
          <cell r="E563" t="str">
            <v>TON</v>
          </cell>
        </row>
        <row r="564">
          <cell r="A564" t="str">
            <v>-3</v>
          </cell>
          <cell r="B564" t="str">
            <v>철근가공조립</v>
          </cell>
          <cell r="C564" t="str">
            <v>(매우복잡)</v>
          </cell>
          <cell r="D564">
            <v>792.03399999999999</v>
          </cell>
          <cell r="E564" t="str">
            <v>TON</v>
          </cell>
        </row>
        <row r="565">
          <cell r="A565" t="str">
            <v>f</v>
          </cell>
          <cell r="B565" t="str">
            <v>합판거푸집</v>
          </cell>
        </row>
        <row r="566">
          <cell r="A566" t="str">
            <v>-1</v>
          </cell>
          <cell r="B566" t="str">
            <v>합판거푸집</v>
          </cell>
          <cell r="C566" t="str">
            <v>(3회)0-7M</v>
          </cell>
          <cell r="D566">
            <v>392</v>
          </cell>
          <cell r="E566" t="str">
            <v>㎡</v>
          </cell>
        </row>
        <row r="567">
          <cell r="A567" t="str">
            <v>-2</v>
          </cell>
          <cell r="B567" t="str">
            <v>합판거푸집</v>
          </cell>
          <cell r="C567" t="str">
            <v>(3회)7-10M</v>
          </cell>
          <cell r="D567">
            <v>77</v>
          </cell>
          <cell r="E567" t="str">
            <v>㎡</v>
          </cell>
        </row>
        <row r="568">
          <cell r="A568" t="str">
            <v>-3</v>
          </cell>
          <cell r="B568" t="str">
            <v>합판거푸집</v>
          </cell>
          <cell r="C568" t="str">
            <v>(3회)16-19M</v>
          </cell>
          <cell r="D568">
            <v>50</v>
          </cell>
          <cell r="E568" t="str">
            <v>㎡</v>
          </cell>
        </row>
        <row r="569">
          <cell r="A569" t="str">
            <v>-4</v>
          </cell>
          <cell r="B569" t="str">
            <v>합판거푸집</v>
          </cell>
          <cell r="C569" t="str">
            <v>(3회)25-28M</v>
          </cell>
          <cell r="D569">
            <v>50</v>
          </cell>
          <cell r="E569" t="str">
            <v>㎡</v>
          </cell>
        </row>
        <row r="570">
          <cell r="A570" t="str">
            <v>-5</v>
          </cell>
          <cell r="B570" t="str">
            <v>합판거푸집</v>
          </cell>
          <cell r="C570" t="str">
            <v>(3회)28-31M</v>
          </cell>
          <cell r="D570">
            <v>98</v>
          </cell>
          <cell r="E570" t="str">
            <v>㎡</v>
          </cell>
        </row>
        <row r="571">
          <cell r="A571" t="str">
            <v>-6</v>
          </cell>
          <cell r="B571" t="str">
            <v>합판거푸집</v>
          </cell>
          <cell r="C571" t="str">
            <v>(3회)31-34M</v>
          </cell>
          <cell r="D571">
            <v>49</v>
          </cell>
          <cell r="E571" t="str">
            <v>㎡</v>
          </cell>
        </row>
        <row r="572">
          <cell r="A572" t="str">
            <v>-7</v>
          </cell>
          <cell r="B572" t="str">
            <v>합판거푸집</v>
          </cell>
          <cell r="C572" t="str">
            <v>(3회)34-37M</v>
          </cell>
          <cell r="D572">
            <v>72</v>
          </cell>
          <cell r="E572" t="str">
            <v>M2</v>
          </cell>
        </row>
        <row r="573">
          <cell r="A573" t="str">
            <v>-8</v>
          </cell>
          <cell r="B573" t="str">
            <v>합판거푸집</v>
          </cell>
          <cell r="C573" t="str">
            <v>(3회)37-40M</v>
          </cell>
          <cell r="D573">
            <v>50</v>
          </cell>
          <cell r="E573" t="str">
            <v>M2</v>
          </cell>
        </row>
        <row r="574">
          <cell r="A574" t="str">
            <v>-9</v>
          </cell>
          <cell r="B574" t="str">
            <v>원형거푸집</v>
          </cell>
          <cell r="C574" t="str">
            <v>(3회 0-7M)</v>
          </cell>
          <cell r="D574">
            <v>461</v>
          </cell>
          <cell r="E574" t="str">
            <v>㎡</v>
          </cell>
        </row>
        <row r="575">
          <cell r="A575" t="str">
            <v>-10</v>
          </cell>
          <cell r="B575" t="str">
            <v>원형거푸집</v>
          </cell>
          <cell r="C575" t="str">
            <v>(3회 7-10M)</v>
          </cell>
          <cell r="D575">
            <v>197</v>
          </cell>
          <cell r="E575" t="str">
            <v>㎡</v>
          </cell>
        </row>
        <row r="576">
          <cell r="A576" t="str">
            <v>-11</v>
          </cell>
          <cell r="B576" t="str">
            <v>원형거푸집</v>
          </cell>
          <cell r="C576" t="str">
            <v>(3회 10-13M)</v>
          </cell>
          <cell r="D576">
            <v>179</v>
          </cell>
          <cell r="E576" t="str">
            <v>㎡</v>
          </cell>
        </row>
        <row r="577">
          <cell r="A577" t="str">
            <v>-12</v>
          </cell>
          <cell r="B577" t="str">
            <v>원형거푸집</v>
          </cell>
          <cell r="C577" t="str">
            <v>(3회 13-16M)</v>
          </cell>
          <cell r="D577">
            <v>176</v>
          </cell>
          <cell r="E577" t="str">
            <v>㎡</v>
          </cell>
        </row>
        <row r="578">
          <cell r="A578" t="str">
            <v>-13</v>
          </cell>
          <cell r="B578" t="str">
            <v>원형거푸집</v>
          </cell>
          <cell r="C578" t="str">
            <v>(3회 16-19M)</v>
          </cell>
          <cell r="D578">
            <v>180</v>
          </cell>
          <cell r="E578" t="str">
            <v>㎡</v>
          </cell>
        </row>
        <row r="579">
          <cell r="A579" t="str">
            <v>-14</v>
          </cell>
          <cell r="B579" t="str">
            <v>원형거푸집</v>
          </cell>
          <cell r="C579" t="str">
            <v>(3회 19-22M)</v>
          </cell>
          <cell r="D579">
            <v>169</v>
          </cell>
          <cell r="E579" t="str">
            <v>㎡</v>
          </cell>
        </row>
        <row r="580">
          <cell r="A580" t="str">
            <v>-15</v>
          </cell>
          <cell r="B580" t="str">
            <v>원형거푸집</v>
          </cell>
          <cell r="C580" t="str">
            <v>(3회 22-25M)</v>
          </cell>
          <cell r="D580">
            <v>154</v>
          </cell>
          <cell r="E580" t="str">
            <v>㎡</v>
          </cell>
        </row>
        <row r="581">
          <cell r="A581" t="str">
            <v>-16</v>
          </cell>
          <cell r="B581" t="str">
            <v>원형거푸집</v>
          </cell>
          <cell r="C581" t="str">
            <v>(3회 25-28M)</v>
          </cell>
          <cell r="D581">
            <v>107</v>
          </cell>
          <cell r="E581" t="str">
            <v>㎡</v>
          </cell>
        </row>
        <row r="582">
          <cell r="A582" t="str">
            <v>-17</v>
          </cell>
          <cell r="B582" t="str">
            <v>원형거푸집</v>
          </cell>
          <cell r="C582" t="str">
            <v>(3회 28-31M)</v>
          </cell>
          <cell r="D582">
            <v>101</v>
          </cell>
          <cell r="E582" t="str">
            <v>㎡</v>
          </cell>
        </row>
        <row r="583">
          <cell r="A583" t="str">
            <v>-18</v>
          </cell>
          <cell r="B583" t="str">
            <v>원형거푸집</v>
          </cell>
          <cell r="C583" t="str">
            <v>(3회)31-34M</v>
          </cell>
          <cell r="D583">
            <v>39</v>
          </cell>
          <cell r="E583" t="str">
            <v>M2</v>
          </cell>
        </row>
        <row r="584">
          <cell r="A584" t="str">
            <v>-19</v>
          </cell>
          <cell r="B584" t="str">
            <v>원형거푸집</v>
          </cell>
          <cell r="C584" t="str">
            <v>(3회)34-37M</v>
          </cell>
          <cell r="D584">
            <v>15</v>
          </cell>
          <cell r="E584" t="str">
            <v>M2</v>
          </cell>
        </row>
        <row r="585">
          <cell r="A585" t="str">
            <v>-20</v>
          </cell>
          <cell r="B585" t="str">
            <v>합판거푸집</v>
          </cell>
          <cell r="C585" t="str">
            <v>(3회)37-40M</v>
          </cell>
          <cell r="D585">
            <v>11</v>
          </cell>
          <cell r="E585" t="str">
            <v>M2</v>
          </cell>
        </row>
        <row r="586">
          <cell r="A586" t="str">
            <v>-21</v>
          </cell>
          <cell r="B586" t="str">
            <v>합판거푸집</v>
          </cell>
          <cell r="C586" t="str">
            <v>(소형6회)</v>
          </cell>
          <cell r="D586">
            <v>280</v>
          </cell>
          <cell r="E586" t="str">
            <v>㎡</v>
          </cell>
        </row>
        <row r="587">
          <cell r="A587" t="str">
            <v>-22</v>
          </cell>
          <cell r="B587" t="str">
            <v>합판거푸집</v>
          </cell>
          <cell r="C587" t="str">
            <v>(소형4회)</v>
          </cell>
          <cell r="D587">
            <v>796</v>
          </cell>
          <cell r="E587" t="str">
            <v>㎡</v>
          </cell>
        </row>
        <row r="588">
          <cell r="A588" t="str">
            <v>-23</v>
          </cell>
          <cell r="B588" t="str">
            <v>합판거푸집</v>
          </cell>
          <cell r="C588" t="str">
            <v>(소형3회)</v>
          </cell>
          <cell r="D588">
            <v>3226</v>
          </cell>
          <cell r="E588" t="str">
            <v>㎡</v>
          </cell>
        </row>
        <row r="589">
          <cell r="A589" t="str">
            <v>g</v>
          </cell>
          <cell r="B589" t="str">
            <v>비계</v>
          </cell>
          <cell r="C589" t="str">
            <v>(강관)0-30M</v>
          </cell>
          <cell r="D589">
            <v>5522</v>
          </cell>
          <cell r="E589" t="str">
            <v>㎡</v>
          </cell>
        </row>
        <row r="590">
          <cell r="A590" t="str">
            <v>h</v>
          </cell>
          <cell r="B590" t="str">
            <v>동바리공</v>
          </cell>
        </row>
        <row r="591">
          <cell r="A591" t="str">
            <v>-1</v>
          </cell>
          <cell r="B591" t="str">
            <v>강관동바리</v>
          </cell>
          <cell r="C591" t="str">
            <v>(교량용)</v>
          </cell>
          <cell r="D591">
            <v>2339</v>
          </cell>
          <cell r="E591" t="str">
            <v>공㎥</v>
          </cell>
        </row>
        <row r="592">
          <cell r="A592" t="str">
            <v>-2</v>
          </cell>
          <cell r="B592" t="str">
            <v>동바리공</v>
          </cell>
          <cell r="C592" t="str">
            <v>(목재4회)</v>
          </cell>
          <cell r="D592">
            <v>3029</v>
          </cell>
          <cell r="E592" t="str">
            <v>공㎥</v>
          </cell>
        </row>
        <row r="593">
          <cell r="A593" t="str">
            <v>i</v>
          </cell>
          <cell r="B593" t="str">
            <v>무수축콘크리트</v>
          </cell>
        </row>
        <row r="594">
          <cell r="A594" t="str">
            <v>-1</v>
          </cell>
          <cell r="B594" t="str">
            <v>무수축몰탈</v>
          </cell>
          <cell r="C594" t="str">
            <v>1:1</v>
          </cell>
          <cell r="D594">
            <v>1.0049999999999999</v>
          </cell>
          <cell r="E594" t="str">
            <v>㎥</v>
          </cell>
        </row>
        <row r="595">
          <cell r="A595" t="str">
            <v>-2</v>
          </cell>
          <cell r="B595" t="str">
            <v>무수축콘크리트</v>
          </cell>
          <cell r="D595">
            <v>5.7149999999999999</v>
          </cell>
          <cell r="E595" t="str">
            <v>㎥</v>
          </cell>
        </row>
        <row r="596">
          <cell r="A596" t="str">
            <v>j</v>
          </cell>
          <cell r="B596" t="str">
            <v>교좌장치공</v>
          </cell>
        </row>
        <row r="597">
          <cell r="A597" t="str">
            <v>-1</v>
          </cell>
          <cell r="B597" t="str">
            <v>POT BEARING</v>
          </cell>
          <cell r="C597" t="str">
            <v>일방향250TON</v>
          </cell>
          <cell r="D597">
            <v>4</v>
          </cell>
          <cell r="E597" t="str">
            <v>EA</v>
          </cell>
        </row>
        <row r="598">
          <cell r="A598" t="str">
            <v>-2</v>
          </cell>
          <cell r="B598" t="str">
            <v>POT BEARING</v>
          </cell>
          <cell r="C598" t="str">
            <v>양방향250TON</v>
          </cell>
          <cell r="D598">
            <v>4</v>
          </cell>
          <cell r="E598" t="str">
            <v>EA</v>
          </cell>
        </row>
        <row r="599">
          <cell r="A599" t="str">
            <v>-3</v>
          </cell>
          <cell r="B599" t="str">
            <v>POT BEARING</v>
          </cell>
          <cell r="C599" t="str">
            <v>고정단550TON</v>
          </cell>
          <cell r="D599">
            <v>2</v>
          </cell>
          <cell r="E599" t="str">
            <v>EA</v>
          </cell>
        </row>
        <row r="600">
          <cell r="A600" t="str">
            <v>-4</v>
          </cell>
          <cell r="B600" t="str">
            <v>POT BEARING</v>
          </cell>
          <cell r="C600" t="str">
            <v>일방향550TON</v>
          </cell>
          <cell r="D600">
            <v>6</v>
          </cell>
          <cell r="E600" t="str">
            <v>EA</v>
          </cell>
        </row>
        <row r="601">
          <cell r="A601" t="str">
            <v>-5</v>
          </cell>
          <cell r="B601" t="str">
            <v>POT BEARING</v>
          </cell>
          <cell r="C601" t="str">
            <v>양방향550TON</v>
          </cell>
          <cell r="D601">
            <v>4</v>
          </cell>
          <cell r="E601" t="str">
            <v>EA</v>
          </cell>
        </row>
        <row r="602">
          <cell r="A602" t="str">
            <v>k</v>
          </cell>
          <cell r="B602" t="str">
            <v>신축이음장치</v>
          </cell>
        </row>
        <row r="603">
          <cell r="A603" t="str">
            <v>-1</v>
          </cell>
          <cell r="B603" t="str">
            <v>신축이음장치</v>
          </cell>
          <cell r="C603" t="str">
            <v>(NO100)</v>
          </cell>
          <cell r="D603">
            <v>13</v>
          </cell>
          <cell r="E603" t="str">
            <v>M</v>
          </cell>
        </row>
        <row r="604">
          <cell r="A604" t="str">
            <v>-2</v>
          </cell>
          <cell r="B604" t="str">
            <v>신축이음장치</v>
          </cell>
          <cell r="C604" t="str">
            <v>(NO240)</v>
          </cell>
          <cell r="D604">
            <v>6</v>
          </cell>
          <cell r="E604" t="str">
            <v>M</v>
          </cell>
        </row>
        <row r="605">
          <cell r="A605" t="str">
            <v>l</v>
          </cell>
          <cell r="B605" t="str">
            <v>표면처리공</v>
          </cell>
        </row>
        <row r="606">
          <cell r="A606" t="str">
            <v>-1</v>
          </cell>
          <cell r="B606" t="str">
            <v>면고르기</v>
          </cell>
          <cell r="C606" t="str">
            <v>DECK FINISHER</v>
          </cell>
          <cell r="D606">
            <v>2394</v>
          </cell>
          <cell r="E606" t="str">
            <v>㎡</v>
          </cell>
        </row>
        <row r="607">
          <cell r="A607" t="str">
            <v>-2</v>
          </cell>
          <cell r="B607" t="str">
            <v>슬라브양생</v>
          </cell>
          <cell r="C607" t="str">
            <v>(도막양생)</v>
          </cell>
          <cell r="D607">
            <v>2394</v>
          </cell>
          <cell r="E607" t="str">
            <v>㎡</v>
          </cell>
        </row>
        <row r="608">
          <cell r="A608" t="str">
            <v>-3</v>
          </cell>
          <cell r="B608" t="str">
            <v>교면방수</v>
          </cell>
          <cell r="C608" t="str">
            <v>(도막방수)</v>
          </cell>
          <cell r="D608">
            <v>2394</v>
          </cell>
          <cell r="E608" t="str">
            <v>㎡</v>
          </cell>
        </row>
        <row r="609">
          <cell r="A609" t="str">
            <v>m</v>
          </cell>
          <cell r="B609" t="str">
            <v>교량명판공</v>
          </cell>
        </row>
        <row r="610">
          <cell r="A610" t="str">
            <v>-1</v>
          </cell>
          <cell r="B610" t="str">
            <v>교명주</v>
          </cell>
          <cell r="C610" t="str">
            <v>(1000*500*350)</v>
          </cell>
          <cell r="D610">
            <v>4</v>
          </cell>
          <cell r="E610" t="str">
            <v>EA</v>
          </cell>
        </row>
        <row r="611">
          <cell r="A611" t="str">
            <v>-2</v>
          </cell>
          <cell r="B611" t="str">
            <v>교명판</v>
          </cell>
          <cell r="C611" t="str">
            <v>(200X450X10)</v>
          </cell>
          <cell r="D611">
            <v>2</v>
          </cell>
          <cell r="E611" t="str">
            <v>EA</v>
          </cell>
        </row>
        <row r="612">
          <cell r="A612" t="str">
            <v>-3</v>
          </cell>
          <cell r="B612" t="str">
            <v>설명판</v>
          </cell>
          <cell r="C612" t="str">
            <v>(500X300X10)</v>
          </cell>
          <cell r="D612">
            <v>2</v>
          </cell>
          <cell r="E612" t="str">
            <v>EA</v>
          </cell>
        </row>
        <row r="613">
          <cell r="A613" t="str">
            <v>-4</v>
          </cell>
          <cell r="B613" t="str">
            <v>TBM 설치</v>
          </cell>
          <cell r="D613">
            <v>2</v>
          </cell>
          <cell r="E613" t="str">
            <v>EA</v>
          </cell>
        </row>
        <row r="614">
          <cell r="A614" t="str">
            <v>n</v>
          </cell>
          <cell r="B614" t="str">
            <v>다월바설치</v>
          </cell>
          <cell r="D614">
            <v>30</v>
          </cell>
          <cell r="E614" t="str">
            <v>EA</v>
          </cell>
        </row>
        <row r="615">
          <cell r="A615" t="str">
            <v>o</v>
          </cell>
          <cell r="B615" t="str">
            <v>스치로폴</v>
          </cell>
          <cell r="C615" t="str">
            <v>(신축이음T=20M/M)</v>
          </cell>
          <cell r="D615">
            <v>4</v>
          </cell>
          <cell r="E615" t="str">
            <v>㎡</v>
          </cell>
        </row>
        <row r="616">
          <cell r="A616" t="str">
            <v>p</v>
          </cell>
          <cell r="B616" t="str">
            <v>교량용집수구</v>
          </cell>
        </row>
        <row r="617">
          <cell r="A617" t="str">
            <v>-1</v>
          </cell>
          <cell r="B617" t="str">
            <v>집수구</v>
          </cell>
          <cell r="C617" t="str">
            <v>(주철)</v>
          </cell>
          <cell r="D617">
            <v>19</v>
          </cell>
          <cell r="E617" t="str">
            <v>EA</v>
          </cell>
        </row>
        <row r="618">
          <cell r="A618" t="str">
            <v>-2</v>
          </cell>
          <cell r="B618" t="str">
            <v>연결배수구</v>
          </cell>
          <cell r="C618" t="str">
            <v>(스텐레스)</v>
          </cell>
          <cell r="D618">
            <v>7</v>
          </cell>
          <cell r="E618" t="str">
            <v>EA</v>
          </cell>
        </row>
        <row r="619">
          <cell r="A619" t="str">
            <v>-3</v>
          </cell>
          <cell r="B619" t="str">
            <v>직관</v>
          </cell>
          <cell r="C619" t="str">
            <v>(Φ150)</v>
          </cell>
          <cell r="D619">
            <v>141</v>
          </cell>
          <cell r="E619" t="str">
            <v>M</v>
          </cell>
        </row>
        <row r="620">
          <cell r="A620" t="str">
            <v>-4</v>
          </cell>
          <cell r="B620" t="str">
            <v>육교용곡관</v>
          </cell>
          <cell r="D620">
            <v>16</v>
          </cell>
          <cell r="E620" t="str">
            <v>EA</v>
          </cell>
        </row>
        <row r="621">
          <cell r="A621" t="str">
            <v>-5</v>
          </cell>
          <cell r="B621" t="str">
            <v>연결부</v>
          </cell>
          <cell r="C621" t="str">
            <v>(스텐레스)</v>
          </cell>
          <cell r="D621">
            <v>141</v>
          </cell>
          <cell r="E621" t="str">
            <v>EA</v>
          </cell>
        </row>
        <row r="622">
          <cell r="A622" t="str">
            <v>-6</v>
          </cell>
          <cell r="B622" t="str">
            <v>하천용배수구</v>
          </cell>
          <cell r="C622" t="str">
            <v>(아연도강관D=150MM)</v>
          </cell>
          <cell r="D622">
            <v>37</v>
          </cell>
          <cell r="E622" t="str">
            <v>M</v>
          </cell>
        </row>
        <row r="623">
          <cell r="A623" t="str">
            <v>q</v>
          </cell>
          <cell r="B623" t="str">
            <v>전선관</v>
          </cell>
          <cell r="C623" t="str">
            <v>P.V.C PIPE</v>
          </cell>
          <cell r="D623">
            <v>736</v>
          </cell>
          <cell r="E623" t="str">
            <v>M</v>
          </cell>
        </row>
        <row r="624">
          <cell r="A624" t="str">
            <v>r</v>
          </cell>
          <cell r="B624" t="str">
            <v>환풍기받침대설치</v>
          </cell>
          <cell r="D624">
            <v>16</v>
          </cell>
          <cell r="E624" t="str">
            <v>EA</v>
          </cell>
        </row>
        <row r="625">
          <cell r="A625" t="str">
            <v>s</v>
          </cell>
          <cell r="B625" t="str">
            <v>강교가설</v>
          </cell>
        </row>
        <row r="626">
          <cell r="A626" t="str">
            <v>-1</v>
          </cell>
          <cell r="B626" t="str">
            <v>강교제작</v>
          </cell>
          <cell r="C626" t="str">
            <v>(송정IC RAMP-D교)</v>
          </cell>
          <cell r="D626">
            <v>1190.816</v>
          </cell>
          <cell r="E626" t="str">
            <v>TON</v>
          </cell>
        </row>
        <row r="627">
          <cell r="A627" t="str">
            <v>-2</v>
          </cell>
          <cell r="B627" t="str">
            <v>강교운반및가설</v>
          </cell>
          <cell r="C627" t="str">
            <v>(송정IC RAMP-D교)</v>
          </cell>
          <cell r="D627">
            <v>1190.816</v>
          </cell>
          <cell r="E627" t="str">
            <v>TON</v>
          </cell>
        </row>
        <row r="628">
          <cell r="A628" t="str">
            <v>-3</v>
          </cell>
          <cell r="B628" t="str">
            <v>내부도장</v>
          </cell>
          <cell r="C628" t="str">
            <v>(공장)</v>
          </cell>
          <cell r="D628">
            <v>13076</v>
          </cell>
          <cell r="E628" t="str">
            <v>㎡</v>
          </cell>
        </row>
        <row r="629">
          <cell r="A629" t="str">
            <v>-4</v>
          </cell>
          <cell r="B629" t="str">
            <v>연결판도장</v>
          </cell>
          <cell r="C629" t="str">
            <v>(공장)</v>
          </cell>
          <cell r="D629">
            <v>1206</v>
          </cell>
          <cell r="E629" t="str">
            <v>㎡</v>
          </cell>
        </row>
        <row r="630">
          <cell r="A630" t="str">
            <v>-5</v>
          </cell>
          <cell r="B630" t="str">
            <v>내부볼트및연결판도장</v>
          </cell>
          <cell r="C630" t="str">
            <v>(현장)</v>
          </cell>
          <cell r="D630">
            <v>311</v>
          </cell>
          <cell r="E630" t="str">
            <v>㎡</v>
          </cell>
        </row>
        <row r="631">
          <cell r="A631" t="str">
            <v>-6</v>
          </cell>
          <cell r="B631" t="str">
            <v>외부도장</v>
          </cell>
          <cell r="C631" t="str">
            <v>(공장)</v>
          </cell>
          <cell r="D631">
            <v>8257</v>
          </cell>
          <cell r="E631" t="str">
            <v>㎡</v>
          </cell>
        </row>
        <row r="632">
          <cell r="A632" t="str">
            <v>-7</v>
          </cell>
          <cell r="B632" t="str">
            <v>외부포장면도장</v>
          </cell>
          <cell r="C632" t="str">
            <v>(공장)</v>
          </cell>
          <cell r="D632">
            <v>1627</v>
          </cell>
          <cell r="E632" t="str">
            <v>㎡</v>
          </cell>
        </row>
        <row r="633">
          <cell r="A633" t="str">
            <v>-8</v>
          </cell>
          <cell r="B633" t="str">
            <v>외부볼트및연결판도장</v>
          </cell>
          <cell r="C633" t="str">
            <v>(현장)</v>
          </cell>
          <cell r="D633">
            <v>895</v>
          </cell>
          <cell r="E633" t="str">
            <v>㎡</v>
          </cell>
        </row>
        <row r="634">
          <cell r="A634" t="str">
            <v>-9</v>
          </cell>
          <cell r="B634" t="str">
            <v>외부도장</v>
          </cell>
          <cell r="C634" t="str">
            <v>(현장)</v>
          </cell>
          <cell r="D634">
            <v>1238</v>
          </cell>
          <cell r="E634" t="str">
            <v>㎡</v>
          </cell>
        </row>
        <row r="635">
          <cell r="A635" t="str">
            <v>t</v>
          </cell>
          <cell r="B635" t="str">
            <v>기타공</v>
          </cell>
        </row>
        <row r="636">
          <cell r="A636" t="str">
            <v>-1</v>
          </cell>
          <cell r="B636" t="str">
            <v>낙교방지책</v>
          </cell>
          <cell r="C636" t="str">
            <v>(1SHOE,TYPE-1)</v>
          </cell>
          <cell r="D636">
            <v>8</v>
          </cell>
          <cell r="E636" t="str">
            <v>EA</v>
          </cell>
        </row>
        <row r="637">
          <cell r="A637" t="str">
            <v>-2</v>
          </cell>
          <cell r="B637" t="str">
            <v>낙교방지책</v>
          </cell>
          <cell r="C637" t="str">
            <v>(1SHOE,TYPE-2)</v>
          </cell>
          <cell r="D637">
            <v>8</v>
          </cell>
          <cell r="E637" t="str">
            <v>EA</v>
          </cell>
        </row>
        <row r="638">
          <cell r="A638" t="str">
            <v>-3</v>
          </cell>
          <cell r="B638" t="str">
            <v>낙교방지책</v>
          </cell>
          <cell r="C638" t="str">
            <v>(1SHOE, TYPE-3)</v>
          </cell>
          <cell r="D638">
            <v>4</v>
          </cell>
          <cell r="E638" t="str">
            <v>EA</v>
          </cell>
        </row>
        <row r="639">
          <cell r="A639" t="str">
            <v>-4</v>
          </cell>
          <cell r="B639" t="str">
            <v>안전점검통로</v>
          </cell>
          <cell r="C639" t="str">
            <v>교축방향(TYPE-1)</v>
          </cell>
          <cell r="D639">
            <v>37</v>
          </cell>
          <cell r="E639" t="str">
            <v>개소</v>
          </cell>
        </row>
        <row r="640">
          <cell r="A640" t="str">
            <v>-5</v>
          </cell>
          <cell r="B640" t="str">
            <v>안전점검통로</v>
          </cell>
          <cell r="C640" t="str">
            <v>교축방향(TYPE-2)</v>
          </cell>
          <cell r="D640">
            <v>41</v>
          </cell>
          <cell r="E640" t="str">
            <v>개소</v>
          </cell>
        </row>
        <row r="641">
          <cell r="A641" t="str">
            <v>-6</v>
          </cell>
          <cell r="B641" t="str">
            <v>안전점검통로(송정D)</v>
          </cell>
          <cell r="C641" t="str">
            <v>(교축직각방향TYPE-1)</v>
          </cell>
          <cell r="D641">
            <v>6</v>
          </cell>
          <cell r="E641" t="str">
            <v>개소</v>
          </cell>
        </row>
        <row r="642">
          <cell r="A642" t="str">
            <v>-7</v>
          </cell>
          <cell r="B642" t="str">
            <v>안전점검통로(송정D)</v>
          </cell>
          <cell r="C642" t="str">
            <v>교축직각방향(TYPE-2)</v>
          </cell>
          <cell r="D642">
            <v>1</v>
          </cell>
          <cell r="E642" t="str">
            <v>개소</v>
          </cell>
        </row>
        <row r="643">
          <cell r="A643" t="str">
            <v>-8</v>
          </cell>
          <cell r="B643" t="str">
            <v>내부출입구설치</v>
          </cell>
          <cell r="C643" t="str">
            <v>LOWER FLANGE</v>
          </cell>
          <cell r="D643">
            <v>8</v>
          </cell>
          <cell r="E643" t="str">
            <v>EA</v>
          </cell>
        </row>
        <row r="644">
          <cell r="A644" t="str">
            <v>-9</v>
          </cell>
          <cell r="B644" t="str">
            <v>내부출입구설치</v>
          </cell>
          <cell r="C644" t="str">
            <v>DIAPHRAGM</v>
          </cell>
          <cell r="D644">
            <v>8</v>
          </cell>
          <cell r="E644" t="str">
            <v>EA</v>
          </cell>
        </row>
        <row r="645">
          <cell r="A645" t="str">
            <v>-10</v>
          </cell>
          <cell r="B645" t="str">
            <v>내부출입구설치</v>
          </cell>
          <cell r="C645" t="str">
            <v>WEB</v>
          </cell>
          <cell r="D645">
            <v>12</v>
          </cell>
          <cell r="E645" t="str">
            <v>EA</v>
          </cell>
        </row>
        <row r="646">
          <cell r="A646" t="str">
            <v>u</v>
          </cell>
          <cell r="B646" t="str">
            <v>가 도</v>
          </cell>
        </row>
        <row r="647">
          <cell r="A647" t="str">
            <v>-1</v>
          </cell>
          <cell r="B647" t="str">
            <v>가도공흙쌓기</v>
          </cell>
          <cell r="D647">
            <v>1141</v>
          </cell>
          <cell r="E647" t="str">
            <v>M3</v>
          </cell>
        </row>
        <row r="648">
          <cell r="A648" t="str">
            <v>-2</v>
          </cell>
          <cell r="B648" t="str">
            <v>가마니쌓기및헐기</v>
          </cell>
          <cell r="D648">
            <v>368</v>
          </cell>
          <cell r="E648" t="str">
            <v>M2</v>
          </cell>
        </row>
        <row r="649">
          <cell r="A649" t="str">
            <v>v</v>
          </cell>
          <cell r="B649" t="str">
            <v>가시설</v>
          </cell>
          <cell r="C649" t="str">
            <v>(교각부)</v>
          </cell>
        </row>
        <row r="650">
          <cell r="A650" t="str">
            <v>-1</v>
          </cell>
          <cell r="B650" t="str">
            <v>강널말뚝자재비</v>
          </cell>
          <cell r="C650" t="str">
            <v>400*150*13</v>
          </cell>
          <cell r="D650">
            <v>223</v>
          </cell>
          <cell r="E650" t="str">
            <v>TON</v>
          </cell>
        </row>
        <row r="651">
          <cell r="A651" t="str">
            <v>-2</v>
          </cell>
          <cell r="B651" t="str">
            <v>강널말뚝 항타(송정IC</v>
          </cell>
          <cell r="C651" t="str">
            <v>RAMP-D교,가시설용)</v>
          </cell>
          <cell r="D651">
            <v>2142</v>
          </cell>
          <cell r="E651" t="str">
            <v>M</v>
          </cell>
        </row>
        <row r="652">
          <cell r="A652" t="str">
            <v>-3</v>
          </cell>
          <cell r="B652" t="str">
            <v>강널말뚝 뽑기(송정IC</v>
          </cell>
          <cell r="C652" t="str">
            <v>RAMP-D교)가시설용</v>
          </cell>
          <cell r="D652">
            <v>2142</v>
          </cell>
          <cell r="E652" t="str">
            <v>M</v>
          </cell>
        </row>
        <row r="653">
          <cell r="A653" t="str">
            <v>-4</v>
          </cell>
          <cell r="B653" t="str">
            <v>띠장설치및철거(송정)</v>
          </cell>
          <cell r="C653" t="str">
            <v>RAMP-D교</v>
          </cell>
          <cell r="D653">
            <v>332</v>
          </cell>
          <cell r="E653" t="str">
            <v>M</v>
          </cell>
        </row>
        <row r="654">
          <cell r="A654" t="str">
            <v>-5</v>
          </cell>
          <cell r="B654" t="str">
            <v>L형강설치및철거</v>
          </cell>
          <cell r="C654" t="str">
            <v>100*100*10</v>
          </cell>
          <cell r="D654">
            <v>92</v>
          </cell>
          <cell r="E654" t="str">
            <v>M</v>
          </cell>
        </row>
        <row r="655">
          <cell r="A655" t="str">
            <v>-6</v>
          </cell>
          <cell r="B655" t="str">
            <v>보걸이 설치</v>
          </cell>
          <cell r="D655">
            <v>166</v>
          </cell>
          <cell r="E655" t="str">
            <v>EA</v>
          </cell>
        </row>
        <row r="656">
          <cell r="A656" t="str">
            <v>-7</v>
          </cell>
          <cell r="B656" t="str">
            <v>강판설치</v>
          </cell>
          <cell r="D656">
            <v>20.634</v>
          </cell>
          <cell r="E656" t="str">
            <v>TON</v>
          </cell>
        </row>
        <row r="657">
          <cell r="A657" t="str">
            <v>w</v>
          </cell>
          <cell r="B657" t="str">
            <v>가교가설(송정R-D)</v>
          </cell>
          <cell r="C657" t="str">
            <v>(L=70.0M,8.0M)</v>
          </cell>
          <cell r="D657">
            <v>1</v>
          </cell>
          <cell r="E657" t="str">
            <v>L.S</v>
          </cell>
        </row>
        <row r="658">
          <cell r="A658" t="str">
            <v>x</v>
          </cell>
          <cell r="B658" t="str">
            <v>검사시험</v>
          </cell>
        </row>
        <row r="659">
          <cell r="A659" t="str">
            <v>-1</v>
          </cell>
          <cell r="B659" t="str">
            <v>방사선투과검사</v>
          </cell>
          <cell r="C659" t="str">
            <v>R.T</v>
          </cell>
          <cell r="D659">
            <v>48</v>
          </cell>
          <cell r="E659" t="str">
            <v>SHEET</v>
          </cell>
        </row>
        <row r="660">
          <cell r="A660" t="str">
            <v>-2</v>
          </cell>
          <cell r="B660" t="str">
            <v>초음파탐상검사</v>
          </cell>
          <cell r="C660" t="str">
            <v>U.T</v>
          </cell>
          <cell r="D660">
            <v>30</v>
          </cell>
          <cell r="E660" t="str">
            <v>M</v>
          </cell>
        </row>
        <row r="661">
          <cell r="A661" t="str">
            <v>y</v>
          </cell>
          <cell r="B661" t="str">
            <v>교대보호블럭</v>
          </cell>
          <cell r="C661" t="str">
            <v>400x400x100</v>
          </cell>
          <cell r="D661">
            <v>32</v>
          </cell>
          <cell r="E661" t="str">
            <v>M2</v>
          </cell>
        </row>
        <row r="662">
          <cell r="A662" t="str">
            <v>z</v>
          </cell>
          <cell r="B662" t="str">
            <v>자재비</v>
          </cell>
        </row>
        <row r="663">
          <cell r="A663" t="str">
            <v>-1</v>
          </cell>
          <cell r="B663" t="str">
            <v>레미콘</v>
          </cell>
          <cell r="C663" t="str">
            <v>25-240-12</v>
          </cell>
          <cell r="D663">
            <v>886</v>
          </cell>
          <cell r="E663" t="str">
            <v>㎥</v>
          </cell>
        </row>
        <row r="664">
          <cell r="A664" t="str">
            <v>-2</v>
          </cell>
          <cell r="B664" t="str">
            <v>레미콘</v>
          </cell>
          <cell r="C664" t="str">
            <v>25-210-12</v>
          </cell>
          <cell r="D664">
            <v>4051</v>
          </cell>
          <cell r="E664" t="str">
            <v>㎥</v>
          </cell>
        </row>
        <row r="665">
          <cell r="A665" t="str">
            <v>-3</v>
          </cell>
          <cell r="B665" t="str">
            <v>레미콘</v>
          </cell>
          <cell r="C665" t="str">
            <v>40-180-8</v>
          </cell>
          <cell r="D665">
            <v>640</v>
          </cell>
          <cell r="E665" t="str">
            <v>㎥</v>
          </cell>
        </row>
        <row r="666">
          <cell r="A666" t="str">
            <v>-4</v>
          </cell>
          <cell r="B666" t="str">
            <v>레미콘</v>
          </cell>
          <cell r="C666" t="str">
            <v>40-160-8</v>
          </cell>
          <cell r="D666">
            <v>185</v>
          </cell>
          <cell r="E666" t="str">
            <v>㎥</v>
          </cell>
        </row>
        <row r="667">
          <cell r="A667" t="str">
            <v>-5</v>
          </cell>
          <cell r="B667" t="str">
            <v>시멘트</v>
          </cell>
          <cell r="C667" t="str">
            <v>40㎏/대</v>
          </cell>
          <cell r="D667">
            <v>161</v>
          </cell>
          <cell r="E667" t="str">
            <v>대</v>
          </cell>
        </row>
        <row r="668">
          <cell r="A668" t="str">
            <v>-6</v>
          </cell>
          <cell r="B668" t="str">
            <v>철근</v>
          </cell>
          <cell r="C668" t="str">
            <v>SD40 H16M/M 이상</v>
          </cell>
          <cell r="D668">
            <v>301.46199999999999</v>
          </cell>
          <cell r="E668" t="str">
            <v>TON</v>
          </cell>
        </row>
        <row r="669">
          <cell r="A669" t="str">
            <v>-7</v>
          </cell>
          <cell r="B669" t="str">
            <v>철근</v>
          </cell>
          <cell r="C669" t="str">
            <v>SD40 H13M/M</v>
          </cell>
          <cell r="D669">
            <v>4.7320000000000002</v>
          </cell>
          <cell r="E669" t="str">
            <v>TON</v>
          </cell>
        </row>
        <row r="670">
          <cell r="A670" t="str">
            <v>-8</v>
          </cell>
          <cell r="B670" t="str">
            <v>철근</v>
          </cell>
          <cell r="C670" t="str">
            <v>SD30 D16M/M 이상</v>
          </cell>
          <cell r="D670">
            <v>893.61300000000006</v>
          </cell>
          <cell r="E670" t="str">
            <v>TON</v>
          </cell>
        </row>
        <row r="671">
          <cell r="A671" t="str">
            <v>-9</v>
          </cell>
          <cell r="B671" t="str">
            <v>철근</v>
          </cell>
          <cell r="C671" t="str">
            <v>SD30 D13M/M</v>
          </cell>
          <cell r="D671">
            <v>19.251000000000001</v>
          </cell>
          <cell r="E671" t="str">
            <v>TON</v>
          </cell>
        </row>
        <row r="672">
          <cell r="A672" t="str">
            <v>3.05</v>
          </cell>
          <cell r="B672" t="str">
            <v>송정RAMP-E교(S.T BOX</v>
          </cell>
          <cell r="C672" t="str">
            <v>)L=360.0, B=7.5</v>
          </cell>
        </row>
        <row r="673">
          <cell r="A673" t="str">
            <v>a</v>
          </cell>
          <cell r="B673" t="str">
            <v>토  공</v>
          </cell>
        </row>
        <row r="674">
          <cell r="A674" t="str">
            <v>-1</v>
          </cell>
          <cell r="B674" t="str">
            <v>구조물터파기</v>
          </cell>
          <cell r="C674" t="str">
            <v>(육상토사:0-4M)</v>
          </cell>
          <cell r="D674">
            <v>12664</v>
          </cell>
          <cell r="E674" t="str">
            <v>㎥</v>
          </cell>
        </row>
        <row r="675">
          <cell r="A675" t="str">
            <v>-2</v>
          </cell>
          <cell r="B675" t="str">
            <v>구조물터파기</v>
          </cell>
          <cell r="C675" t="str">
            <v>(육상토사:4m이상)</v>
          </cell>
          <cell r="D675">
            <v>6426</v>
          </cell>
          <cell r="E675" t="str">
            <v>㎥</v>
          </cell>
        </row>
        <row r="676">
          <cell r="A676" t="str">
            <v>-3</v>
          </cell>
          <cell r="B676" t="str">
            <v>구조물터파기</v>
          </cell>
          <cell r="C676" t="str">
            <v>(육상리핑암:0-4M)</v>
          </cell>
          <cell r="D676">
            <v>358</v>
          </cell>
          <cell r="E676" t="str">
            <v>㎥</v>
          </cell>
        </row>
        <row r="677">
          <cell r="A677" t="str">
            <v>-4</v>
          </cell>
          <cell r="B677" t="str">
            <v>구조물터파기</v>
          </cell>
          <cell r="C677" t="str">
            <v>(육상리핑암:4M이상)</v>
          </cell>
          <cell r="D677">
            <v>683</v>
          </cell>
          <cell r="E677" t="str">
            <v>㎥</v>
          </cell>
        </row>
        <row r="678">
          <cell r="A678" t="str">
            <v>-5</v>
          </cell>
          <cell r="B678" t="str">
            <v>구조물터파기</v>
          </cell>
          <cell r="C678" t="str">
            <v>(육상발파암;4M이상)</v>
          </cell>
          <cell r="D678">
            <v>307</v>
          </cell>
          <cell r="E678" t="str">
            <v>㎥</v>
          </cell>
        </row>
        <row r="679">
          <cell r="A679" t="str">
            <v>-6</v>
          </cell>
          <cell r="B679" t="str">
            <v>구조물터파기</v>
          </cell>
          <cell r="C679" t="str">
            <v>(수중토사:0-4M)</v>
          </cell>
          <cell r="D679">
            <v>1152</v>
          </cell>
          <cell r="E679" t="str">
            <v>㎥</v>
          </cell>
        </row>
        <row r="680">
          <cell r="A680" t="str">
            <v>-7</v>
          </cell>
          <cell r="B680" t="str">
            <v>구조물터파기</v>
          </cell>
          <cell r="C680" t="str">
            <v>(수중토사:4M이상)</v>
          </cell>
          <cell r="D680">
            <v>230</v>
          </cell>
          <cell r="E680" t="str">
            <v>㎥</v>
          </cell>
        </row>
        <row r="681">
          <cell r="A681" t="str">
            <v>-8</v>
          </cell>
          <cell r="B681" t="str">
            <v>구조물터파기</v>
          </cell>
          <cell r="C681" t="str">
            <v>(수중리핑암:4M이상)</v>
          </cell>
          <cell r="D681">
            <v>244</v>
          </cell>
          <cell r="E681" t="str">
            <v>㎥</v>
          </cell>
        </row>
        <row r="682">
          <cell r="A682" t="str">
            <v>-9</v>
          </cell>
          <cell r="B682" t="str">
            <v>되메우기및다짐</v>
          </cell>
          <cell r="C682" t="str">
            <v>(인력30%+기계70%)</v>
          </cell>
          <cell r="D682">
            <v>18726</v>
          </cell>
          <cell r="E682" t="str">
            <v>㎥</v>
          </cell>
        </row>
        <row r="683">
          <cell r="A683" t="str">
            <v>-10</v>
          </cell>
          <cell r="B683" t="str">
            <v>물푸기</v>
          </cell>
          <cell r="C683" t="str">
            <v>(교량등대형구조물)</v>
          </cell>
          <cell r="D683">
            <v>59</v>
          </cell>
          <cell r="E683" t="str">
            <v>HR</v>
          </cell>
        </row>
        <row r="684">
          <cell r="A684" t="str">
            <v>-11</v>
          </cell>
          <cell r="B684" t="str">
            <v>뒷채움및다짐</v>
          </cell>
          <cell r="D684">
            <v>517</v>
          </cell>
          <cell r="E684" t="str">
            <v>㎥</v>
          </cell>
        </row>
        <row r="685">
          <cell r="A685" t="str">
            <v>-12</v>
          </cell>
          <cell r="B685" t="str">
            <v>면정리및청소</v>
          </cell>
          <cell r="C685" t="str">
            <v>육상</v>
          </cell>
          <cell r="D685">
            <v>250</v>
          </cell>
          <cell r="E685" t="str">
            <v>M2</v>
          </cell>
        </row>
        <row r="686">
          <cell r="A686" t="str">
            <v>b</v>
          </cell>
          <cell r="B686" t="str">
            <v>강관파일공</v>
          </cell>
        </row>
        <row r="687">
          <cell r="A687" t="str">
            <v>-1</v>
          </cell>
          <cell r="B687" t="str">
            <v>강관파일자재비</v>
          </cell>
          <cell r="C687" t="str">
            <v>(Φ508.0M/M*12T)</v>
          </cell>
          <cell r="D687">
            <v>189</v>
          </cell>
          <cell r="E687" t="str">
            <v>M</v>
          </cell>
        </row>
        <row r="688">
          <cell r="A688" t="str">
            <v>-2</v>
          </cell>
          <cell r="B688" t="str">
            <v>항타비직항(송정E교)</v>
          </cell>
          <cell r="C688" t="str">
            <v>(Φ508.0*12T)</v>
          </cell>
          <cell r="D688">
            <v>175</v>
          </cell>
          <cell r="E688" t="str">
            <v>M</v>
          </cell>
        </row>
        <row r="689">
          <cell r="A689" t="str">
            <v>-3</v>
          </cell>
          <cell r="B689" t="str">
            <v>두부선단보강</v>
          </cell>
          <cell r="C689" t="str">
            <v>(Φ508.0M/M*12T)</v>
          </cell>
          <cell r="D689">
            <v>20</v>
          </cell>
          <cell r="E689" t="str">
            <v>개소</v>
          </cell>
        </row>
        <row r="690">
          <cell r="A690" t="str">
            <v>c</v>
          </cell>
          <cell r="B690" t="str">
            <v>콘크리트타설</v>
          </cell>
        </row>
        <row r="691">
          <cell r="A691" t="str">
            <v>-1</v>
          </cell>
          <cell r="B691" t="str">
            <v>무근콘크리트타설</v>
          </cell>
          <cell r="C691" t="str">
            <v>(진동기제외)</v>
          </cell>
          <cell r="D691">
            <v>1091</v>
          </cell>
          <cell r="E691" t="str">
            <v>㎥</v>
          </cell>
        </row>
        <row r="692">
          <cell r="A692" t="str">
            <v>-2</v>
          </cell>
          <cell r="B692" t="str">
            <v>철근콘크리트타설</v>
          </cell>
          <cell r="C692" t="str">
            <v>펌프카타설(0-15M)</v>
          </cell>
          <cell r="D692">
            <v>4034</v>
          </cell>
          <cell r="E692" t="str">
            <v>㎥</v>
          </cell>
        </row>
        <row r="693">
          <cell r="A693" t="str">
            <v>-3</v>
          </cell>
          <cell r="B693" t="str">
            <v>철근콘크리트타설</v>
          </cell>
          <cell r="C693" t="str">
            <v>펌프카타설(15M이상)</v>
          </cell>
          <cell r="D693">
            <v>709</v>
          </cell>
          <cell r="E693" t="str">
            <v>㎥</v>
          </cell>
        </row>
        <row r="694">
          <cell r="A694" t="str">
            <v>d</v>
          </cell>
          <cell r="B694" t="str">
            <v>스페이셔설치</v>
          </cell>
        </row>
        <row r="695">
          <cell r="A695" t="str">
            <v>-1</v>
          </cell>
          <cell r="B695" t="str">
            <v>스페이셔설치</v>
          </cell>
          <cell r="C695" t="str">
            <v>벽체용</v>
          </cell>
          <cell r="D695">
            <v>3287</v>
          </cell>
          <cell r="E695" t="str">
            <v>㎡</v>
          </cell>
        </row>
        <row r="696">
          <cell r="A696" t="str">
            <v>-2</v>
          </cell>
          <cell r="B696" t="str">
            <v>스페이서설치</v>
          </cell>
          <cell r="C696" t="str">
            <v>슬라브용</v>
          </cell>
          <cell r="D696">
            <v>3483</v>
          </cell>
          <cell r="E696" t="str">
            <v>㎡</v>
          </cell>
        </row>
        <row r="697">
          <cell r="A697" t="str">
            <v>e</v>
          </cell>
          <cell r="B697" t="str">
            <v>철근가공조립</v>
          </cell>
        </row>
        <row r="698">
          <cell r="A698" t="str">
            <v>-1</v>
          </cell>
          <cell r="B698" t="str">
            <v>철근가공조립</v>
          </cell>
          <cell r="C698" t="str">
            <v>(보통)</v>
          </cell>
          <cell r="D698">
            <v>68.697999999999993</v>
          </cell>
          <cell r="E698" t="str">
            <v>TON</v>
          </cell>
        </row>
        <row r="699">
          <cell r="A699" t="str">
            <v>-2</v>
          </cell>
          <cell r="B699" t="str">
            <v>철근가공조립</v>
          </cell>
          <cell r="C699" t="str">
            <v>(복잡)</v>
          </cell>
          <cell r="D699">
            <v>309.08800000000002</v>
          </cell>
          <cell r="E699" t="str">
            <v>TON</v>
          </cell>
        </row>
        <row r="700">
          <cell r="A700" t="str">
            <v>-3</v>
          </cell>
          <cell r="B700" t="str">
            <v>철근가공조립</v>
          </cell>
          <cell r="C700" t="str">
            <v>(매우복잡)</v>
          </cell>
          <cell r="D700">
            <v>780.79499999999996</v>
          </cell>
          <cell r="E700" t="str">
            <v>TON</v>
          </cell>
        </row>
        <row r="701">
          <cell r="A701" t="str">
            <v>f</v>
          </cell>
          <cell r="B701" t="str">
            <v>합판거푸집</v>
          </cell>
        </row>
        <row r="702">
          <cell r="A702" t="str">
            <v>-1</v>
          </cell>
          <cell r="B702" t="str">
            <v>합판거푸집</v>
          </cell>
          <cell r="C702" t="str">
            <v>(3회)0-7M</v>
          </cell>
          <cell r="D702">
            <v>426</v>
          </cell>
          <cell r="E702" t="str">
            <v>㎡</v>
          </cell>
        </row>
        <row r="703">
          <cell r="A703" t="str">
            <v>-2</v>
          </cell>
          <cell r="B703" t="str">
            <v>합판거푸집</v>
          </cell>
          <cell r="C703" t="str">
            <v>(3회)7-10M</v>
          </cell>
          <cell r="D703">
            <v>135</v>
          </cell>
          <cell r="E703" t="str">
            <v>㎡</v>
          </cell>
        </row>
        <row r="704">
          <cell r="A704" t="str">
            <v>-3</v>
          </cell>
          <cell r="B704" t="str">
            <v>합판거푸집</v>
          </cell>
          <cell r="C704" t="str">
            <v>(3회)13-16M</v>
          </cell>
          <cell r="D704">
            <v>50</v>
          </cell>
          <cell r="E704" t="str">
            <v>㎡</v>
          </cell>
        </row>
        <row r="705">
          <cell r="A705" t="str">
            <v>-4</v>
          </cell>
          <cell r="B705" t="str">
            <v>합판거푸집</v>
          </cell>
          <cell r="C705" t="str">
            <v>(3회)22-25M</v>
          </cell>
          <cell r="D705">
            <v>99</v>
          </cell>
          <cell r="E705" t="str">
            <v>㎡</v>
          </cell>
        </row>
        <row r="706">
          <cell r="A706" t="str">
            <v>-5</v>
          </cell>
          <cell r="B706" t="str">
            <v>합판거푸집</v>
          </cell>
          <cell r="C706" t="str">
            <v>(3회)25-28M</v>
          </cell>
          <cell r="D706">
            <v>49</v>
          </cell>
          <cell r="E706" t="str">
            <v>㎡</v>
          </cell>
        </row>
        <row r="707">
          <cell r="A707" t="str">
            <v>-6</v>
          </cell>
          <cell r="B707" t="str">
            <v>합판거푸집</v>
          </cell>
          <cell r="C707" t="str">
            <v>(3회)28-31M</v>
          </cell>
          <cell r="D707">
            <v>99</v>
          </cell>
          <cell r="E707" t="str">
            <v>㎡</v>
          </cell>
        </row>
        <row r="708">
          <cell r="A708" t="str">
            <v>-7</v>
          </cell>
          <cell r="B708" t="str">
            <v>합판거푸집</v>
          </cell>
          <cell r="C708" t="str">
            <v>(3회)31-34M</v>
          </cell>
          <cell r="D708">
            <v>72</v>
          </cell>
          <cell r="E708" t="str">
            <v>㎡</v>
          </cell>
        </row>
        <row r="709">
          <cell r="A709" t="str">
            <v>-8</v>
          </cell>
          <cell r="B709" t="str">
            <v>원형거푸집</v>
          </cell>
          <cell r="C709" t="str">
            <v>(3회 0-7M)</v>
          </cell>
          <cell r="D709">
            <v>461</v>
          </cell>
          <cell r="E709" t="str">
            <v>㎡</v>
          </cell>
        </row>
        <row r="710">
          <cell r="A710" t="str">
            <v>-9</v>
          </cell>
          <cell r="B710" t="str">
            <v>원형거푸집</v>
          </cell>
          <cell r="C710" t="str">
            <v>(3회 7-10M)</v>
          </cell>
          <cell r="D710">
            <v>197</v>
          </cell>
          <cell r="E710" t="str">
            <v>㎡</v>
          </cell>
        </row>
        <row r="711">
          <cell r="A711" t="str">
            <v>-10</v>
          </cell>
          <cell r="B711" t="str">
            <v>원형거푸집</v>
          </cell>
          <cell r="C711" t="str">
            <v>(3회 10-13M)</v>
          </cell>
          <cell r="D711">
            <v>190</v>
          </cell>
          <cell r="E711" t="str">
            <v>㎡</v>
          </cell>
        </row>
        <row r="712">
          <cell r="A712" t="str">
            <v>-11</v>
          </cell>
          <cell r="B712" t="str">
            <v>원형거푸집</v>
          </cell>
          <cell r="C712" t="str">
            <v>(3회 13-16M)</v>
          </cell>
          <cell r="D712">
            <v>180</v>
          </cell>
          <cell r="E712" t="str">
            <v>㎡</v>
          </cell>
        </row>
        <row r="713">
          <cell r="A713" t="str">
            <v>-12</v>
          </cell>
          <cell r="B713" t="str">
            <v>원형거푸집</v>
          </cell>
          <cell r="C713" t="str">
            <v>(3회 16-19M)</v>
          </cell>
          <cell r="D713">
            <v>169</v>
          </cell>
          <cell r="E713" t="str">
            <v>㎡</v>
          </cell>
        </row>
        <row r="714">
          <cell r="A714" t="str">
            <v>-13</v>
          </cell>
          <cell r="B714" t="str">
            <v>원형거푸집</v>
          </cell>
          <cell r="C714" t="str">
            <v>(3회 19-22M)</v>
          </cell>
          <cell r="D714">
            <v>137</v>
          </cell>
          <cell r="E714" t="str">
            <v>㎡</v>
          </cell>
        </row>
        <row r="715">
          <cell r="A715" t="str">
            <v>-14</v>
          </cell>
          <cell r="B715" t="str">
            <v>원형거푸집</v>
          </cell>
          <cell r="C715" t="str">
            <v>(3회 22-25M)</v>
          </cell>
          <cell r="D715">
            <v>135</v>
          </cell>
          <cell r="E715" t="str">
            <v>㎡</v>
          </cell>
        </row>
        <row r="716">
          <cell r="A716" t="str">
            <v>-15</v>
          </cell>
          <cell r="B716" t="str">
            <v>원형거푸집</v>
          </cell>
          <cell r="C716" t="str">
            <v>(3회 25-28M)</v>
          </cell>
          <cell r="D716">
            <v>61</v>
          </cell>
          <cell r="E716" t="str">
            <v>㎡</v>
          </cell>
        </row>
        <row r="717">
          <cell r="A717" t="str">
            <v>-16</v>
          </cell>
          <cell r="B717" t="str">
            <v>원형거푸집</v>
          </cell>
          <cell r="C717" t="str">
            <v>(3회 28-31M)</v>
          </cell>
          <cell r="D717">
            <v>33</v>
          </cell>
          <cell r="E717" t="str">
            <v>㎡</v>
          </cell>
        </row>
        <row r="718">
          <cell r="A718" t="str">
            <v>-17</v>
          </cell>
          <cell r="B718" t="str">
            <v>원형거푸집</v>
          </cell>
          <cell r="C718" t="str">
            <v>(3회)34-37M</v>
          </cell>
          <cell r="D718">
            <v>700</v>
          </cell>
          <cell r="E718" t="str">
            <v>M2</v>
          </cell>
        </row>
        <row r="719">
          <cell r="A719" t="str">
            <v>-18</v>
          </cell>
          <cell r="B719" t="str">
            <v>합판거푸집</v>
          </cell>
          <cell r="C719" t="str">
            <v>(소형6회)</v>
          </cell>
          <cell r="D719">
            <v>399</v>
          </cell>
          <cell r="E719" t="str">
            <v>㎡</v>
          </cell>
        </row>
        <row r="720">
          <cell r="A720" t="str">
            <v>-19</v>
          </cell>
          <cell r="B720" t="str">
            <v>합판거푸집</v>
          </cell>
          <cell r="C720" t="str">
            <v>(소형4회)</v>
          </cell>
          <cell r="D720">
            <v>100</v>
          </cell>
          <cell r="E720" t="str">
            <v>㎡</v>
          </cell>
        </row>
        <row r="721">
          <cell r="A721" t="str">
            <v>-20</v>
          </cell>
          <cell r="B721" t="str">
            <v>합판거푸집</v>
          </cell>
          <cell r="C721" t="str">
            <v>(소형3회)</v>
          </cell>
          <cell r="D721">
            <v>3174</v>
          </cell>
          <cell r="E721" t="str">
            <v>㎡</v>
          </cell>
        </row>
        <row r="722">
          <cell r="A722" t="str">
            <v>g</v>
          </cell>
          <cell r="B722" t="str">
            <v>비계</v>
          </cell>
          <cell r="C722" t="str">
            <v>(강관)0-30M</v>
          </cell>
          <cell r="D722">
            <v>4873</v>
          </cell>
          <cell r="E722" t="str">
            <v>㎡</v>
          </cell>
        </row>
        <row r="723">
          <cell r="A723" t="str">
            <v>h</v>
          </cell>
          <cell r="B723" t="str">
            <v>동바리공</v>
          </cell>
        </row>
        <row r="724">
          <cell r="A724" t="str">
            <v>-1</v>
          </cell>
          <cell r="B724" t="str">
            <v>강관동바리</v>
          </cell>
          <cell r="C724" t="str">
            <v>(교량용)</v>
          </cell>
          <cell r="D724">
            <v>2078</v>
          </cell>
          <cell r="E724" t="str">
            <v>공㎥</v>
          </cell>
        </row>
        <row r="725">
          <cell r="A725" t="str">
            <v>-2</v>
          </cell>
          <cell r="B725" t="str">
            <v>동바리공</v>
          </cell>
          <cell r="C725" t="str">
            <v>(목재4회)</v>
          </cell>
          <cell r="D725">
            <v>2941</v>
          </cell>
          <cell r="E725" t="str">
            <v>공㎥</v>
          </cell>
        </row>
        <row r="726">
          <cell r="A726" t="str">
            <v>i</v>
          </cell>
          <cell r="B726" t="str">
            <v>무수축콘크리트</v>
          </cell>
        </row>
        <row r="727">
          <cell r="A727" t="str">
            <v>-1</v>
          </cell>
          <cell r="B727" t="str">
            <v>무수축몰탈</v>
          </cell>
          <cell r="C727" t="str">
            <v>1:1</v>
          </cell>
          <cell r="D727">
            <v>1.0049999999999999</v>
          </cell>
          <cell r="E727" t="str">
            <v>㎥</v>
          </cell>
        </row>
        <row r="728">
          <cell r="A728" t="str">
            <v>-2</v>
          </cell>
          <cell r="B728" t="str">
            <v>무수축콘크리트</v>
          </cell>
          <cell r="D728">
            <v>5.7149999999999999</v>
          </cell>
          <cell r="E728" t="str">
            <v>㎥</v>
          </cell>
        </row>
        <row r="729">
          <cell r="A729" t="str">
            <v>j</v>
          </cell>
          <cell r="B729" t="str">
            <v>교좌장치</v>
          </cell>
        </row>
        <row r="730">
          <cell r="A730" t="str">
            <v>-1</v>
          </cell>
          <cell r="B730" t="str">
            <v>POT BEARING</v>
          </cell>
          <cell r="C730" t="str">
            <v>일방향250TON</v>
          </cell>
          <cell r="D730">
            <v>4</v>
          </cell>
          <cell r="E730" t="str">
            <v>EA</v>
          </cell>
        </row>
        <row r="731">
          <cell r="A731" t="str">
            <v>-2</v>
          </cell>
          <cell r="B731" t="str">
            <v>POT BEARING</v>
          </cell>
          <cell r="C731" t="str">
            <v>양방향250TON</v>
          </cell>
          <cell r="D731">
            <v>4</v>
          </cell>
          <cell r="E731" t="str">
            <v>EA</v>
          </cell>
        </row>
        <row r="732">
          <cell r="A732" t="str">
            <v>-3</v>
          </cell>
          <cell r="B732" t="str">
            <v>POT BEARING</v>
          </cell>
          <cell r="C732" t="str">
            <v>고정단550TON</v>
          </cell>
          <cell r="D732">
            <v>2</v>
          </cell>
          <cell r="E732" t="str">
            <v>EA</v>
          </cell>
        </row>
        <row r="733">
          <cell r="A733" t="str">
            <v>-4</v>
          </cell>
          <cell r="B733" t="str">
            <v>POT BEARING</v>
          </cell>
          <cell r="C733" t="str">
            <v>일방향550TON</v>
          </cell>
          <cell r="D733">
            <v>6</v>
          </cell>
          <cell r="E733" t="str">
            <v>EA</v>
          </cell>
        </row>
        <row r="734">
          <cell r="A734" t="str">
            <v>-5</v>
          </cell>
          <cell r="B734" t="str">
            <v>POT BEARING</v>
          </cell>
          <cell r="C734" t="str">
            <v>양방향550TON</v>
          </cell>
          <cell r="D734">
            <v>4</v>
          </cell>
          <cell r="E734" t="str">
            <v>EA</v>
          </cell>
        </row>
        <row r="735">
          <cell r="A735" t="str">
            <v>k</v>
          </cell>
          <cell r="B735" t="str">
            <v>신축이음장치</v>
          </cell>
        </row>
        <row r="736">
          <cell r="A736" t="str">
            <v>-1</v>
          </cell>
          <cell r="B736" t="str">
            <v>신축이음장치</v>
          </cell>
          <cell r="C736" t="str">
            <v>(NO100)</v>
          </cell>
          <cell r="D736">
            <v>13</v>
          </cell>
          <cell r="E736" t="str">
            <v>M</v>
          </cell>
        </row>
        <row r="737">
          <cell r="A737" t="str">
            <v>-2</v>
          </cell>
          <cell r="B737" t="str">
            <v>신축이음장치</v>
          </cell>
          <cell r="C737" t="str">
            <v>(NO240)</v>
          </cell>
          <cell r="D737">
            <v>6</v>
          </cell>
          <cell r="E737" t="str">
            <v>M</v>
          </cell>
        </row>
        <row r="738">
          <cell r="A738" t="str">
            <v>l</v>
          </cell>
          <cell r="B738" t="str">
            <v>표면처리공</v>
          </cell>
        </row>
        <row r="739">
          <cell r="A739" t="str">
            <v>-1</v>
          </cell>
          <cell r="B739" t="str">
            <v>면고르기</v>
          </cell>
          <cell r="C739" t="str">
            <v>DECK FINISHER</v>
          </cell>
          <cell r="D739">
            <v>2322</v>
          </cell>
          <cell r="E739" t="str">
            <v>㎡</v>
          </cell>
        </row>
        <row r="740">
          <cell r="A740" t="str">
            <v>-2</v>
          </cell>
          <cell r="B740" t="str">
            <v>슬라브양생</v>
          </cell>
          <cell r="C740" t="str">
            <v>(도막양생)</v>
          </cell>
          <cell r="D740">
            <v>2322</v>
          </cell>
          <cell r="E740" t="str">
            <v>㎡</v>
          </cell>
        </row>
        <row r="741">
          <cell r="A741" t="str">
            <v>-3</v>
          </cell>
          <cell r="B741" t="str">
            <v>교면방수</v>
          </cell>
          <cell r="C741" t="str">
            <v>(도막방수)</v>
          </cell>
          <cell r="D741">
            <v>2322</v>
          </cell>
          <cell r="E741" t="str">
            <v>㎡</v>
          </cell>
        </row>
        <row r="742">
          <cell r="A742" t="str">
            <v>m</v>
          </cell>
          <cell r="B742" t="str">
            <v>교량명판공</v>
          </cell>
        </row>
        <row r="743">
          <cell r="A743" t="str">
            <v>-1</v>
          </cell>
          <cell r="B743" t="str">
            <v>교명주</v>
          </cell>
          <cell r="C743" t="str">
            <v>(1000*500*350)</v>
          </cell>
          <cell r="D743">
            <v>4</v>
          </cell>
          <cell r="E743" t="str">
            <v>EA</v>
          </cell>
        </row>
        <row r="744">
          <cell r="A744" t="str">
            <v>-2</v>
          </cell>
          <cell r="B744" t="str">
            <v>교명판</v>
          </cell>
          <cell r="D744">
            <v>2</v>
          </cell>
          <cell r="E744" t="str">
            <v>EA</v>
          </cell>
        </row>
        <row r="745">
          <cell r="A745" t="str">
            <v>-3</v>
          </cell>
          <cell r="B745" t="str">
            <v>설명판</v>
          </cell>
          <cell r="C745" t="str">
            <v>(500X300X10)</v>
          </cell>
          <cell r="D745">
            <v>2</v>
          </cell>
          <cell r="E745" t="str">
            <v>EA</v>
          </cell>
        </row>
        <row r="746">
          <cell r="A746" t="str">
            <v>-4</v>
          </cell>
          <cell r="B746" t="str">
            <v>TBM 설치</v>
          </cell>
          <cell r="D746">
            <v>2</v>
          </cell>
          <cell r="E746" t="str">
            <v>EA</v>
          </cell>
        </row>
        <row r="747">
          <cell r="A747" t="str">
            <v>n</v>
          </cell>
          <cell r="B747" t="str">
            <v>다월바설치</v>
          </cell>
          <cell r="D747">
            <v>30</v>
          </cell>
          <cell r="E747" t="str">
            <v>EA</v>
          </cell>
        </row>
        <row r="748">
          <cell r="A748" t="str">
            <v>o</v>
          </cell>
          <cell r="B748" t="str">
            <v>스치로폴</v>
          </cell>
          <cell r="C748" t="str">
            <v>(신축이음T=20M/M)</v>
          </cell>
          <cell r="D748">
            <v>4</v>
          </cell>
          <cell r="E748" t="str">
            <v>㎡</v>
          </cell>
        </row>
        <row r="749">
          <cell r="A749" t="str">
            <v>p</v>
          </cell>
          <cell r="B749" t="str">
            <v>교량용집수구</v>
          </cell>
        </row>
        <row r="750">
          <cell r="A750" t="str">
            <v>-1</v>
          </cell>
          <cell r="B750" t="str">
            <v>집수구</v>
          </cell>
          <cell r="C750" t="str">
            <v>(주철)</v>
          </cell>
          <cell r="D750">
            <v>18</v>
          </cell>
          <cell r="E750" t="str">
            <v>EA</v>
          </cell>
        </row>
        <row r="751">
          <cell r="A751" t="str">
            <v>-2</v>
          </cell>
          <cell r="B751" t="str">
            <v>연결배수구</v>
          </cell>
          <cell r="C751" t="str">
            <v>(스텐레스)</v>
          </cell>
          <cell r="D751">
            <v>4</v>
          </cell>
          <cell r="E751" t="str">
            <v>EA</v>
          </cell>
        </row>
        <row r="752">
          <cell r="A752" t="str">
            <v>-3</v>
          </cell>
          <cell r="B752" t="str">
            <v>직관</v>
          </cell>
          <cell r="C752" t="str">
            <v>(Φ150)</v>
          </cell>
          <cell r="D752">
            <v>76</v>
          </cell>
          <cell r="E752" t="str">
            <v>M</v>
          </cell>
        </row>
        <row r="753">
          <cell r="A753" t="str">
            <v>-4</v>
          </cell>
          <cell r="B753" t="str">
            <v>육교용곡관</v>
          </cell>
          <cell r="D753">
            <v>10</v>
          </cell>
          <cell r="E753" t="str">
            <v>EA</v>
          </cell>
        </row>
        <row r="754">
          <cell r="A754" t="str">
            <v>-5</v>
          </cell>
          <cell r="B754" t="str">
            <v>연결부</v>
          </cell>
          <cell r="C754" t="str">
            <v>(스텐레스)</v>
          </cell>
          <cell r="D754">
            <v>76</v>
          </cell>
          <cell r="E754" t="str">
            <v>EA</v>
          </cell>
        </row>
        <row r="755">
          <cell r="A755" t="str">
            <v>-6</v>
          </cell>
          <cell r="B755" t="str">
            <v>하천용배수구</v>
          </cell>
          <cell r="C755" t="str">
            <v>(아연도강관D=150MM)</v>
          </cell>
          <cell r="D755">
            <v>44</v>
          </cell>
          <cell r="E755" t="str">
            <v>M</v>
          </cell>
        </row>
        <row r="756">
          <cell r="A756" t="str">
            <v>q</v>
          </cell>
          <cell r="B756" t="str">
            <v>전선관</v>
          </cell>
          <cell r="C756" t="str">
            <v>P.V.C PIPE</v>
          </cell>
          <cell r="D756">
            <v>714</v>
          </cell>
          <cell r="E756" t="str">
            <v>M</v>
          </cell>
        </row>
        <row r="757">
          <cell r="A757" t="str">
            <v>r</v>
          </cell>
          <cell r="B757" t="str">
            <v>환풍기받침대설치</v>
          </cell>
          <cell r="D757">
            <v>16</v>
          </cell>
          <cell r="E757" t="str">
            <v>EA</v>
          </cell>
        </row>
        <row r="758">
          <cell r="A758" t="str">
            <v>s</v>
          </cell>
          <cell r="B758" t="str">
            <v>강교가설</v>
          </cell>
        </row>
        <row r="759">
          <cell r="A759" t="str">
            <v>-1</v>
          </cell>
          <cell r="B759" t="str">
            <v>강교제작</v>
          </cell>
          <cell r="C759" t="str">
            <v>(송정IC RAMP-E교)</v>
          </cell>
          <cell r="D759">
            <v>1131.6469999999999</v>
          </cell>
          <cell r="E759" t="str">
            <v>TON</v>
          </cell>
        </row>
        <row r="760">
          <cell r="A760" t="str">
            <v>-2</v>
          </cell>
          <cell r="B760" t="str">
            <v>강교운반및가설</v>
          </cell>
          <cell r="C760" t="str">
            <v>(송정IC RAMP-E교)</v>
          </cell>
          <cell r="D760">
            <v>1131.6469999999999</v>
          </cell>
          <cell r="E760" t="str">
            <v>TON</v>
          </cell>
        </row>
        <row r="761">
          <cell r="A761" t="str">
            <v>-3</v>
          </cell>
          <cell r="B761" t="str">
            <v>내부도장</v>
          </cell>
          <cell r="C761" t="str">
            <v>(공장)</v>
          </cell>
          <cell r="D761">
            <v>12497</v>
          </cell>
          <cell r="E761" t="str">
            <v>㎡</v>
          </cell>
        </row>
        <row r="762">
          <cell r="A762" t="str">
            <v>-4</v>
          </cell>
          <cell r="B762" t="str">
            <v>연결판도장</v>
          </cell>
          <cell r="C762" t="str">
            <v>(공장)</v>
          </cell>
          <cell r="D762">
            <v>1178</v>
          </cell>
          <cell r="E762" t="str">
            <v>㎡</v>
          </cell>
        </row>
        <row r="763">
          <cell r="A763" t="str">
            <v>-5</v>
          </cell>
          <cell r="B763" t="str">
            <v>내부볼트및연결판도장</v>
          </cell>
          <cell r="C763" t="str">
            <v>(현장)</v>
          </cell>
          <cell r="D763">
            <v>311</v>
          </cell>
          <cell r="E763" t="str">
            <v>㎡</v>
          </cell>
        </row>
        <row r="764">
          <cell r="A764" t="str">
            <v>-6</v>
          </cell>
          <cell r="B764" t="str">
            <v>외부도장</v>
          </cell>
          <cell r="C764" t="str">
            <v>(공장)</v>
          </cell>
          <cell r="D764">
            <v>8004</v>
          </cell>
          <cell r="E764" t="str">
            <v>㎡</v>
          </cell>
        </row>
        <row r="765">
          <cell r="A765" t="str">
            <v>-7</v>
          </cell>
          <cell r="B765" t="str">
            <v>외부포장면도장</v>
          </cell>
          <cell r="C765" t="str">
            <v>(공장)</v>
          </cell>
          <cell r="D765">
            <v>1590</v>
          </cell>
          <cell r="E765" t="str">
            <v>㎡</v>
          </cell>
        </row>
        <row r="766">
          <cell r="A766" t="str">
            <v>-8</v>
          </cell>
          <cell r="B766" t="str">
            <v>외부볼트및연결판도장</v>
          </cell>
          <cell r="C766" t="str">
            <v>(현장)</v>
          </cell>
          <cell r="D766">
            <v>867</v>
          </cell>
          <cell r="E766" t="str">
            <v>㎡</v>
          </cell>
        </row>
        <row r="767">
          <cell r="A767" t="str">
            <v>-9</v>
          </cell>
          <cell r="B767" t="str">
            <v>외부도장</v>
          </cell>
          <cell r="C767" t="str">
            <v>(현장)</v>
          </cell>
          <cell r="D767">
            <v>1200</v>
          </cell>
          <cell r="E767" t="str">
            <v>㎡</v>
          </cell>
        </row>
        <row r="768">
          <cell r="A768" t="str">
            <v>t</v>
          </cell>
          <cell r="B768" t="str">
            <v>기타공</v>
          </cell>
        </row>
        <row r="769">
          <cell r="A769" t="str">
            <v>-1</v>
          </cell>
          <cell r="B769" t="str">
            <v>낙교방지책</v>
          </cell>
          <cell r="C769" t="str">
            <v>(1SHOE,TYPE-1)</v>
          </cell>
          <cell r="D769">
            <v>8</v>
          </cell>
          <cell r="E769" t="str">
            <v>EA</v>
          </cell>
        </row>
        <row r="770">
          <cell r="A770" t="str">
            <v>-2</v>
          </cell>
          <cell r="B770" t="str">
            <v>낙교방지책</v>
          </cell>
          <cell r="C770" t="str">
            <v>(1SHOE,TYPE-2)</v>
          </cell>
          <cell r="D770">
            <v>8</v>
          </cell>
          <cell r="E770" t="str">
            <v>EA</v>
          </cell>
        </row>
        <row r="771">
          <cell r="A771" t="str">
            <v>-3</v>
          </cell>
          <cell r="B771" t="str">
            <v>낙교방지책</v>
          </cell>
          <cell r="C771" t="str">
            <v>(1SHOE, TYPE-3)</v>
          </cell>
          <cell r="D771">
            <v>4</v>
          </cell>
          <cell r="E771" t="str">
            <v>EA</v>
          </cell>
        </row>
        <row r="772">
          <cell r="A772" t="str">
            <v>-4</v>
          </cell>
          <cell r="B772" t="str">
            <v>안전점검통로</v>
          </cell>
          <cell r="C772" t="str">
            <v>교축방향(TYPE-1)</v>
          </cell>
          <cell r="D772">
            <v>73</v>
          </cell>
          <cell r="E772" t="str">
            <v>개소</v>
          </cell>
        </row>
        <row r="773">
          <cell r="A773" t="str">
            <v>-5</v>
          </cell>
          <cell r="B773" t="str">
            <v>안전점검통로(송정E교</v>
          </cell>
          <cell r="C773" t="str">
            <v>(교축직각방향TYPE-1)</v>
          </cell>
          <cell r="D773">
            <v>6</v>
          </cell>
          <cell r="E773" t="str">
            <v>개소</v>
          </cell>
        </row>
        <row r="774">
          <cell r="A774" t="str">
            <v>-6</v>
          </cell>
          <cell r="B774" t="str">
            <v>안전점검통로(송정E교</v>
          </cell>
          <cell r="C774" t="str">
            <v>교축직각방향(TYPE-2)</v>
          </cell>
          <cell r="D774">
            <v>1</v>
          </cell>
          <cell r="E774" t="str">
            <v>개소</v>
          </cell>
        </row>
        <row r="775">
          <cell r="A775" t="str">
            <v>-7</v>
          </cell>
          <cell r="B775" t="str">
            <v>내부출입구설치</v>
          </cell>
          <cell r="C775" t="str">
            <v>LOWER FLANGE</v>
          </cell>
          <cell r="D775">
            <v>8</v>
          </cell>
          <cell r="E775" t="str">
            <v>EA</v>
          </cell>
        </row>
        <row r="776">
          <cell r="A776" t="str">
            <v>-8</v>
          </cell>
          <cell r="B776" t="str">
            <v>내부출입구설치</v>
          </cell>
          <cell r="C776" t="str">
            <v>DIAPHRAGM</v>
          </cell>
          <cell r="D776">
            <v>8</v>
          </cell>
          <cell r="E776" t="str">
            <v>EA</v>
          </cell>
        </row>
        <row r="777">
          <cell r="A777" t="str">
            <v>-9</v>
          </cell>
          <cell r="B777" t="str">
            <v>내부출입구설치</v>
          </cell>
          <cell r="C777" t="str">
            <v>WEB</v>
          </cell>
          <cell r="D777">
            <v>12</v>
          </cell>
          <cell r="E777" t="str">
            <v>EA</v>
          </cell>
        </row>
        <row r="778">
          <cell r="A778" t="str">
            <v>u</v>
          </cell>
          <cell r="B778" t="str">
            <v>가 도</v>
          </cell>
        </row>
        <row r="779">
          <cell r="A779" t="str">
            <v>-1</v>
          </cell>
          <cell r="B779" t="str">
            <v>가도공흙쌓기</v>
          </cell>
          <cell r="D779">
            <v>2924</v>
          </cell>
          <cell r="E779" t="str">
            <v>M3</v>
          </cell>
        </row>
        <row r="780">
          <cell r="A780" t="str">
            <v>-2</v>
          </cell>
          <cell r="B780" t="str">
            <v>가마니쌓기및헐기</v>
          </cell>
          <cell r="D780">
            <v>647</v>
          </cell>
          <cell r="E780" t="str">
            <v>M2</v>
          </cell>
        </row>
        <row r="781">
          <cell r="A781" t="str">
            <v>v</v>
          </cell>
          <cell r="B781" t="str">
            <v>가시설</v>
          </cell>
          <cell r="C781" t="str">
            <v>(교각부)</v>
          </cell>
        </row>
        <row r="782">
          <cell r="A782" t="str">
            <v>-1</v>
          </cell>
          <cell r="B782" t="str">
            <v>강널말뚝자재비</v>
          </cell>
          <cell r="C782" t="str">
            <v>400*150*13</v>
          </cell>
          <cell r="D782">
            <v>209</v>
          </cell>
          <cell r="E782" t="str">
            <v>TON</v>
          </cell>
        </row>
        <row r="783">
          <cell r="A783" t="str">
            <v>-2</v>
          </cell>
          <cell r="B783" t="str">
            <v>강널말뚝 항타(송정IC</v>
          </cell>
          <cell r="C783" t="str">
            <v>RAMP-E교,가시설용)</v>
          </cell>
          <cell r="D783">
            <v>2147</v>
          </cell>
          <cell r="E783" t="str">
            <v>M</v>
          </cell>
        </row>
        <row r="784">
          <cell r="A784" t="str">
            <v>-3</v>
          </cell>
          <cell r="B784" t="str">
            <v>강널말뚝 뽑기(송정IC</v>
          </cell>
          <cell r="C784" t="str">
            <v>RAMP-E교)가시설용</v>
          </cell>
          <cell r="D784">
            <v>2147</v>
          </cell>
          <cell r="E784" t="str">
            <v>M</v>
          </cell>
        </row>
        <row r="785">
          <cell r="A785" t="str">
            <v>-4</v>
          </cell>
          <cell r="B785" t="str">
            <v>띠장설치및철거(송정)</v>
          </cell>
          <cell r="C785" t="str">
            <v>RAMP-A,E교</v>
          </cell>
          <cell r="D785">
            <v>287</v>
          </cell>
          <cell r="E785" t="str">
            <v>M</v>
          </cell>
        </row>
        <row r="786">
          <cell r="A786" t="str">
            <v>-5</v>
          </cell>
          <cell r="B786" t="str">
            <v>L형강설치및철거</v>
          </cell>
          <cell r="C786" t="str">
            <v>100*100*10</v>
          </cell>
          <cell r="D786">
            <v>64</v>
          </cell>
          <cell r="E786" t="str">
            <v>M</v>
          </cell>
        </row>
        <row r="787">
          <cell r="A787" t="str">
            <v>-6</v>
          </cell>
          <cell r="B787" t="str">
            <v>보걸이 설치</v>
          </cell>
          <cell r="D787">
            <v>144</v>
          </cell>
          <cell r="E787" t="str">
            <v>EA</v>
          </cell>
        </row>
        <row r="788">
          <cell r="A788" t="str">
            <v>-7</v>
          </cell>
          <cell r="B788" t="str">
            <v>강판설치</v>
          </cell>
          <cell r="D788">
            <v>13.866</v>
          </cell>
          <cell r="E788" t="str">
            <v>TON</v>
          </cell>
        </row>
        <row r="789">
          <cell r="A789" t="str">
            <v>w</v>
          </cell>
          <cell r="B789" t="str">
            <v>가교가설(송정R-E)</v>
          </cell>
          <cell r="C789" t="str">
            <v>(L=70.0M,B=8.01M)</v>
          </cell>
          <cell r="D789">
            <v>1</v>
          </cell>
          <cell r="E789" t="str">
            <v>L.S</v>
          </cell>
        </row>
        <row r="790">
          <cell r="A790" t="str">
            <v>x</v>
          </cell>
          <cell r="B790" t="str">
            <v>검사시험</v>
          </cell>
        </row>
        <row r="791">
          <cell r="A791" t="str">
            <v>-1</v>
          </cell>
          <cell r="B791" t="str">
            <v>방사선투과검사</v>
          </cell>
          <cell r="C791" t="str">
            <v>R.T</v>
          </cell>
          <cell r="D791">
            <v>58</v>
          </cell>
          <cell r="E791" t="str">
            <v>SHEET</v>
          </cell>
        </row>
        <row r="792">
          <cell r="A792" t="str">
            <v>-2</v>
          </cell>
          <cell r="B792" t="str">
            <v>초음파탐상검사</v>
          </cell>
          <cell r="C792" t="str">
            <v>U.T</v>
          </cell>
          <cell r="D792">
            <v>36</v>
          </cell>
          <cell r="E792" t="str">
            <v>M</v>
          </cell>
        </row>
        <row r="793">
          <cell r="A793" t="str">
            <v>y</v>
          </cell>
          <cell r="B793" t="str">
            <v>자재비</v>
          </cell>
        </row>
        <row r="794">
          <cell r="A794" t="str">
            <v>-1</v>
          </cell>
          <cell r="B794" t="str">
            <v>레미콘</v>
          </cell>
          <cell r="C794" t="str">
            <v>25-240-12</v>
          </cell>
          <cell r="D794">
            <v>885</v>
          </cell>
          <cell r="E794" t="str">
            <v>㎥</v>
          </cell>
        </row>
        <row r="795">
          <cell r="A795" t="str">
            <v>-2</v>
          </cell>
          <cell r="B795" t="str">
            <v>레미콘</v>
          </cell>
          <cell r="C795" t="str">
            <v>25-210-12</v>
          </cell>
          <cell r="D795">
            <v>3905</v>
          </cell>
          <cell r="E795" t="str">
            <v>㎥</v>
          </cell>
        </row>
        <row r="796">
          <cell r="A796" t="str">
            <v>-3</v>
          </cell>
          <cell r="B796" t="str">
            <v>레미콘</v>
          </cell>
          <cell r="C796" t="str">
            <v>40-180-8</v>
          </cell>
          <cell r="D796">
            <v>960</v>
          </cell>
          <cell r="E796" t="str">
            <v>㎥</v>
          </cell>
        </row>
        <row r="797">
          <cell r="A797" t="str">
            <v>-4</v>
          </cell>
          <cell r="B797" t="str">
            <v>레미콘</v>
          </cell>
          <cell r="C797" t="str">
            <v>40-160-8</v>
          </cell>
          <cell r="D797">
            <v>152</v>
          </cell>
          <cell r="E797" t="str">
            <v>㎥</v>
          </cell>
        </row>
        <row r="798">
          <cell r="A798" t="str">
            <v>-5</v>
          </cell>
          <cell r="B798" t="str">
            <v>시멘트</v>
          </cell>
          <cell r="C798" t="str">
            <v>40㎏/대</v>
          </cell>
          <cell r="D798">
            <v>110</v>
          </cell>
          <cell r="E798" t="str">
            <v>대</v>
          </cell>
        </row>
        <row r="799">
          <cell r="A799" t="str">
            <v>-6</v>
          </cell>
          <cell r="B799" t="str">
            <v>철근</v>
          </cell>
          <cell r="C799" t="str">
            <v>SD40 H16M/M 이상</v>
          </cell>
          <cell r="D799">
            <v>281.25599999999997</v>
          </cell>
          <cell r="E799" t="str">
            <v>TON</v>
          </cell>
        </row>
        <row r="800">
          <cell r="A800" t="str">
            <v>-7</v>
          </cell>
          <cell r="B800" t="str">
            <v>철근</v>
          </cell>
          <cell r="C800" t="str">
            <v>SD40 H13M/M</v>
          </cell>
          <cell r="D800">
            <v>3.8719999999999999</v>
          </cell>
          <cell r="E800" t="str">
            <v>TON</v>
          </cell>
        </row>
        <row r="801">
          <cell r="A801" t="str">
            <v>-8</v>
          </cell>
          <cell r="B801" t="str">
            <v>철근</v>
          </cell>
          <cell r="C801" t="str">
            <v>SD30 D16M/M 이상</v>
          </cell>
          <cell r="D801">
            <v>891.32</v>
          </cell>
          <cell r="E801" t="str">
            <v>TON</v>
          </cell>
        </row>
        <row r="802">
          <cell r="A802" t="str">
            <v>-9</v>
          </cell>
          <cell r="B802" t="str">
            <v>철근</v>
          </cell>
          <cell r="C802" t="str">
            <v>SD30 D13M/M</v>
          </cell>
          <cell r="D802">
            <v>18.754000000000001</v>
          </cell>
          <cell r="E802" t="str">
            <v>TON</v>
          </cell>
        </row>
        <row r="803">
          <cell r="A803" t="str">
            <v>3.06</v>
          </cell>
          <cell r="B803" t="str">
            <v>건계정육교(RC RAHMEN</v>
          </cell>
          <cell r="C803" t="str">
            <v>)L=15.0, B=21.0</v>
          </cell>
        </row>
        <row r="804">
          <cell r="A804" t="str">
            <v>a</v>
          </cell>
          <cell r="B804" t="str">
            <v>토  공</v>
          </cell>
        </row>
        <row r="805">
          <cell r="A805" t="str">
            <v>-1</v>
          </cell>
          <cell r="B805" t="str">
            <v>구조물터파기</v>
          </cell>
          <cell r="C805" t="str">
            <v>(육상토사:0-4M)</v>
          </cell>
          <cell r="D805">
            <v>1504</v>
          </cell>
          <cell r="E805" t="str">
            <v>㎥</v>
          </cell>
        </row>
        <row r="806">
          <cell r="A806" t="str">
            <v>-2</v>
          </cell>
          <cell r="B806" t="str">
            <v>되메우기및다짐</v>
          </cell>
          <cell r="C806" t="str">
            <v>(인력30%+기계70%)</v>
          </cell>
          <cell r="D806">
            <v>1045</v>
          </cell>
          <cell r="E806" t="str">
            <v>㎥</v>
          </cell>
        </row>
        <row r="807">
          <cell r="A807" t="str">
            <v>-3</v>
          </cell>
          <cell r="B807" t="str">
            <v>뒷채움및다짐</v>
          </cell>
          <cell r="D807">
            <v>1473</v>
          </cell>
          <cell r="E807" t="str">
            <v>㎥</v>
          </cell>
        </row>
        <row r="808">
          <cell r="A808" t="str">
            <v>b</v>
          </cell>
          <cell r="B808" t="str">
            <v>강관파일공</v>
          </cell>
        </row>
        <row r="809">
          <cell r="A809" t="str">
            <v>-1</v>
          </cell>
          <cell r="B809" t="str">
            <v>강관파일자재비</v>
          </cell>
          <cell r="C809" t="str">
            <v>(Φ508.0M/M*12T)</v>
          </cell>
          <cell r="D809">
            <v>1764</v>
          </cell>
          <cell r="E809" t="str">
            <v>M</v>
          </cell>
        </row>
        <row r="810">
          <cell r="A810" t="str">
            <v>-2</v>
          </cell>
          <cell r="B810" t="str">
            <v>항타비직항(건계정육</v>
          </cell>
          <cell r="C810" t="str">
            <v>Φ508.0*12T)15M이상</v>
          </cell>
          <cell r="D810">
            <v>1656</v>
          </cell>
          <cell r="E810" t="str">
            <v>M</v>
          </cell>
        </row>
        <row r="811">
          <cell r="A811" t="str">
            <v>-3</v>
          </cell>
          <cell r="B811" t="str">
            <v>두부선단보강</v>
          </cell>
          <cell r="C811" t="str">
            <v>(Φ508.0M/M*12T)</v>
          </cell>
          <cell r="D811">
            <v>96</v>
          </cell>
          <cell r="E811" t="str">
            <v>개소</v>
          </cell>
        </row>
        <row r="812">
          <cell r="A812" t="str">
            <v>-4</v>
          </cell>
          <cell r="B812" t="str">
            <v>강관파일이음</v>
          </cell>
          <cell r="C812" t="str">
            <v>(Φ508.0M/M)</v>
          </cell>
          <cell r="D812">
            <v>96</v>
          </cell>
          <cell r="E812" t="str">
            <v>개소</v>
          </cell>
        </row>
        <row r="813">
          <cell r="A813" t="str">
            <v>c</v>
          </cell>
          <cell r="B813" t="str">
            <v>콘크리트타설</v>
          </cell>
        </row>
        <row r="814">
          <cell r="A814" t="str">
            <v>-1</v>
          </cell>
          <cell r="B814" t="str">
            <v>무근콘크리트타설</v>
          </cell>
          <cell r="C814" t="str">
            <v>(진동기제외)</v>
          </cell>
          <cell r="D814">
            <v>21</v>
          </cell>
          <cell r="E814" t="str">
            <v>㎥</v>
          </cell>
        </row>
        <row r="815">
          <cell r="A815" t="str">
            <v>-2</v>
          </cell>
          <cell r="B815" t="str">
            <v>철근콘크리트타설</v>
          </cell>
          <cell r="C815" t="str">
            <v>펌프카타설(0-15M)</v>
          </cell>
          <cell r="D815">
            <v>1035</v>
          </cell>
          <cell r="E815" t="str">
            <v>㎥</v>
          </cell>
        </row>
        <row r="816">
          <cell r="A816" t="str">
            <v>d</v>
          </cell>
          <cell r="B816" t="str">
            <v>스페이셔설치</v>
          </cell>
        </row>
        <row r="817">
          <cell r="A817" t="str">
            <v>-1</v>
          </cell>
          <cell r="B817" t="str">
            <v>스페이셔설치</v>
          </cell>
          <cell r="C817" t="str">
            <v>벽체용</v>
          </cell>
          <cell r="D817">
            <v>1360</v>
          </cell>
          <cell r="E817" t="str">
            <v>㎡</v>
          </cell>
        </row>
        <row r="818">
          <cell r="A818" t="str">
            <v>-2</v>
          </cell>
          <cell r="B818" t="str">
            <v>스페이서설치</v>
          </cell>
          <cell r="C818" t="str">
            <v>슬라브용</v>
          </cell>
          <cell r="D818">
            <v>791</v>
          </cell>
          <cell r="E818" t="str">
            <v>㎡</v>
          </cell>
        </row>
        <row r="819">
          <cell r="A819" t="str">
            <v>e</v>
          </cell>
          <cell r="B819" t="str">
            <v>철근가공조립</v>
          </cell>
          <cell r="C819" t="str">
            <v>(복잡)</v>
          </cell>
          <cell r="D819">
            <v>149.42400000000001</v>
          </cell>
          <cell r="E819" t="str">
            <v>TON</v>
          </cell>
        </row>
        <row r="820">
          <cell r="A820" t="str">
            <v>f</v>
          </cell>
          <cell r="B820" t="str">
            <v>합판거푸집</v>
          </cell>
        </row>
        <row r="821">
          <cell r="A821" t="str">
            <v>-1</v>
          </cell>
          <cell r="B821" t="str">
            <v>합판거푸집</v>
          </cell>
          <cell r="C821" t="str">
            <v>(3회)0-7M</v>
          </cell>
          <cell r="D821">
            <v>397</v>
          </cell>
          <cell r="E821" t="str">
            <v>㎡</v>
          </cell>
        </row>
        <row r="822">
          <cell r="A822" t="str">
            <v>-2</v>
          </cell>
          <cell r="B822" t="str">
            <v>합판거푸집</v>
          </cell>
          <cell r="C822" t="str">
            <v>(3회)7-10M</v>
          </cell>
          <cell r="D822">
            <v>455</v>
          </cell>
          <cell r="E822" t="str">
            <v>㎡</v>
          </cell>
        </row>
        <row r="823">
          <cell r="A823" t="str">
            <v>-3</v>
          </cell>
          <cell r="B823" t="str">
            <v>무늬거푸집(P.E)</v>
          </cell>
          <cell r="C823" t="str">
            <v>0-7M</v>
          </cell>
          <cell r="D823">
            <v>440</v>
          </cell>
          <cell r="E823" t="str">
            <v>M2</v>
          </cell>
        </row>
        <row r="824">
          <cell r="A824" t="str">
            <v>-4</v>
          </cell>
          <cell r="B824" t="str">
            <v>합판거푸집</v>
          </cell>
          <cell r="C824" t="str">
            <v>(소형6회)</v>
          </cell>
          <cell r="D824">
            <v>98</v>
          </cell>
          <cell r="E824" t="str">
            <v>㎡</v>
          </cell>
        </row>
        <row r="825">
          <cell r="A825" t="str">
            <v>-5</v>
          </cell>
          <cell r="B825" t="str">
            <v>합판거푸집</v>
          </cell>
          <cell r="C825" t="str">
            <v>(소형4회)</v>
          </cell>
          <cell r="D825">
            <v>165</v>
          </cell>
          <cell r="E825" t="str">
            <v>㎡</v>
          </cell>
        </row>
        <row r="826">
          <cell r="A826" t="str">
            <v>g</v>
          </cell>
          <cell r="B826" t="str">
            <v>비계</v>
          </cell>
          <cell r="C826" t="str">
            <v>(강관)0-30M</v>
          </cell>
          <cell r="D826">
            <v>574</v>
          </cell>
          <cell r="E826" t="str">
            <v>㎡</v>
          </cell>
        </row>
        <row r="827">
          <cell r="A827" t="str">
            <v>h</v>
          </cell>
          <cell r="B827" t="str">
            <v>강관동바리</v>
          </cell>
          <cell r="C827" t="str">
            <v>(교량용)</v>
          </cell>
          <cell r="D827">
            <v>2588</v>
          </cell>
          <cell r="E827" t="str">
            <v>공㎥</v>
          </cell>
        </row>
        <row r="828">
          <cell r="A828" t="str">
            <v>i</v>
          </cell>
          <cell r="B828" t="str">
            <v>표면처리공</v>
          </cell>
        </row>
        <row r="829">
          <cell r="A829" t="str">
            <v>-1</v>
          </cell>
          <cell r="B829" t="str">
            <v>아스팔트방수</v>
          </cell>
          <cell r="C829" t="str">
            <v>(배면방수)</v>
          </cell>
          <cell r="D829">
            <v>351</v>
          </cell>
          <cell r="E829" t="str">
            <v>M2</v>
          </cell>
        </row>
        <row r="830">
          <cell r="A830" t="str">
            <v>-2</v>
          </cell>
          <cell r="B830" t="str">
            <v>면고르기</v>
          </cell>
          <cell r="C830" t="str">
            <v>DECK FINISHER</v>
          </cell>
          <cell r="D830">
            <v>330</v>
          </cell>
          <cell r="E830" t="str">
            <v>㎡</v>
          </cell>
        </row>
        <row r="831">
          <cell r="A831" t="str">
            <v>-3</v>
          </cell>
          <cell r="B831" t="str">
            <v>슬라브양생</v>
          </cell>
          <cell r="C831" t="str">
            <v>(도막양생)</v>
          </cell>
          <cell r="D831">
            <v>330</v>
          </cell>
          <cell r="E831" t="str">
            <v>㎡</v>
          </cell>
        </row>
        <row r="832">
          <cell r="A832" t="str">
            <v>-4</v>
          </cell>
          <cell r="B832" t="str">
            <v>교면방수</v>
          </cell>
          <cell r="C832" t="str">
            <v>(도막방수)</v>
          </cell>
          <cell r="D832">
            <v>330</v>
          </cell>
          <cell r="E832" t="str">
            <v>㎡</v>
          </cell>
        </row>
        <row r="833">
          <cell r="A833" t="str">
            <v>j</v>
          </cell>
          <cell r="B833" t="str">
            <v>교량명판공</v>
          </cell>
        </row>
        <row r="834">
          <cell r="A834" t="str">
            <v>-1</v>
          </cell>
          <cell r="B834" t="str">
            <v>교명주</v>
          </cell>
          <cell r="C834" t="str">
            <v>(1000*500*350)</v>
          </cell>
          <cell r="D834">
            <v>4</v>
          </cell>
          <cell r="E834" t="str">
            <v>EA</v>
          </cell>
        </row>
        <row r="835">
          <cell r="A835" t="str">
            <v>-2</v>
          </cell>
          <cell r="B835" t="str">
            <v>교명판</v>
          </cell>
          <cell r="D835">
            <v>2</v>
          </cell>
          <cell r="E835" t="str">
            <v>EA</v>
          </cell>
        </row>
        <row r="836">
          <cell r="A836" t="str">
            <v>-3</v>
          </cell>
          <cell r="B836" t="str">
            <v>설명판</v>
          </cell>
          <cell r="C836" t="str">
            <v>(500X300X10)</v>
          </cell>
          <cell r="D836">
            <v>2</v>
          </cell>
          <cell r="E836" t="str">
            <v>EA</v>
          </cell>
        </row>
        <row r="837">
          <cell r="A837" t="str">
            <v>k</v>
          </cell>
          <cell r="B837" t="str">
            <v>전선관</v>
          </cell>
          <cell r="C837" t="str">
            <v>P.V.C PIPE</v>
          </cell>
          <cell r="D837">
            <v>42</v>
          </cell>
          <cell r="E837" t="str">
            <v>M</v>
          </cell>
        </row>
        <row r="838">
          <cell r="A838" t="str">
            <v>l</v>
          </cell>
          <cell r="B838" t="str">
            <v>신축이음</v>
          </cell>
        </row>
        <row r="839">
          <cell r="A839" t="str">
            <v>-1</v>
          </cell>
          <cell r="B839" t="str">
            <v>스치로폴</v>
          </cell>
          <cell r="C839" t="str">
            <v>(시공이음T=10M)</v>
          </cell>
          <cell r="D839">
            <v>47</v>
          </cell>
          <cell r="E839" t="str">
            <v>㎡</v>
          </cell>
        </row>
        <row r="840">
          <cell r="A840" t="str">
            <v>-2</v>
          </cell>
          <cell r="B840" t="str">
            <v>스치로폴</v>
          </cell>
          <cell r="C840" t="str">
            <v>(신축이음T=20M/M)</v>
          </cell>
          <cell r="D840">
            <v>15</v>
          </cell>
          <cell r="E840" t="str">
            <v>㎡</v>
          </cell>
        </row>
        <row r="841">
          <cell r="A841" t="str">
            <v>m</v>
          </cell>
          <cell r="B841" t="str">
            <v>다월바설치</v>
          </cell>
          <cell r="D841">
            <v>100</v>
          </cell>
          <cell r="E841" t="str">
            <v>EA</v>
          </cell>
        </row>
        <row r="842">
          <cell r="A842" t="str">
            <v>n</v>
          </cell>
          <cell r="B842" t="str">
            <v>자재비</v>
          </cell>
        </row>
        <row r="843">
          <cell r="A843" t="str">
            <v>-1</v>
          </cell>
          <cell r="B843" t="str">
            <v>레미콘</v>
          </cell>
          <cell r="C843" t="str">
            <v>25-240-12</v>
          </cell>
          <cell r="D843">
            <v>1032</v>
          </cell>
          <cell r="E843" t="str">
            <v>㎥</v>
          </cell>
        </row>
        <row r="844">
          <cell r="A844" t="str">
            <v>-2</v>
          </cell>
          <cell r="B844" t="str">
            <v>레미콘</v>
          </cell>
          <cell r="C844" t="str">
            <v>25-210-12</v>
          </cell>
          <cell r="D844">
            <v>13</v>
          </cell>
          <cell r="E844" t="str">
            <v>㎥</v>
          </cell>
        </row>
        <row r="845">
          <cell r="A845" t="str">
            <v>-3</v>
          </cell>
          <cell r="B845" t="str">
            <v>레미콘</v>
          </cell>
          <cell r="C845" t="str">
            <v>40-160-8</v>
          </cell>
          <cell r="D845">
            <v>21</v>
          </cell>
          <cell r="E845" t="str">
            <v>㎥</v>
          </cell>
        </row>
        <row r="846">
          <cell r="A846" t="str">
            <v>-4</v>
          </cell>
          <cell r="B846" t="str">
            <v>철근</v>
          </cell>
          <cell r="C846" t="str">
            <v>SD30 D16M/M 이상</v>
          </cell>
          <cell r="D846">
            <v>149.97800000000001</v>
          </cell>
          <cell r="E846" t="str">
            <v>TON</v>
          </cell>
        </row>
        <row r="847">
          <cell r="A847" t="str">
            <v>-5</v>
          </cell>
          <cell r="B847" t="str">
            <v>철근</v>
          </cell>
          <cell r="C847" t="str">
            <v>SD30 D13M/M</v>
          </cell>
          <cell r="D847">
            <v>12.593999999999999</v>
          </cell>
          <cell r="E847" t="str">
            <v>TON</v>
          </cell>
        </row>
        <row r="848">
          <cell r="A848" t="str">
            <v>3.07</v>
          </cell>
          <cell r="B848" t="str">
            <v>각생교(RC RAHMEN</v>
          </cell>
          <cell r="C848" t="str">
            <v>)L=28.0, B=21.0</v>
          </cell>
        </row>
        <row r="849">
          <cell r="A849" t="str">
            <v>a</v>
          </cell>
          <cell r="B849" t="str">
            <v>토  공</v>
          </cell>
        </row>
        <row r="850">
          <cell r="A850" t="str">
            <v>-1</v>
          </cell>
          <cell r="B850" t="str">
            <v>구조물터파기</v>
          </cell>
          <cell r="C850" t="str">
            <v>(육상토사:0-4M)</v>
          </cell>
          <cell r="D850">
            <v>1438</v>
          </cell>
          <cell r="E850" t="str">
            <v>㎥</v>
          </cell>
        </row>
        <row r="851">
          <cell r="A851" t="str">
            <v>-2</v>
          </cell>
          <cell r="B851" t="str">
            <v>구조물터파기</v>
          </cell>
          <cell r="C851" t="str">
            <v>(육상토사:4m이상)</v>
          </cell>
          <cell r="D851">
            <v>1513</v>
          </cell>
          <cell r="E851" t="str">
            <v>㎥</v>
          </cell>
        </row>
        <row r="852">
          <cell r="A852" t="str">
            <v>-3</v>
          </cell>
          <cell r="B852" t="str">
            <v>구조물터파기</v>
          </cell>
          <cell r="C852" t="str">
            <v>(수중토사:0-4M)</v>
          </cell>
          <cell r="D852">
            <v>1040</v>
          </cell>
          <cell r="E852" t="str">
            <v>㎥</v>
          </cell>
        </row>
        <row r="853">
          <cell r="A853" t="str">
            <v>-4</v>
          </cell>
          <cell r="B853" t="str">
            <v>되메우기및다짐</v>
          </cell>
          <cell r="C853" t="str">
            <v>(인력30%+기계70%)</v>
          </cell>
          <cell r="D853">
            <v>2990</v>
          </cell>
          <cell r="E853" t="str">
            <v>㎥</v>
          </cell>
        </row>
        <row r="854">
          <cell r="A854" t="str">
            <v>-5</v>
          </cell>
          <cell r="B854" t="str">
            <v>뒷채움및다짐</v>
          </cell>
          <cell r="D854">
            <v>691</v>
          </cell>
          <cell r="E854" t="str">
            <v>㎥</v>
          </cell>
        </row>
        <row r="855">
          <cell r="A855" t="str">
            <v>-6</v>
          </cell>
          <cell r="B855" t="str">
            <v>물푸기</v>
          </cell>
          <cell r="C855" t="str">
            <v>(교량등대형구조물)</v>
          </cell>
          <cell r="D855">
            <v>33</v>
          </cell>
          <cell r="E855" t="str">
            <v>HR</v>
          </cell>
        </row>
        <row r="856">
          <cell r="A856" t="str">
            <v>b</v>
          </cell>
          <cell r="B856" t="str">
            <v>콘크리트타설</v>
          </cell>
        </row>
        <row r="857">
          <cell r="A857" t="str">
            <v>-1</v>
          </cell>
          <cell r="B857" t="str">
            <v>무근콘크리트타설</v>
          </cell>
          <cell r="C857" t="str">
            <v>(진동기제외)</v>
          </cell>
          <cell r="D857">
            <v>158</v>
          </cell>
          <cell r="E857" t="str">
            <v>㎥</v>
          </cell>
        </row>
        <row r="858">
          <cell r="A858" t="str">
            <v>-2</v>
          </cell>
          <cell r="B858" t="str">
            <v>철근콘크리트타설</v>
          </cell>
          <cell r="C858" t="str">
            <v>펌프카타설(0-15M)</v>
          </cell>
          <cell r="D858">
            <v>1400</v>
          </cell>
          <cell r="E858" t="str">
            <v>㎥</v>
          </cell>
        </row>
        <row r="859">
          <cell r="A859" t="str">
            <v>c</v>
          </cell>
          <cell r="B859" t="str">
            <v>스페이셔설치</v>
          </cell>
        </row>
        <row r="860">
          <cell r="A860" t="str">
            <v>-1</v>
          </cell>
          <cell r="B860" t="str">
            <v>스페이셔설치</v>
          </cell>
          <cell r="C860" t="str">
            <v>벽체용</v>
          </cell>
          <cell r="D860">
            <v>1039</v>
          </cell>
          <cell r="E860" t="str">
            <v>㎡</v>
          </cell>
        </row>
        <row r="861">
          <cell r="A861" t="str">
            <v>-2</v>
          </cell>
          <cell r="B861" t="str">
            <v>스페이서설치</v>
          </cell>
          <cell r="C861" t="str">
            <v>슬라브용</v>
          </cell>
          <cell r="D861">
            <v>1124</v>
          </cell>
          <cell r="E861" t="str">
            <v>㎡</v>
          </cell>
        </row>
        <row r="862">
          <cell r="A862" t="str">
            <v>d</v>
          </cell>
          <cell r="B862" t="str">
            <v>철근가공조립</v>
          </cell>
          <cell r="C862" t="str">
            <v>(복잡)</v>
          </cell>
          <cell r="D862">
            <v>226.41900000000001</v>
          </cell>
          <cell r="E862" t="str">
            <v>TON</v>
          </cell>
        </row>
        <row r="863">
          <cell r="A863" t="str">
            <v>e</v>
          </cell>
          <cell r="B863" t="str">
            <v>합판거푸집</v>
          </cell>
        </row>
        <row r="864">
          <cell r="A864" t="str">
            <v>-1</v>
          </cell>
          <cell r="B864" t="str">
            <v>합판거푸집</v>
          </cell>
          <cell r="C864" t="str">
            <v>(3회)0-7M</v>
          </cell>
          <cell r="D864">
            <v>1583</v>
          </cell>
          <cell r="E864" t="str">
            <v>㎡</v>
          </cell>
        </row>
        <row r="865">
          <cell r="A865" t="str">
            <v>-2</v>
          </cell>
          <cell r="B865" t="str">
            <v>합판거푸집</v>
          </cell>
          <cell r="C865" t="str">
            <v>(소형4회)</v>
          </cell>
          <cell r="D865">
            <v>286</v>
          </cell>
          <cell r="E865" t="str">
            <v>㎡</v>
          </cell>
        </row>
        <row r="866">
          <cell r="A866" t="str">
            <v>-3</v>
          </cell>
          <cell r="B866" t="str">
            <v>합판거푸집</v>
          </cell>
          <cell r="C866" t="str">
            <v>(소형6회)</v>
          </cell>
          <cell r="D866">
            <v>24</v>
          </cell>
          <cell r="E866" t="str">
            <v>㎡</v>
          </cell>
        </row>
        <row r="867">
          <cell r="A867" t="str">
            <v>f</v>
          </cell>
          <cell r="B867" t="str">
            <v>비계</v>
          </cell>
          <cell r="C867" t="str">
            <v>(강관)0-30M</v>
          </cell>
          <cell r="D867">
            <v>706</v>
          </cell>
          <cell r="E867" t="str">
            <v>㎡</v>
          </cell>
        </row>
        <row r="868">
          <cell r="A868" t="str">
            <v>g</v>
          </cell>
          <cell r="B868" t="str">
            <v>강관동바리</v>
          </cell>
          <cell r="C868" t="str">
            <v>(교량용)</v>
          </cell>
          <cell r="D868">
            <v>2670</v>
          </cell>
          <cell r="E868" t="str">
            <v>공㎥</v>
          </cell>
        </row>
        <row r="869">
          <cell r="A869" t="str">
            <v>h</v>
          </cell>
          <cell r="B869" t="str">
            <v>표면처리공</v>
          </cell>
        </row>
        <row r="870">
          <cell r="A870" t="str">
            <v>-1</v>
          </cell>
          <cell r="B870" t="str">
            <v>아스팔트방수</v>
          </cell>
          <cell r="C870" t="str">
            <v>(배면방수)</v>
          </cell>
          <cell r="D870">
            <v>263</v>
          </cell>
          <cell r="E870" t="str">
            <v>M2</v>
          </cell>
        </row>
        <row r="871">
          <cell r="A871" t="str">
            <v>-2</v>
          </cell>
          <cell r="B871" t="str">
            <v>면고르기</v>
          </cell>
          <cell r="C871" t="str">
            <v>DECK FINISHER</v>
          </cell>
          <cell r="D871">
            <v>454</v>
          </cell>
          <cell r="E871" t="str">
            <v>㎡</v>
          </cell>
        </row>
        <row r="872">
          <cell r="A872" t="str">
            <v>-3</v>
          </cell>
          <cell r="B872" t="str">
            <v>슬라브양생</v>
          </cell>
          <cell r="C872" t="str">
            <v>(도막양생)</v>
          </cell>
          <cell r="D872">
            <v>454</v>
          </cell>
          <cell r="E872" t="str">
            <v>㎡</v>
          </cell>
        </row>
        <row r="873">
          <cell r="A873" t="str">
            <v>-4</v>
          </cell>
          <cell r="B873" t="str">
            <v>교면방수</v>
          </cell>
          <cell r="C873" t="str">
            <v>(도막방수)</v>
          </cell>
          <cell r="D873">
            <v>454</v>
          </cell>
          <cell r="E873" t="str">
            <v>㎡</v>
          </cell>
        </row>
        <row r="874">
          <cell r="A874" t="str">
            <v>i</v>
          </cell>
          <cell r="B874" t="str">
            <v>교량용집수구</v>
          </cell>
        </row>
        <row r="875">
          <cell r="A875" t="str">
            <v>-1</v>
          </cell>
          <cell r="B875" t="str">
            <v>집수구</v>
          </cell>
          <cell r="C875" t="str">
            <v>(주철)</v>
          </cell>
          <cell r="D875">
            <v>2</v>
          </cell>
          <cell r="E875" t="str">
            <v>EA</v>
          </cell>
        </row>
        <row r="876">
          <cell r="A876" t="str">
            <v>-2</v>
          </cell>
          <cell r="B876" t="str">
            <v>하천용배수구</v>
          </cell>
          <cell r="C876" t="str">
            <v>(아연도강관D=150MM)</v>
          </cell>
          <cell r="D876">
            <v>3</v>
          </cell>
          <cell r="E876" t="str">
            <v>M</v>
          </cell>
        </row>
        <row r="877">
          <cell r="A877" t="str">
            <v>j</v>
          </cell>
          <cell r="B877" t="str">
            <v>교량명판공</v>
          </cell>
        </row>
        <row r="878">
          <cell r="A878" t="str">
            <v>-1</v>
          </cell>
          <cell r="B878" t="str">
            <v>교명주</v>
          </cell>
          <cell r="C878" t="str">
            <v>(1000*500*350)</v>
          </cell>
          <cell r="D878">
            <v>4</v>
          </cell>
          <cell r="E878" t="str">
            <v>EA</v>
          </cell>
        </row>
        <row r="879">
          <cell r="A879" t="str">
            <v>-2</v>
          </cell>
          <cell r="B879" t="str">
            <v>교명판</v>
          </cell>
          <cell r="D879">
            <v>2</v>
          </cell>
          <cell r="E879" t="str">
            <v>EA</v>
          </cell>
        </row>
        <row r="880">
          <cell r="A880" t="str">
            <v>-3</v>
          </cell>
          <cell r="B880" t="str">
            <v>설명판</v>
          </cell>
          <cell r="C880" t="str">
            <v>(500X300X10)</v>
          </cell>
          <cell r="D880">
            <v>2</v>
          </cell>
          <cell r="E880" t="str">
            <v>EA</v>
          </cell>
        </row>
        <row r="881">
          <cell r="A881" t="str">
            <v>k</v>
          </cell>
          <cell r="B881" t="str">
            <v>전선관</v>
          </cell>
          <cell r="C881" t="str">
            <v>P.V.C PIPE</v>
          </cell>
          <cell r="D881">
            <v>55</v>
          </cell>
          <cell r="E881" t="str">
            <v>M</v>
          </cell>
        </row>
        <row r="882">
          <cell r="A882" t="str">
            <v>l</v>
          </cell>
          <cell r="B882" t="str">
            <v>스치로폴</v>
          </cell>
          <cell r="C882" t="str">
            <v>(신축이음T=20M/M)</v>
          </cell>
          <cell r="D882">
            <v>16</v>
          </cell>
          <cell r="E882" t="str">
            <v>㎡</v>
          </cell>
        </row>
        <row r="883">
          <cell r="A883" t="str">
            <v>m</v>
          </cell>
          <cell r="B883" t="str">
            <v>다월바설치</v>
          </cell>
          <cell r="D883">
            <v>106</v>
          </cell>
          <cell r="E883" t="str">
            <v>EA</v>
          </cell>
        </row>
        <row r="884">
          <cell r="A884" t="str">
            <v>n</v>
          </cell>
          <cell r="B884" t="str">
            <v>난  간</v>
          </cell>
        </row>
        <row r="885">
          <cell r="A885" t="str">
            <v>-2</v>
          </cell>
          <cell r="B885" t="str">
            <v>난간</v>
          </cell>
          <cell r="C885" t="str">
            <v>차도용(알루미늄)</v>
          </cell>
          <cell r="D885">
            <v>55</v>
          </cell>
          <cell r="E885" t="str">
            <v>m</v>
          </cell>
        </row>
        <row r="886">
          <cell r="A886" t="str">
            <v>-3</v>
          </cell>
          <cell r="B886" t="str">
            <v>난간</v>
          </cell>
          <cell r="C886" t="str">
            <v>보도용(알루미늄)</v>
          </cell>
          <cell r="D886">
            <v>55</v>
          </cell>
          <cell r="E886" t="str">
            <v>m</v>
          </cell>
        </row>
        <row r="887">
          <cell r="A887" t="str">
            <v>o</v>
          </cell>
          <cell r="B887" t="str">
            <v>자재비</v>
          </cell>
        </row>
        <row r="888">
          <cell r="A888" t="str">
            <v>-1</v>
          </cell>
          <cell r="B888" t="str">
            <v>레미콘</v>
          </cell>
          <cell r="C888" t="str">
            <v>25-240-12</v>
          </cell>
          <cell r="D888">
            <v>1414</v>
          </cell>
          <cell r="E888" t="str">
            <v>㎥</v>
          </cell>
        </row>
        <row r="889">
          <cell r="A889" t="str">
            <v>-2</v>
          </cell>
          <cell r="B889" t="str">
            <v>레미콘</v>
          </cell>
          <cell r="C889" t="str">
            <v>25-210-12</v>
          </cell>
          <cell r="D889">
            <v>1</v>
          </cell>
          <cell r="E889" t="str">
            <v>㎥</v>
          </cell>
        </row>
        <row r="890">
          <cell r="A890" t="str">
            <v>-3</v>
          </cell>
          <cell r="B890" t="str">
            <v>레미콘</v>
          </cell>
          <cell r="C890" t="str">
            <v>40-180-8</v>
          </cell>
          <cell r="D890">
            <v>38</v>
          </cell>
          <cell r="E890" t="str">
            <v>㎥</v>
          </cell>
        </row>
        <row r="891">
          <cell r="A891" t="str">
            <v>-4</v>
          </cell>
          <cell r="B891" t="str">
            <v>레미콘</v>
          </cell>
          <cell r="C891" t="str">
            <v>40-160-8</v>
          </cell>
          <cell r="D891">
            <v>123</v>
          </cell>
          <cell r="E891" t="str">
            <v>㎥</v>
          </cell>
        </row>
        <row r="892">
          <cell r="A892" t="str">
            <v>-5</v>
          </cell>
          <cell r="B892" t="str">
            <v>철근</v>
          </cell>
          <cell r="C892" t="str">
            <v>SD30 D16M/M 이상</v>
          </cell>
          <cell r="D892">
            <v>228.54900000000001</v>
          </cell>
          <cell r="E892" t="str">
            <v>TON</v>
          </cell>
        </row>
        <row r="893">
          <cell r="A893" t="str">
            <v>-6</v>
          </cell>
          <cell r="B893" t="str">
            <v>철근</v>
          </cell>
          <cell r="C893" t="str">
            <v>SD30 D13M/M</v>
          </cell>
          <cell r="D893">
            <v>4.923</v>
          </cell>
          <cell r="E893" t="str">
            <v>TON</v>
          </cell>
        </row>
        <row r="894">
          <cell r="A894" t="str">
            <v>3.08</v>
          </cell>
          <cell r="B894" t="str">
            <v>옹벽공</v>
          </cell>
          <cell r="C894" t="str">
            <v>(블럭식보강토)</v>
          </cell>
        </row>
        <row r="895">
          <cell r="A895" t="str">
            <v>a</v>
          </cell>
          <cell r="B895" t="str">
            <v>구조물터파기</v>
          </cell>
          <cell r="C895" t="str">
            <v>(육상토사:0-2M)</v>
          </cell>
          <cell r="D895">
            <v>1757</v>
          </cell>
          <cell r="E895" t="str">
            <v>㎥</v>
          </cell>
        </row>
        <row r="896">
          <cell r="A896" t="str">
            <v>b</v>
          </cell>
          <cell r="B896" t="str">
            <v>되메우기및다짐</v>
          </cell>
          <cell r="C896" t="str">
            <v>(인력50%+기계50%)</v>
          </cell>
          <cell r="D896">
            <v>158</v>
          </cell>
          <cell r="E896" t="str">
            <v>㎥</v>
          </cell>
        </row>
        <row r="897">
          <cell r="A897" t="str">
            <v>c</v>
          </cell>
          <cell r="B897" t="str">
            <v>기초쇄석</v>
          </cell>
          <cell r="C897" t="str">
            <v>(현장암유용)</v>
          </cell>
          <cell r="D897">
            <v>174</v>
          </cell>
          <cell r="E897" t="str">
            <v>㎥</v>
          </cell>
        </row>
        <row r="898">
          <cell r="A898" t="str">
            <v>d</v>
          </cell>
          <cell r="B898" t="str">
            <v>보강토다짐</v>
          </cell>
          <cell r="C898" t="str">
            <v>(인력30%+기계70%)</v>
          </cell>
          <cell r="D898">
            <v>29643</v>
          </cell>
          <cell r="E898" t="str">
            <v>㎥</v>
          </cell>
        </row>
        <row r="899">
          <cell r="A899" t="str">
            <v>e</v>
          </cell>
          <cell r="B899" t="str">
            <v>보강토옹벽</v>
          </cell>
          <cell r="C899" t="str">
            <v>(H=1.0M~7.0M)</v>
          </cell>
          <cell r="D899">
            <v>5855</v>
          </cell>
          <cell r="E899" t="str">
            <v>㎡</v>
          </cell>
        </row>
        <row r="900">
          <cell r="A900" t="str">
            <v>4.</v>
          </cell>
          <cell r="B900" t="str">
            <v>포 장 공</v>
          </cell>
        </row>
        <row r="901">
          <cell r="A901" t="str">
            <v>4.01</v>
          </cell>
          <cell r="B901" t="str">
            <v>동상방지층</v>
          </cell>
        </row>
        <row r="902">
          <cell r="A902" t="str">
            <v>a</v>
          </cell>
          <cell r="B902" t="str">
            <v>동상방지층생산및운반</v>
          </cell>
          <cell r="C902" t="str">
            <v>(현장암유용)</v>
          </cell>
          <cell r="D902">
            <v>27696</v>
          </cell>
          <cell r="E902" t="str">
            <v>㎥</v>
          </cell>
        </row>
        <row r="903">
          <cell r="A903" t="str">
            <v>b</v>
          </cell>
          <cell r="B903" t="str">
            <v>동상방지층포설및다짐</v>
          </cell>
          <cell r="C903" t="str">
            <v>(T=20cm)</v>
          </cell>
          <cell r="D903">
            <v>27696</v>
          </cell>
          <cell r="E903" t="str">
            <v>㎥</v>
          </cell>
        </row>
        <row r="904">
          <cell r="A904" t="str">
            <v>4.02</v>
          </cell>
          <cell r="B904" t="str">
            <v>보조기층</v>
          </cell>
        </row>
        <row r="905">
          <cell r="A905" t="str">
            <v>a</v>
          </cell>
          <cell r="B905" t="str">
            <v>보조기층생산및운반</v>
          </cell>
          <cell r="C905" t="str">
            <v>(현장암유용)</v>
          </cell>
          <cell r="D905">
            <v>36412</v>
          </cell>
          <cell r="E905" t="str">
            <v>㎥</v>
          </cell>
        </row>
        <row r="906">
          <cell r="A906" t="str">
            <v>b</v>
          </cell>
          <cell r="B906" t="str">
            <v>보조기층포설및다짐</v>
          </cell>
          <cell r="C906" t="str">
            <v>(T=25cm)</v>
          </cell>
          <cell r="D906">
            <v>35630</v>
          </cell>
          <cell r="E906" t="str">
            <v>㎥</v>
          </cell>
        </row>
        <row r="907">
          <cell r="A907" t="str">
            <v>4.03</v>
          </cell>
          <cell r="B907" t="str">
            <v>프라임코팅</v>
          </cell>
          <cell r="C907" t="str">
            <v>(MC-1,75/a)</v>
          </cell>
          <cell r="D907">
            <v>1184</v>
          </cell>
          <cell r="E907" t="str">
            <v>a</v>
          </cell>
        </row>
        <row r="908">
          <cell r="A908" t="str">
            <v>4.04</v>
          </cell>
          <cell r="B908" t="str">
            <v>기층</v>
          </cell>
        </row>
        <row r="909">
          <cell r="A909" t="str">
            <v>a</v>
          </cell>
          <cell r="B909" t="str">
            <v>기층포설및다짐</v>
          </cell>
          <cell r="C909" t="str">
            <v>(t=15cm)</v>
          </cell>
          <cell r="D909">
            <v>931</v>
          </cell>
          <cell r="E909" t="str">
            <v>a</v>
          </cell>
        </row>
        <row r="910">
          <cell r="A910" t="str">
            <v>b</v>
          </cell>
          <cell r="B910" t="str">
            <v>포설및다짐</v>
          </cell>
          <cell r="C910" t="str">
            <v>(T=10cm)</v>
          </cell>
          <cell r="D910">
            <v>26</v>
          </cell>
          <cell r="E910" t="str">
            <v>a</v>
          </cell>
        </row>
        <row r="911">
          <cell r="A911" t="str">
            <v>4.05</v>
          </cell>
          <cell r="B911" t="str">
            <v>택코팅</v>
          </cell>
          <cell r="C911" t="str">
            <v>(RSC-4:30L/a)</v>
          </cell>
          <cell r="D911">
            <v>3755</v>
          </cell>
          <cell r="E911" t="str">
            <v>a</v>
          </cell>
        </row>
        <row r="912">
          <cell r="A912" t="str">
            <v>4.06</v>
          </cell>
          <cell r="B912" t="str">
            <v>표층</v>
          </cell>
        </row>
        <row r="913">
          <cell r="A913" t="str">
            <v>a</v>
          </cell>
          <cell r="B913" t="str">
            <v>포설및다짐</v>
          </cell>
          <cell r="C913" t="str">
            <v>(T=5㎝)</v>
          </cell>
          <cell r="D913">
            <v>28</v>
          </cell>
          <cell r="E913" t="str">
            <v>a</v>
          </cell>
        </row>
        <row r="914">
          <cell r="A914" t="str">
            <v>b</v>
          </cell>
          <cell r="B914" t="str">
            <v>포설및다짐</v>
          </cell>
          <cell r="C914" t="str">
            <v>(T=10㎝)</v>
          </cell>
          <cell r="D914">
            <v>1142</v>
          </cell>
          <cell r="E914" t="str">
            <v>a</v>
          </cell>
        </row>
        <row r="915">
          <cell r="A915" t="str">
            <v>c</v>
          </cell>
          <cell r="B915" t="str">
            <v>포설및다짐</v>
          </cell>
          <cell r="C915" t="str">
            <v>(T=8Cm)</v>
          </cell>
          <cell r="D915">
            <v>194</v>
          </cell>
          <cell r="E915" t="str">
            <v>a</v>
          </cell>
        </row>
        <row r="916">
          <cell r="A916" t="str">
            <v>4.07</v>
          </cell>
          <cell r="B916" t="str">
            <v>노견토</v>
          </cell>
          <cell r="C916" t="str">
            <v>(포설및다짐)</v>
          </cell>
          <cell r="D916">
            <v>782</v>
          </cell>
          <cell r="E916" t="str">
            <v>㎥</v>
          </cell>
        </row>
        <row r="917">
          <cell r="A917" t="str">
            <v>4.08</v>
          </cell>
          <cell r="B917" t="str">
            <v>투수콘크리트포장</v>
          </cell>
          <cell r="C917" t="str">
            <v>T=7cm</v>
          </cell>
          <cell r="D917">
            <v>59</v>
          </cell>
          <cell r="E917" t="str">
            <v>㎡</v>
          </cell>
        </row>
        <row r="918">
          <cell r="A918" t="str">
            <v>4.09</v>
          </cell>
          <cell r="B918" t="str">
            <v>자재비</v>
          </cell>
        </row>
        <row r="919">
          <cell r="A919" t="str">
            <v>a</v>
          </cell>
          <cell r="B919" t="str">
            <v>아스팔트</v>
          </cell>
          <cell r="C919" t="str">
            <v>MC-1</v>
          </cell>
          <cell r="D919">
            <v>453</v>
          </cell>
          <cell r="E919" t="str">
            <v>D/M</v>
          </cell>
        </row>
        <row r="920">
          <cell r="A920" t="str">
            <v>b</v>
          </cell>
          <cell r="B920" t="str">
            <v>아스팔트</v>
          </cell>
          <cell r="C920" t="str">
            <v>RSC-4</v>
          </cell>
          <cell r="D920">
            <v>383</v>
          </cell>
          <cell r="E920" t="str">
            <v>D/M</v>
          </cell>
        </row>
        <row r="921">
          <cell r="A921" t="str">
            <v>c</v>
          </cell>
          <cell r="B921" t="str">
            <v>아스콘</v>
          </cell>
          <cell r="C921" t="str">
            <v>표층용(#78)</v>
          </cell>
          <cell r="D921">
            <v>31000</v>
          </cell>
          <cell r="E921" t="str">
            <v>TON</v>
          </cell>
        </row>
        <row r="922">
          <cell r="A922" t="str">
            <v>d</v>
          </cell>
          <cell r="B922" t="str">
            <v>아스콘</v>
          </cell>
          <cell r="C922" t="str">
            <v>기층용(#467)</v>
          </cell>
          <cell r="D922">
            <v>33371</v>
          </cell>
          <cell r="E922" t="str">
            <v>TON</v>
          </cell>
        </row>
        <row r="923">
          <cell r="A923" t="str">
            <v>5.</v>
          </cell>
          <cell r="B923" t="str">
            <v>부대공</v>
          </cell>
        </row>
        <row r="924">
          <cell r="A924" t="str">
            <v>5.01</v>
          </cell>
          <cell r="B924" t="str">
            <v>차선도색</v>
          </cell>
        </row>
        <row r="925">
          <cell r="A925" t="str">
            <v>a</v>
          </cell>
          <cell r="B925" t="str">
            <v>차선도색</v>
          </cell>
          <cell r="C925" t="str">
            <v>(가열형:백색)</v>
          </cell>
          <cell r="D925">
            <v>1792</v>
          </cell>
          <cell r="E925" t="str">
            <v>㎡</v>
          </cell>
        </row>
        <row r="926">
          <cell r="A926" t="str">
            <v>b</v>
          </cell>
          <cell r="B926" t="str">
            <v>차선도색</v>
          </cell>
          <cell r="C926" t="str">
            <v>(가열형:황색)</v>
          </cell>
          <cell r="D926">
            <v>2888</v>
          </cell>
          <cell r="E926" t="str">
            <v>㎡</v>
          </cell>
        </row>
        <row r="927">
          <cell r="A927" t="str">
            <v>c</v>
          </cell>
          <cell r="B927" t="str">
            <v>차선도색</v>
          </cell>
          <cell r="C927" t="str">
            <v>(상온형:백색)</v>
          </cell>
          <cell r="D927">
            <v>727</v>
          </cell>
          <cell r="E927" t="str">
            <v>㎡</v>
          </cell>
        </row>
        <row r="928">
          <cell r="A928" t="str">
            <v>d</v>
          </cell>
          <cell r="B928" t="str">
            <v>차선도색</v>
          </cell>
          <cell r="C928" t="str">
            <v>(상온형:황색)</v>
          </cell>
          <cell r="D928">
            <v>1663</v>
          </cell>
          <cell r="E928" t="str">
            <v>㎡</v>
          </cell>
        </row>
        <row r="929">
          <cell r="A929" t="str">
            <v>5.02</v>
          </cell>
          <cell r="B929" t="str">
            <v>표지판</v>
          </cell>
        </row>
        <row r="930">
          <cell r="A930" t="str">
            <v>a</v>
          </cell>
          <cell r="B930" t="str">
            <v>교통표지판</v>
          </cell>
          <cell r="C930" t="str">
            <v>삼각(1200*1039)</v>
          </cell>
          <cell r="D930">
            <v>11</v>
          </cell>
          <cell r="E930" t="str">
            <v>조</v>
          </cell>
        </row>
        <row r="931">
          <cell r="A931" t="str">
            <v>c</v>
          </cell>
          <cell r="B931" t="str">
            <v>교통표지판</v>
          </cell>
          <cell r="C931" t="str">
            <v>(부착용)D=600</v>
          </cell>
          <cell r="D931">
            <v>5</v>
          </cell>
          <cell r="E931" t="str">
            <v>조</v>
          </cell>
        </row>
        <row r="932">
          <cell r="A932" t="str">
            <v>d</v>
          </cell>
          <cell r="B932" t="str">
            <v>교통표지판</v>
          </cell>
          <cell r="C932" t="str">
            <v>원형 1200</v>
          </cell>
          <cell r="D932">
            <v>6</v>
          </cell>
          <cell r="E932" t="str">
            <v>조</v>
          </cell>
        </row>
        <row r="933">
          <cell r="A933" t="str">
            <v>e</v>
          </cell>
          <cell r="B933" t="str">
            <v>교통표지판</v>
          </cell>
          <cell r="C933" t="str">
            <v>오각</v>
          </cell>
          <cell r="D933">
            <v>4</v>
          </cell>
          <cell r="E933" t="str">
            <v>조</v>
          </cell>
        </row>
        <row r="934">
          <cell r="A934" t="str">
            <v>h</v>
          </cell>
          <cell r="B934" t="str">
            <v>교통표지판(1.2X1.2)</v>
          </cell>
          <cell r="C934" t="str">
            <v>삼각+삼각</v>
          </cell>
          <cell r="D934">
            <v>3</v>
          </cell>
          <cell r="E934" t="str">
            <v>조</v>
          </cell>
        </row>
        <row r="935">
          <cell r="A935" t="str">
            <v>i</v>
          </cell>
          <cell r="B935" t="str">
            <v>교통표지판(1.5X1.2)</v>
          </cell>
          <cell r="C935" t="str">
            <v>삼각+삼각</v>
          </cell>
          <cell r="D935">
            <v>2</v>
          </cell>
          <cell r="E935" t="str">
            <v>조</v>
          </cell>
        </row>
        <row r="936">
          <cell r="A936" t="str">
            <v>b</v>
          </cell>
          <cell r="B936" t="str">
            <v>교통표지판(6,8차선용</v>
          </cell>
          <cell r="C936" t="str">
            <v>삼각(1500*1299)</v>
          </cell>
          <cell r="D936">
            <v>14</v>
          </cell>
          <cell r="E936" t="str">
            <v>조</v>
          </cell>
        </row>
        <row r="937">
          <cell r="A937" t="str">
            <v>f</v>
          </cell>
          <cell r="B937" t="str">
            <v>교통표지판(6,8차로)</v>
          </cell>
          <cell r="C937" t="str">
            <v>삼각+사각</v>
          </cell>
          <cell r="D937">
            <v>2</v>
          </cell>
          <cell r="E937" t="str">
            <v>조</v>
          </cell>
        </row>
        <row r="938">
          <cell r="A938" t="str">
            <v>g</v>
          </cell>
          <cell r="B938" t="str">
            <v>교통표지판(6,8차로용</v>
          </cell>
          <cell r="C938" t="str">
            <v>삼각+원형</v>
          </cell>
          <cell r="D938">
            <v>4</v>
          </cell>
          <cell r="E938" t="str">
            <v>조</v>
          </cell>
        </row>
        <row r="939">
          <cell r="A939" t="str">
            <v>i</v>
          </cell>
          <cell r="B939" t="str">
            <v>안내표지판</v>
          </cell>
          <cell r="C939" t="str">
            <v>출구점표지판</v>
          </cell>
          <cell r="D939">
            <v>2</v>
          </cell>
          <cell r="E939" t="str">
            <v>조</v>
          </cell>
        </row>
        <row r="940">
          <cell r="A940" t="str">
            <v>j</v>
          </cell>
          <cell r="B940" t="str">
            <v>안내표지판</v>
          </cell>
          <cell r="C940" t="str">
            <v>2 방향표지판</v>
          </cell>
          <cell r="D940">
            <v>8</v>
          </cell>
          <cell r="E940" t="str">
            <v>조</v>
          </cell>
        </row>
        <row r="941">
          <cell r="A941" t="str">
            <v>k</v>
          </cell>
          <cell r="B941" t="str">
            <v>안내표지판</v>
          </cell>
          <cell r="C941" t="str">
            <v>3 방향표지판</v>
          </cell>
          <cell r="D941">
            <v>5</v>
          </cell>
          <cell r="E941" t="str">
            <v>조</v>
          </cell>
        </row>
        <row r="942">
          <cell r="A942" t="str">
            <v>l</v>
          </cell>
          <cell r="B942" t="str">
            <v>갈매기표지판</v>
          </cell>
          <cell r="C942" t="str">
            <v>토공용</v>
          </cell>
          <cell r="D942">
            <v>34</v>
          </cell>
          <cell r="E942" t="str">
            <v>EA</v>
          </cell>
        </row>
        <row r="943">
          <cell r="A943" t="str">
            <v>m</v>
          </cell>
          <cell r="B943" t="str">
            <v>갈매기표지판</v>
          </cell>
          <cell r="D943">
            <v>20</v>
          </cell>
          <cell r="E943" t="str">
            <v>EA</v>
          </cell>
        </row>
        <row r="944">
          <cell r="A944" t="str">
            <v>5.03</v>
          </cell>
          <cell r="B944" t="str">
            <v>가드레일</v>
          </cell>
        </row>
        <row r="945">
          <cell r="A945" t="str">
            <v>a</v>
          </cell>
          <cell r="B945" t="str">
            <v>레일포스트</v>
          </cell>
          <cell r="C945" t="str">
            <v>(L=2.2 M)</v>
          </cell>
          <cell r="D945">
            <v>869</v>
          </cell>
          <cell r="E945" t="str">
            <v>EA</v>
          </cell>
        </row>
        <row r="946">
          <cell r="A946" t="str">
            <v>b</v>
          </cell>
          <cell r="B946" t="str">
            <v>가드레일</v>
          </cell>
          <cell r="C946" t="str">
            <v>(표준레일)</v>
          </cell>
          <cell r="D946">
            <v>853</v>
          </cell>
          <cell r="E946" t="str">
            <v>EA</v>
          </cell>
        </row>
        <row r="947">
          <cell r="A947" t="str">
            <v>c</v>
          </cell>
          <cell r="B947" t="str">
            <v>단부레일</v>
          </cell>
          <cell r="D947">
            <v>32</v>
          </cell>
          <cell r="E947" t="str">
            <v>EA</v>
          </cell>
        </row>
        <row r="948">
          <cell r="A948" t="str">
            <v>5.04</v>
          </cell>
          <cell r="B948" t="str">
            <v>데리네이터</v>
          </cell>
        </row>
        <row r="949">
          <cell r="A949" t="str">
            <v>a</v>
          </cell>
          <cell r="B949" t="str">
            <v>가드레일용</v>
          </cell>
          <cell r="D949">
            <v>95</v>
          </cell>
          <cell r="E949" t="str">
            <v>EA</v>
          </cell>
        </row>
        <row r="950">
          <cell r="A950" t="str">
            <v>b</v>
          </cell>
          <cell r="B950" t="str">
            <v>교량용</v>
          </cell>
          <cell r="D950">
            <v>123</v>
          </cell>
          <cell r="E950" t="str">
            <v>EA</v>
          </cell>
        </row>
        <row r="951">
          <cell r="A951" t="str">
            <v>c</v>
          </cell>
          <cell r="B951" t="str">
            <v>토공용</v>
          </cell>
          <cell r="D951">
            <v>206</v>
          </cell>
          <cell r="E951" t="str">
            <v>EA</v>
          </cell>
        </row>
        <row r="952">
          <cell r="A952" t="str">
            <v>d</v>
          </cell>
          <cell r="B952" t="str">
            <v>중앙분리대용</v>
          </cell>
          <cell r="D952">
            <v>302</v>
          </cell>
          <cell r="E952" t="str">
            <v>EA</v>
          </cell>
        </row>
        <row r="953">
          <cell r="A953" t="str">
            <v>e</v>
          </cell>
          <cell r="B953" t="str">
            <v>옹벽용</v>
          </cell>
          <cell r="D953">
            <v>184</v>
          </cell>
          <cell r="E953" t="str">
            <v>EA</v>
          </cell>
        </row>
        <row r="954">
          <cell r="A954" t="str">
            <v>f</v>
          </cell>
          <cell r="B954" t="str">
            <v>도로표지병</v>
          </cell>
          <cell r="C954" t="str">
            <v>중앙선용(153*100*35)</v>
          </cell>
          <cell r="D954">
            <v>562</v>
          </cell>
          <cell r="E954" t="str">
            <v>EA</v>
          </cell>
        </row>
        <row r="955">
          <cell r="A955" t="str">
            <v>5.05</v>
          </cell>
          <cell r="B955" t="str">
            <v>중앙분리대</v>
          </cell>
        </row>
        <row r="956">
          <cell r="A956" t="str">
            <v>a</v>
          </cell>
          <cell r="B956" t="str">
            <v>중앙분리대토공용</v>
          </cell>
          <cell r="C956" t="str">
            <v>구체</v>
          </cell>
          <cell r="D956">
            <v>3747</v>
          </cell>
          <cell r="E956" t="str">
            <v>M</v>
          </cell>
        </row>
        <row r="957">
          <cell r="A957" t="str">
            <v>b</v>
          </cell>
          <cell r="B957" t="str">
            <v>중앙분리대토공용</v>
          </cell>
          <cell r="C957" t="str">
            <v>단부처리</v>
          </cell>
          <cell r="D957">
            <v>2</v>
          </cell>
          <cell r="E957" t="str">
            <v>EA</v>
          </cell>
        </row>
        <row r="958">
          <cell r="A958" t="str">
            <v>c</v>
          </cell>
          <cell r="B958" t="str">
            <v>중앙분리대토공용</v>
          </cell>
          <cell r="C958" t="str">
            <v>조인트마감처리</v>
          </cell>
          <cell r="D958">
            <v>121</v>
          </cell>
          <cell r="E958" t="str">
            <v>EA</v>
          </cell>
        </row>
        <row r="959">
          <cell r="A959" t="str">
            <v>d</v>
          </cell>
          <cell r="B959" t="str">
            <v>중앙분리대교량용</v>
          </cell>
          <cell r="C959" t="str">
            <v>구체</v>
          </cell>
          <cell r="D959">
            <v>909</v>
          </cell>
          <cell r="E959" t="str">
            <v>M</v>
          </cell>
        </row>
        <row r="960">
          <cell r="A960" t="str">
            <v>e</v>
          </cell>
          <cell r="B960" t="str">
            <v>중앙분리대교량용</v>
          </cell>
          <cell r="C960" t="str">
            <v>(조인트마감처리)</v>
          </cell>
          <cell r="D960">
            <v>17</v>
          </cell>
          <cell r="E960" t="str">
            <v>EA</v>
          </cell>
        </row>
        <row r="961">
          <cell r="A961" t="str">
            <v>f</v>
          </cell>
          <cell r="B961" t="str">
            <v>중분대기초</v>
          </cell>
          <cell r="C961" t="str">
            <v>(T=15cm)</v>
          </cell>
          <cell r="D961">
            <v>558</v>
          </cell>
          <cell r="E961" t="str">
            <v>㎥</v>
          </cell>
        </row>
        <row r="962">
          <cell r="A962" t="str">
            <v>5.06</v>
          </cell>
          <cell r="B962" t="str">
            <v>차광망</v>
          </cell>
        </row>
        <row r="963">
          <cell r="A963" t="str">
            <v>a</v>
          </cell>
          <cell r="B963" t="str">
            <v>중앙분리대용</v>
          </cell>
          <cell r="C963" t="str">
            <v>알루미늄</v>
          </cell>
          <cell r="D963">
            <v>940</v>
          </cell>
          <cell r="E963" t="str">
            <v>EA</v>
          </cell>
        </row>
        <row r="964">
          <cell r="A964" t="str">
            <v>b</v>
          </cell>
          <cell r="B964" t="str">
            <v>교량용</v>
          </cell>
          <cell r="C964" t="str">
            <v>플라스틱</v>
          </cell>
          <cell r="D964">
            <v>227</v>
          </cell>
          <cell r="E964" t="str">
            <v>EA</v>
          </cell>
        </row>
        <row r="965">
          <cell r="A965" t="str">
            <v>5.07</v>
          </cell>
          <cell r="B965" t="str">
            <v>절토부점검로</v>
          </cell>
        </row>
        <row r="966">
          <cell r="A966" t="str">
            <v>a</v>
          </cell>
          <cell r="B966" t="str">
            <v>전면부 점검로</v>
          </cell>
          <cell r="C966" t="str">
            <v>(철재계단)</v>
          </cell>
          <cell r="D966">
            <v>522</v>
          </cell>
          <cell r="E966" t="str">
            <v>M</v>
          </cell>
        </row>
        <row r="967">
          <cell r="A967" t="str">
            <v>b</v>
          </cell>
          <cell r="B967" t="str">
            <v>점검용계단</v>
          </cell>
          <cell r="C967" t="str">
            <v>깬잡석계단</v>
          </cell>
          <cell r="D967">
            <v>38</v>
          </cell>
          <cell r="E967" t="str">
            <v>M</v>
          </cell>
        </row>
        <row r="968">
          <cell r="A968" t="str">
            <v>5.08</v>
          </cell>
          <cell r="B968" t="str">
            <v>미끄럼방지포장</v>
          </cell>
          <cell r="D968">
            <v>1144</v>
          </cell>
          <cell r="E968" t="str">
            <v>㎡</v>
          </cell>
        </row>
        <row r="969">
          <cell r="A969" t="str">
            <v>5.09</v>
          </cell>
          <cell r="B969" t="str">
            <v>낙석방지책</v>
          </cell>
        </row>
        <row r="970">
          <cell r="A970" t="str">
            <v>a</v>
          </cell>
          <cell r="B970" t="str">
            <v>낙석방책</v>
          </cell>
          <cell r="C970" t="str">
            <v>일반부</v>
          </cell>
          <cell r="D970">
            <v>2056</v>
          </cell>
          <cell r="E970" t="str">
            <v>M</v>
          </cell>
        </row>
        <row r="971">
          <cell r="A971" t="str">
            <v>b</v>
          </cell>
          <cell r="B971" t="str">
            <v>낙석방책</v>
          </cell>
          <cell r="C971" t="str">
            <v>단  부</v>
          </cell>
          <cell r="D971">
            <v>12</v>
          </cell>
          <cell r="E971" t="str">
            <v>EA</v>
          </cell>
        </row>
        <row r="972">
          <cell r="A972" t="str">
            <v>5.10</v>
          </cell>
          <cell r="B972" t="str">
            <v>도로경계블럭</v>
          </cell>
          <cell r="C972" t="str">
            <v>(150X150X1000)</v>
          </cell>
          <cell r="D972">
            <v>2011</v>
          </cell>
          <cell r="E972" t="str">
            <v>m</v>
          </cell>
        </row>
        <row r="973">
          <cell r="A973" t="str">
            <v>5.11</v>
          </cell>
          <cell r="B973" t="str">
            <v>시공보링비</v>
          </cell>
        </row>
        <row r="974">
          <cell r="A974" t="str">
            <v>a</v>
          </cell>
          <cell r="B974" t="str">
            <v>모래</v>
          </cell>
          <cell r="D974">
            <v>84</v>
          </cell>
          <cell r="E974" t="str">
            <v>M</v>
          </cell>
        </row>
        <row r="975">
          <cell r="A975" t="str">
            <v>b</v>
          </cell>
          <cell r="B975" t="str">
            <v>점토및풍화암</v>
          </cell>
          <cell r="D975">
            <v>202</v>
          </cell>
          <cell r="E975" t="str">
            <v>M</v>
          </cell>
        </row>
        <row r="976">
          <cell r="A976" t="str">
            <v>c</v>
          </cell>
          <cell r="B976" t="str">
            <v>연암</v>
          </cell>
          <cell r="D976">
            <v>45</v>
          </cell>
          <cell r="E976" t="str">
            <v>M</v>
          </cell>
        </row>
        <row r="977">
          <cell r="A977" t="str">
            <v>d</v>
          </cell>
          <cell r="B977" t="str">
            <v>경암</v>
          </cell>
          <cell r="D977">
            <v>40</v>
          </cell>
          <cell r="E977" t="str">
            <v>M</v>
          </cell>
        </row>
        <row r="978">
          <cell r="A978" t="str">
            <v>f</v>
          </cell>
          <cell r="B978" t="str">
            <v>기계기구설치비</v>
          </cell>
          <cell r="D978">
            <v>39</v>
          </cell>
          <cell r="E978" t="str">
            <v>개소</v>
          </cell>
        </row>
        <row r="979">
          <cell r="A979" t="str">
            <v>5.12</v>
          </cell>
          <cell r="B979" t="str">
            <v>공사 진입용 가도</v>
          </cell>
        </row>
        <row r="980">
          <cell r="A980" t="str">
            <v>a</v>
          </cell>
          <cell r="B980" t="str">
            <v>성  토</v>
          </cell>
          <cell r="D980">
            <v>14823</v>
          </cell>
          <cell r="E980" t="str">
            <v>㎥</v>
          </cell>
        </row>
        <row r="981">
          <cell r="A981" t="str">
            <v>b</v>
          </cell>
          <cell r="B981" t="str">
            <v>절  토</v>
          </cell>
          <cell r="D981">
            <v>5649</v>
          </cell>
          <cell r="E981" t="str">
            <v>㎥</v>
          </cell>
        </row>
        <row r="982">
          <cell r="A982" t="str">
            <v>c</v>
          </cell>
          <cell r="B982" t="str">
            <v>용  지</v>
          </cell>
          <cell r="D982">
            <v>4887</v>
          </cell>
          <cell r="E982" t="str">
            <v>M2</v>
          </cell>
        </row>
        <row r="983">
          <cell r="A983" t="str">
            <v>d</v>
          </cell>
          <cell r="B983" t="str">
            <v>가배수관</v>
          </cell>
          <cell r="C983" t="str">
            <v>Φ1000MM</v>
          </cell>
          <cell r="D983">
            <v>22</v>
          </cell>
          <cell r="E983" t="str">
            <v>M</v>
          </cell>
        </row>
        <row r="984">
          <cell r="A984" t="str">
            <v>5.13</v>
          </cell>
          <cell r="B984" t="str">
            <v>현장관리공</v>
          </cell>
        </row>
        <row r="985">
          <cell r="A985" t="str">
            <v>a</v>
          </cell>
          <cell r="B985" t="str">
            <v>가설건물</v>
          </cell>
          <cell r="D985">
            <v>1</v>
          </cell>
          <cell r="E985" t="str">
            <v>식</v>
          </cell>
        </row>
        <row r="986">
          <cell r="A986" t="str">
            <v>b</v>
          </cell>
          <cell r="B986" t="str">
            <v>시험비</v>
          </cell>
          <cell r="D986">
            <v>1</v>
          </cell>
          <cell r="E986" t="str">
            <v>PS</v>
          </cell>
        </row>
        <row r="987">
          <cell r="A987" t="str">
            <v>c</v>
          </cell>
          <cell r="B987" t="str">
            <v>시공측량비</v>
          </cell>
          <cell r="D987">
            <v>1</v>
          </cell>
          <cell r="E987" t="str">
            <v>식</v>
          </cell>
        </row>
        <row r="988">
          <cell r="A988" t="str">
            <v>d</v>
          </cell>
          <cell r="B988" t="str">
            <v>품질관리차량비</v>
          </cell>
          <cell r="D988">
            <v>48</v>
          </cell>
          <cell r="E988" t="str">
            <v>개월</v>
          </cell>
        </row>
        <row r="989">
          <cell r="A989" t="str">
            <v>e</v>
          </cell>
          <cell r="B989" t="str">
            <v>도로대장작성</v>
          </cell>
          <cell r="D989">
            <v>5.4</v>
          </cell>
          <cell r="E989" t="str">
            <v>KM</v>
          </cell>
        </row>
        <row r="990">
          <cell r="A990" t="str">
            <v>5.14</v>
          </cell>
          <cell r="B990" t="str">
            <v>공사안전관리비</v>
          </cell>
        </row>
        <row r="991">
          <cell r="A991" t="str">
            <v>a</v>
          </cell>
          <cell r="B991" t="str">
            <v>공사용표지판</v>
          </cell>
          <cell r="D991">
            <v>1</v>
          </cell>
          <cell r="E991" t="str">
            <v>식</v>
          </cell>
        </row>
        <row r="992">
          <cell r="A992" t="str">
            <v>b</v>
          </cell>
          <cell r="B992" t="str">
            <v>공사용가설휀스</v>
          </cell>
          <cell r="D992">
            <v>1</v>
          </cell>
          <cell r="E992" t="str">
            <v>식</v>
          </cell>
        </row>
        <row r="993">
          <cell r="A993" t="str">
            <v>c</v>
          </cell>
          <cell r="B993" t="str">
            <v>안전휀스</v>
          </cell>
          <cell r="D993">
            <v>640</v>
          </cell>
          <cell r="E993" t="str">
            <v>M</v>
          </cell>
        </row>
        <row r="994">
          <cell r="A994" t="str">
            <v>d</v>
          </cell>
          <cell r="B994" t="str">
            <v>안전관리인</v>
          </cell>
          <cell r="D994">
            <v>48</v>
          </cell>
          <cell r="E994" t="str">
            <v>월</v>
          </cell>
        </row>
        <row r="995">
          <cell r="A995" t="str">
            <v>5.15</v>
          </cell>
          <cell r="B995" t="str">
            <v>기존도로유지보수비</v>
          </cell>
        </row>
        <row r="996">
          <cell r="A996" t="str">
            <v>a</v>
          </cell>
          <cell r="B996" t="str">
            <v>기존도로유지보수비</v>
          </cell>
          <cell r="C996" t="str">
            <v>(아스콘포설및다짐)</v>
          </cell>
          <cell r="D996">
            <v>304</v>
          </cell>
          <cell r="E996" t="str">
            <v>a</v>
          </cell>
        </row>
        <row r="997">
          <cell r="A997" t="str">
            <v>b</v>
          </cell>
          <cell r="B997" t="str">
            <v>기존도로유지보수</v>
          </cell>
          <cell r="C997" t="str">
            <v>(택코팅포설및다짐)</v>
          </cell>
          <cell r="D997">
            <v>304</v>
          </cell>
          <cell r="E997" t="str">
            <v>a</v>
          </cell>
        </row>
        <row r="998">
          <cell r="A998" t="str">
            <v>c</v>
          </cell>
          <cell r="B998" t="str">
            <v>기존도로유지보수비</v>
          </cell>
          <cell r="C998" t="str">
            <v>(신호수)</v>
          </cell>
          <cell r="D998">
            <v>18</v>
          </cell>
          <cell r="E998" t="str">
            <v>일</v>
          </cell>
        </row>
        <row r="999">
          <cell r="A999" t="str">
            <v>d</v>
          </cell>
          <cell r="B999" t="str">
            <v>차선도색</v>
          </cell>
          <cell r="C999" t="str">
            <v>(상온형:백색)</v>
          </cell>
          <cell r="D999">
            <v>1080</v>
          </cell>
          <cell r="E999" t="str">
            <v>㎡</v>
          </cell>
        </row>
        <row r="1000">
          <cell r="A1000" t="str">
            <v>e</v>
          </cell>
          <cell r="B1000" t="str">
            <v>차선도색</v>
          </cell>
          <cell r="C1000" t="str">
            <v>(상온형:황색)</v>
          </cell>
          <cell r="D1000">
            <v>540</v>
          </cell>
          <cell r="E1000" t="str">
            <v>㎡</v>
          </cell>
        </row>
        <row r="1001">
          <cell r="A1001" t="str">
            <v>5.16</v>
          </cell>
          <cell r="B1001" t="str">
            <v>기타공</v>
          </cell>
        </row>
        <row r="1002">
          <cell r="A1002" t="str">
            <v>a</v>
          </cell>
          <cell r="B1002" t="str">
            <v>접도구역경계표주</v>
          </cell>
          <cell r="D1002">
            <v>97</v>
          </cell>
          <cell r="E1002" t="str">
            <v>EA</v>
          </cell>
        </row>
        <row r="1003">
          <cell r="A1003" t="str">
            <v>b</v>
          </cell>
          <cell r="B1003" t="str">
            <v>세륜세차시설</v>
          </cell>
          <cell r="D1003">
            <v>2</v>
          </cell>
          <cell r="E1003" t="str">
            <v>개소</v>
          </cell>
        </row>
        <row r="1004">
          <cell r="A1004" t="str">
            <v>c</v>
          </cell>
          <cell r="B1004" t="str">
            <v>크랏샤설치및해체</v>
          </cell>
          <cell r="D1004">
            <v>1</v>
          </cell>
          <cell r="E1004" t="str">
            <v>식</v>
          </cell>
        </row>
        <row r="1005">
          <cell r="A1005" t="str">
            <v>d</v>
          </cell>
          <cell r="B1005" t="str">
            <v>안전점검비</v>
          </cell>
          <cell r="D1005">
            <v>1</v>
          </cell>
          <cell r="E1005" t="str">
            <v>PS</v>
          </cell>
        </row>
        <row r="1006">
          <cell r="A1006" t="str">
            <v>e</v>
          </cell>
          <cell r="B1006" t="str">
            <v>준공표지판설치</v>
          </cell>
          <cell r="D1006">
            <v>1</v>
          </cell>
          <cell r="E1006" t="str">
            <v>EA</v>
          </cell>
        </row>
        <row r="1007">
          <cell r="A1007" t="str">
            <v>f</v>
          </cell>
          <cell r="B1007" t="str">
            <v>용지업무지원비</v>
          </cell>
          <cell r="D1007">
            <v>54</v>
          </cell>
          <cell r="E1007" t="str">
            <v>개월</v>
          </cell>
        </row>
        <row r="1008">
          <cell r="A1008" t="str">
            <v>g</v>
          </cell>
          <cell r="B1008" t="str">
            <v>준공도서작성비</v>
          </cell>
          <cell r="D1008">
            <v>1</v>
          </cell>
          <cell r="E1008" t="str">
            <v>PS</v>
          </cell>
        </row>
        <row r="1009">
          <cell r="A1009" t="str">
            <v>5.17</v>
          </cell>
          <cell r="B1009" t="str">
            <v>운 반 비</v>
          </cell>
        </row>
        <row r="1010">
          <cell r="A1010" t="str">
            <v>a</v>
          </cell>
          <cell r="B1010" t="str">
            <v>중기운반</v>
          </cell>
          <cell r="D1010">
            <v>1</v>
          </cell>
          <cell r="E1010" t="str">
            <v>식</v>
          </cell>
        </row>
        <row r="1011">
          <cell r="A1011" t="str">
            <v>a</v>
          </cell>
          <cell r="B1011" t="str">
            <v>시멘트운반</v>
          </cell>
          <cell r="C1011" t="str">
            <v>(40KG/대)</v>
          </cell>
          <cell r="D1011">
            <v>1008</v>
          </cell>
          <cell r="E1011" t="str">
            <v>대</v>
          </cell>
        </row>
        <row r="1012">
          <cell r="A1012" t="str">
            <v>b</v>
          </cell>
          <cell r="B1012" t="str">
            <v>철근운반</v>
          </cell>
          <cell r="D1012">
            <v>8940.15</v>
          </cell>
          <cell r="E1012" t="str">
            <v>TON</v>
          </cell>
        </row>
        <row r="1013">
          <cell r="A1013" t="str">
            <v>c</v>
          </cell>
          <cell r="B1013" t="str">
            <v>아스팔트운반</v>
          </cell>
          <cell r="D1013">
            <v>497</v>
          </cell>
          <cell r="E1013" t="str">
            <v>D/M</v>
          </cell>
        </row>
        <row r="1014">
          <cell r="A1014" t="str">
            <v>d</v>
          </cell>
          <cell r="B1014" t="str">
            <v>모래운반</v>
          </cell>
          <cell r="D1014">
            <v>3433</v>
          </cell>
          <cell r="E1014" t="str">
            <v>㎥</v>
          </cell>
        </row>
        <row r="1015">
          <cell r="A1015" t="str">
            <v>5.18</v>
          </cell>
          <cell r="B1015" t="str">
            <v>자재비</v>
          </cell>
        </row>
        <row r="1016">
          <cell r="A1016" t="str">
            <v>a</v>
          </cell>
          <cell r="B1016" t="str">
            <v>레미콘</v>
          </cell>
          <cell r="C1016" t="str">
            <v>25-240-12</v>
          </cell>
          <cell r="D1016">
            <v>1760</v>
          </cell>
          <cell r="E1016" t="str">
            <v>㎥</v>
          </cell>
        </row>
        <row r="1017">
          <cell r="A1017" t="str">
            <v>b</v>
          </cell>
          <cell r="B1017" t="str">
            <v>레미콘</v>
          </cell>
          <cell r="C1017" t="str">
            <v>25-210-8</v>
          </cell>
          <cell r="D1017">
            <v>41</v>
          </cell>
          <cell r="E1017" t="str">
            <v>㎥</v>
          </cell>
        </row>
        <row r="1018">
          <cell r="A1018" t="str">
            <v>c</v>
          </cell>
          <cell r="B1018" t="str">
            <v>레미콘</v>
          </cell>
          <cell r="C1018" t="str">
            <v>40-180-8</v>
          </cell>
          <cell r="D1018">
            <v>425</v>
          </cell>
          <cell r="E1018" t="str">
            <v>㎥</v>
          </cell>
        </row>
        <row r="1019">
          <cell r="A1019" t="str">
            <v>d</v>
          </cell>
          <cell r="B1019" t="str">
            <v>레미콘</v>
          </cell>
          <cell r="C1019" t="str">
            <v>40-160-8</v>
          </cell>
          <cell r="D1019">
            <v>26</v>
          </cell>
          <cell r="E1019" t="str">
            <v>㎥</v>
          </cell>
        </row>
        <row r="1020">
          <cell r="A1020" t="str">
            <v>e</v>
          </cell>
          <cell r="B1020" t="str">
            <v>철근</v>
          </cell>
          <cell r="C1020" t="str">
            <v>D16M/M 이상</v>
          </cell>
          <cell r="D1020">
            <v>26.123999999999999</v>
          </cell>
          <cell r="E1020" t="str">
            <v>TON</v>
          </cell>
        </row>
        <row r="1021">
          <cell r="A1021" t="str">
            <v>f</v>
          </cell>
          <cell r="B1021" t="str">
            <v>철근</v>
          </cell>
          <cell r="C1021" t="str">
            <v>D13M/M</v>
          </cell>
          <cell r="D1021">
            <v>2.5790000000000002</v>
          </cell>
          <cell r="E1021" t="str">
            <v>TON</v>
          </cell>
        </row>
        <row r="1022">
          <cell r="A1022" t="str">
            <v>5.19</v>
          </cell>
          <cell r="B1022" t="str">
            <v>고재</v>
          </cell>
          <cell r="D1022">
            <v>260.392</v>
          </cell>
          <cell r="E1022" t="str">
            <v>TON</v>
          </cell>
        </row>
        <row r="1023">
          <cell r="A1023" t="str">
            <v>6</v>
          </cell>
          <cell r="B1023" t="str">
            <v>전기공사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옥외보안등"/>
      <sheetName val="전기실"/>
      <sheetName val="전력간선"/>
      <sheetName val="동력설비"/>
      <sheetName val="전등설비"/>
      <sheetName val="전열공사"/>
      <sheetName val="피뢰침설비"/>
      <sheetName val="SNOW"/>
      <sheetName val="주차관제"/>
      <sheetName val="자탐.유도등"/>
      <sheetName val="전화설비"/>
      <sheetName val="TV설비"/>
      <sheetName val="방송설비"/>
      <sheetName val="강당음향"/>
      <sheetName val="CCTV"/>
      <sheetName val="무선통신"/>
      <sheetName val="전기내역서"/>
      <sheetName val="통신내역서"/>
      <sheetName val="전기지급자재"/>
      <sheetName val="통신지급자재"/>
      <sheetName val="감독차량비"/>
      <sheetName val="원가계산"/>
      <sheetName val="총괄표"/>
      <sheetName val="노무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0">
          <cell r="B10">
            <v>73709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ay Certificate"/>
      <sheetName val="Payment Detail"/>
      <sheetName val="Summary "/>
      <sheetName val="BOQ"/>
      <sheetName val="Back up sheet cover"/>
      <sheetName val="Type A acomm"/>
      <sheetName val="Type B acomm"/>
      <sheetName val="Sur-Equpment"/>
      <sheetName val="Mobile charge 7.0"/>
      <sheetName val="Computer Provision"/>
      <sheetName val=" Vehicle Provision 8(a) (2)"/>
      <sheetName val=" Vehicle service 8(a)"/>
      <sheetName val="Clearing &amp; grubbing"/>
      <sheetName val="Channel Excavation"/>
      <sheetName val="culvert excv soft)"/>
      <sheetName val="culvert excv(hard)"/>
      <sheetName val="Backfill"/>
      <sheetName val="Pipe 36 inch"/>
      <sheetName val="Pipe 48 inch "/>
      <sheetName val="Class A for Slab"/>
      <sheetName val=" Rebar for Culverts"/>
      <sheetName val="Pipe Paved ww"/>
      <sheetName val="Paved ditch"/>
      <sheetName val=" Stone Masonary(class&quot;B&quot; Minor"/>
      <sheetName val="Subgrade preparat."/>
      <sheetName val="Cut to fill "/>
      <sheetName val="Borrow to fill"/>
      <sheetName val="Layer 2 (G20) "/>
      <sheetName val="Layer 3 (G7)"/>
      <sheetName val="cut to spoil common"/>
      <sheetName val="Rock excavation"/>
      <sheetName val="Inter. excavation"/>
      <sheetName val=" Bridge Structural soft  exca "/>
      <sheetName val=" bridge structural hard Exca"/>
      <sheetName val="Hand Laid"/>
      <sheetName val="formwork for footing"/>
      <sheetName val=" Rebar for bridge "/>
      <sheetName val="Class A Concrete Brdg C-30"/>
      <sheetName val="Class A Concrete Brdg C-25"/>
      <sheetName val="Class A Concrete Brdg C-20"/>
      <sheetName val="Class 5 Concrete"/>
      <sheetName val="Bearing"/>
      <sheetName val="Hand Rail"/>
      <sheetName val=" Stone Masonary(class&quot;B&quot;Major"/>
      <sheetName val="Pointing"/>
      <sheetName val="Measurement sheet cover "/>
      <sheetName val="Mesurement of Clearing &amp; Grubbi"/>
      <sheetName val="G20  Measurement"/>
      <sheetName val="G7 Measurement"/>
      <sheetName val="Common Excav Measur (2)"/>
      <sheetName val="Subgrade preparat. measure "/>
      <sheetName val="cut to fill measurement"/>
      <sheetName val="Borrow to fill measur."/>
      <sheetName val="Layer 3 (G7) measur."/>
      <sheetName val="Inter Excavation Measurement"/>
      <sheetName val="rock Excavation Measureme "/>
      <sheetName val="Girder@2+695"/>
      <sheetName val="Slab bridge@7+660"/>
      <sheetName val="Slab culvert@6+441"/>
      <sheetName val="Pointing Girder@2+695 "/>
      <sheetName val="Pointing Slab bridge@7+660"/>
      <sheetName val="Pointing Slab culvert@6+441"/>
      <sheetName val="Pointing Slab culvert@5+468 "/>
      <sheetName val="Slab culvert@6+441 (Back Fill)"/>
      <sheetName val="Sheet1"/>
    </sheetNames>
    <sheetDataSet>
      <sheetData sheetId="0"/>
      <sheetData sheetId="1">
        <row r="14">
          <cell r="P14">
            <v>114378619.07156919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Rev"/>
      <sheetName val=" BOQ Rev"/>
    </sheetNames>
    <sheetDataSet>
      <sheetData sheetId="0">
        <row r="24">
          <cell r="C24">
            <v>163021.95990000002</v>
          </cell>
        </row>
      </sheetData>
      <sheetData sheetId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"/>
      <sheetName val="장비"/>
      <sheetName val="자재"/>
      <sheetName val="산집"/>
      <sheetName val="산근1"/>
      <sheetName val="산근2"/>
    </sheetNames>
    <sheetDataSet>
      <sheetData sheetId="0" refreshError="1"/>
      <sheetData sheetId="1" refreshError="1">
        <row r="16">
          <cell r="M16">
            <v>20000</v>
          </cell>
        </row>
        <row r="17">
          <cell r="M17">
            <v>9570</v>
          </cell>
        </row>
        <row r="20">
          <cell r="M20">
            <v>25000</v>
          </cell>
        </row>
        <row r="21">
          <cell r="M21">
            <v>4134</v>
          </cell>
        </row>
        <row r="32">
          <cell r="M32">
            <v>17000</v>
          </cell>
        </row>
        <row r="33">
          <cell r="M33">
            <v>6593</v>
          </cell>
        </row>
        <row r="36">
          <cell r="M36">
            <v>25000</v>
          </cell>
        </row>
        <row r="37">
          <cell r="M37">
            <v>8052</v>
          </cell>
        </row>
        <row r="40">
          <cell r="M40">
            <v>20000</v>
          </cell>
        </row>
        <row r="41">
          <cell r="M41">
            <v>3855</v>
          </cell>
        </row>
        <row r="44">
          <cell r="M44">
            <v>18000</v>
          </cell>
        </row>
        <row r="45">
          <cell r="M45">
            <v>3175</v>
          </cell>
        </row>
        <row r="48">
          <cell r="M48">
            <v>20000</v>
          </cell>
        </row>
        <row r="49">
          <cell r="M49">
            <v>3477</v>
          </cell>
        </row>
        <row r="52">
          <cell r="M52">
            <v>20000</v>
          </cell>
        </row>
        <row r="53">
          <cell r="M53">
            <v>5343</v>
          </cell>
        </row>
        <row r="56">
          <cell r="M56">
            <v>20000</v>
          </cell>
        </row>
        <row r="57">
          <cell r="M57">
            <v>4422</v>
          </cell>
        </row>
        <row r="84">
          <cell r="M84">
            <v>40000</v>
          </cell>
        </row>
        <row r="85">
          <cell r="M85">
            <v>4216</v>
          </cell>
        </row>
        <row r="124">
          <cell r="M124">
            <v>1500</v>
          </cell>
        </row>
        <row r="125">
          <cell r="M125">
            <v>2305</v>
          </cell>
        </row>
        <row r="132">
          <cell r="M132">
            <v>4500</v>
          </cell>
        </row>
        <row r="133">
          <cell r="M133">
            <v>5254</v>
          </cell>
        </row>
        <row r="144">
          <cell r="M144">
            <v>500</v>
          </cell>
        </row>
        <row r="160">
          <cell r="M160">
            <v>9000</v>
          </cell>
        </row>
        <row r="161">
          <cell r="M161">
            <v>4273</v>
          </cell>
        </row>
        <row r="164">
          <cell r="M164">
            <v>9000</v>
          </cell>
        </row>
        <row r="165">
          <cell r="M165">
            <v>7541</v>
          </cell>
        </row>
        <row r="176">
          <cell r="M176">
            <v>3000</v>
          </cell>
        </row>
        <row r="177">
          <cell r="M177">
            <v>4989</v>
          </cell>
        </row>
        <row r="188">
          <cell r="M188">
            <v>50</v>
          </cell>
        </row>
        <row r="220">
          <cell r="M220">
            <v>2202</v>
          </cell>
        </row>
        <row r="221">
          <cell r="M221">
            <v>1113</v>
          </cell>
        </row>
        <row r="236">
          <cell r="M236">
            <v>1500</v>
          </cell>
        </row>
        <row r="237">
          <cell r="M237">
            <v>0</v>
          </cell>
        </row>
        <row r="240">
          <cell r="M240">
            <v>4000</v>
          </cell>
        </row>
        <row r="241">
          <cell r="M241">
            <v>1723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"/>
      <sheetName val="1-IPC"/>
      <sheetName val="2-Loc.&amp;For"/>
      <sheetName val="P.adjust Factor"/>
      <sheetName val="P.adjustment"/>
      <sheetName val="5-Material Credit"/>
      <sheetName val="6-Late Pay.&amp;Intr."/>
      <sheetName val="7-Summary"/>
      <sheetName val="8-Bill-1"/>
      <sheetName val="9-Bill-2"/>
      <sheetName val="10-Bill-3"/>
      <sheetName val="11-Bill-4"/>
      <sheetName val="12-Bill-5"/>
      <sheetName val="13-Bill-6"/>
      <sheetName val="14-Bill-7"/>
      <sheetName val="15-Bill-8"/>
      <sheetName val="16-Bill-9"/>
      <sheetName val="17-Bill-10"/>
      <sheetName val="18-Bill-11"/>
      <sheetName val="19-Prov. Sums"/>
      <sheetName val="20-Dayworks-Total"/>
      <sheetName val="20-Dayworks-Labour"/>
      <sheetName val="20-Dayworks-Material"/>
      <sheetName val="20-Dayworks-Plant"/>
      <sheetName val="B-1-1"/>
      <sheetName val="B-1-2"/>
      <sheetName val="B-1-3"/>
      <sheetName val="B-1-4"/>
      <sheetName val="B-1-5"/>
      <sheetName val="B-1-6"/>
      <sheetName val="B-1-7"/>
      <sheetName val="B-1-8"/>
      <sheetName val="B-1-9"/>
      <sheetName val="B-1-10"/>
      <sheetName val="B-2-1"/>
      <sheetName val="B-2-2"/>
      <sheetName val="B-2-3"/>
      <sheetName val="B-2-4"/>
      <sheetName val="B-2-5"/>
      <sheetName val="B-2-6"/>
      <sheetName val="B-2-7"/>
      <sheetName val="B-2-8"/>
      <sheetName val="B-2-9"/>
      <sheetName val="B-2-10"/>
      <sheetName val="B-2-11"/>
      <sheetName val="B-2-12"/>
      <sheetName val="B-2-13"/>
      <sheetName val="B-2-14"/>
      <sheetName val="B-2-15"/>
      <sheetName val="B-2-16"/>
      <sheetName val="B-2-17"/>
      <sheetName val="B-2-18"/>
      <sheetName val="B-3-1"/>
      <sheetName val="B-3-2"/>
      <sheetName val="B-3-3"/>
      <sheetName val="B-3-4"/>
      <sheetName val="B-3-5"/>
      <sheetName val="B-3-6"/>
      <sheetName val="B-4-1"/>
      <sheetName val="B-4-2"/>
      <sheetName val="B-7-1"/>
      <sheetName val="Summary of Measure"/>
    </sheetNames>
    <sheetDataSet>
      <sheetData sheetId="0">
        <row r="2">
          <cell r="B2" t="str">
            <v>CERTIFICATE: No.11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락"/>
      <sheetName val="진행"/>
      <sheetName val="일정"/>
      <sheetName val="지분"/>
      <sheetName val="봉투"/>
      <sheetName val="업체"/>
      <sheetName val="FAX"/>
      <sheetName val="또FAX"/>
      <sheetName val="자압"/>
      <sheetName val="부대"/>
      <sheetName val="☞참고"/>
      <sheetName val="구수"/>
      <sheetName val="자료"/>
      <sheetName val="현협"/>
      <sheetName val="견출"/>
      <sheetName val="larou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명    칭</v>
          </cell>
          <cell r="D2" t="str">
            <v>단위</v>
          </cell>
          <cell r="E2" t="str">
            <v>수  량</v>
          </cell>
        </row>
        <row r="3">
          <cell r="B3" t="str">
            <v>1. 앙성-산척간 도로 확장 및 포장공사</v>
          </cell>
        </row>
        <row r="4">
          <cell r="B4" t="str">
            <v>교통표지판</v>
          </cell>
          <cell r="D4" t="str">
            <v>M2</v>
          </cell>
          <cell r="E4">
            <v>927</v>
          </cell>
        </row>
        <row r="5">
          <cell r="B5" t="str">
            <v>삼각표지판 단주식</v>
          </cell>
        </row>
        <row r="6">
          <cell r="B6" t="str">
            <v>단주식</v>
          </cell>
          <cell r="C6" t="str">
            <v>1 변1200 M/M</v>
          </cell>
          <cell r="D6" t="str">
            <v>EA</v>
          </cell>
          <cell r="E6">
            <v>39</v>
          </cell>
        </row>
        <row r="7">
          <cell r="B7" t="str">
            <v>내민식</v>
          </cell>
          <cell r="C7" t="str">
            <v>1 변1500 M/M</v>
          </cell>
          <cell r="D7" t="str">
            <v>EA</v>
          </cell>
          <cell r="E7">
            <v>31</v>
          </cell>
        </row>
        <row r="8">
          <cell r="B8" t="str">
            <v>원형표지판</v>
          </cell>
        </row>
        <row r="9">
          <cell r="B9" t="str">
            <v>단주식</v>
          </cell>
          <cell r="C9" t="str">
            <v>Φ 900 M/M</v>
          </cell>
          <cell r="D9" t="str">
            <v>EA</v>
          </cell>
          <cell r="E9">
            <v>23</v>
          </cell>
        </row>
        <row r="10">
          <cell r="B10" t="str">
            <v>내민식</v>
          </cell>
          <cell r="C10" t="str">
            <v>Φ 1200 M/M</v>
          </cell>
          <cell r="D10" t="str">
            <v>EA</v>
          </cell>
          <cell r="E10">
            <v>18</v>
          </cell>
        </row>
        <row r="11">
          <cell r="B11" t="str">
            <v>부착식</v>
          </cell>
          <cell r="C11" t="str">
            <v>Φ 600 M/M</v>
          </cell>
          <cell r="D11" t="str">
            <v>EA</v>
          </cell>
          <cell r="E11">
            <v>12</v>
          </cell>
        </row>
        <row r="12">
          <cell r="B12" t="str">
            <v>안내표지판</v>
          </cell>
        </row>
        <row r="13">
          <cell r="B13" t="str">
            <v>2방향예고표지</v>
          </cell>
        </row>
        <row r="14">
          <cell r="B14" t="str">
            <v>복주식</v>
          </cell>
          <cell r="C14" t="str">
            <v>2500*1750 M/M</v>
          </cell>
          <cell r="D14" t="str">
            <v>EA</v>
          </cell>
          <cell r="E14">
            <v>11</v>
          </cell>
        </row>
        <row r="15">
          <cell r="B15" t="str">
            <v>내민식</v>
          </cell>
          <cell r="C15" t="str">
            <v>2900*2000 M/M</v>
          </cell>
          <cell r="D15" t="str">
            <v>EA</v>
          </cell>
          <cell r="E15">
            <v>1</v>
          </cell>
        </row>
        <row r="16">
          <cell r="B16" t="str">
            <v>3방향예고표지</v>
          </cell>
        </row>
        <row r="17">
          <cell r="B17" t="str">
            <v>복주식</v>
          </cell>
          <cell r="C17" t="str">
            <v>3850*1900 M/M</v>
          </cell>
          <cell r="D17" t="str">
            <v>EA</v>
          </cell>
          <cell r="E17">
            <v>10</v>
          </cell>
        </row>
        <row r="18">
          <cell r="B18" t="str">
            <v>내민식</v>
          </cell>
          <cell r="C18" t="str">
            <v>4450*2200 M/M</v>
          </cell>
          <cell r="D18" t="str">
            <v>EA</v>
          </cell>
          <cell r="E18">
            <v>10</v>
          </cell>
        </row>
        <row r="19">
          <cell r="B19" t="str">
            <v>출구점예고표지</v>
          </cell>
          <cell r="C19" t="str">
            <v>2600*1450,복주식</v>
          </cell>
          <cell r="D19" t="str">
            <v>EA</v>
          </cell>
          <cell r="E19">
            <v>22</v>
          </cell>
        </row>
        <row r="20">
          <cell r="B20" t="str">
            <v>보조표지판</v>
          </cell>
          <cell r="C20" t="str">
            <v>한변900M/M,600*200</v>
          </cell>
          <cell r="D20" t="str">
            <v>EA</v>
          </cell>
          <cell r="E20">
            <v>2</v>
          </cell>
        </row>
        <row r="21">
          <cell r="B21" t="str">
            <v>면경계표지</v>
          </cell>
          <cell r="C21" t="str">
            <v>1400*700,복주식</v>
          </cell>
          <cell r="D21" t="str">
            <v>EA</v>
          </cell>
          <cell r="E21">
            <v>10</v>
          </cell>
        </row>
        <row r="22">
          <cell r="B22" t="str">
            <v>시선유도표지</v>
          </cell>
        </row>
        <row r="23">
          <cell r="B23" t="str">
            <v>갈매기표지판</v>
          </cell>
        </row>
        <row r="24">
          <cell r="B24" t="str">
            <v>"</v>
          </cell>
          <cell r="C24" t="str">
            <v>단면,AL 600*300M/M</v>
          </cell>
          <cell r="D24" t="str">
            <v>EA</v>
          </cell>
          <cell r="E24">
            <v>12</v>
          </cell>
        </row>
        <row r="25">
          <cell r="B25" t="str">
            <v>"</v>
          </cell>
          <cell r="C25" t="str">
            <v>양면,AL 600*300M/M</v>
          </cell>
          <cell r="D25" t="str">
            <v>EA</v>
          </cell>
          <cell r="E25">
            <v>4</v>
          </cell>
        </row>
        <row r="26">
          <cell r="B26" t="str">
            <v>데리네이터</v>
          </cell>
        </row>
        <row r="27">
          <cell r="B27" t="str">
            <v>"</v>
          </cell>
          <cell r="C27" t="str">
            <v>토 공 용</v>
          </cell>
          <cell r="D27" t="str">
            <v>EA</v>
          </cell>
          <cell r="E27">
            <v>126</v>
          </cell>
        </row>
        <row r="28">
          <cell r="B28" t="str">
            <v>"</v>
          </cell>
          <cell r="C28" t="str">
            <v>가드레일용</v>
          </cell>
          <cell r="D28" t="str">
            <v>EA</v>
          </cell>
          <cell r="E28">
            <v>233</v>
          </cell>
        </row>
        <row r="29">
          <cell r="B29" t="str">
            <v>"</v>
          </cell>
          <cell r="C29" t="str">
            <v>교 량 용</v>
          </cell>
          <cell r="D29" t="str">
            <v>EA</v>
          </cell>
          <cell r="E29">
            <v>70</v>
          </cell>
        </row>
        <row r="30">
          <cell r="B30" t="str">
            <v>"</v>
          </cell>
          <cell r="C30" t="str">
            <v>옹 벽 용</v>
          </cell>
          <cell r="D30" t="str">
            <v>EA</v>
          </cell>
          <cell r="E30">
            <v>119</v>
          </cell>
        </row>
        <row r="31">
          <cell r="B31" t="str">
            <v>도로표지병</v>
          </cell>
          <cell r="D31" t="str">
            <v>EA</v>
          </cell>
          <cell r="E31">
            <v>2434</v>
          </cell>
        </row>
        <row r="32">
          <cell r="B32" t="str">
            <v>가드레일</v>
          </cell>
        </row>
        <row r="33">
          <cell r="B33" t="str">
            <v>표준레일</v>
          </cell>
          <cell r="C33" t="str">
            <v>H700*W4000 M/M</v>
          </cell>
          <cell r="D33" t="str">
            <v>경간</v>
          </cell>
          <cell r="E33">
            <v>3940</v>
          </cell>
        </row>
        <row r="34">
          <cell r="B34" t="str">
            <v>단부구간</v>
          </cell>
          <cell r="C34" t="str">
            <v>H700*W765 M/M</v>
          </cell>
          <cell r="D34" t="str">
            <v>EA소</v>
          </cell>
          <cell r="E34">
            <v>92</v>
          </cell>
        </row>
        <row r="35">
          <cell r="B35" t="str">
            <v>낙석방지책</v>
          </cell>
        </row>
        <row r="36">
          <cell r="B36" t="str">
            <v>표준구간</v>
          </cell>
          <cell r="C36" t="str">
            <v>H3000*W2000 M/M</v>
          </cell>
          <cell r="D36" t="str">
            <v>경간</v>
          </cell>
          <cell r="E36">
            <v>2287</v>
          </cell>
        </row>
        <row r="37">
          <cell r="B37" t="str">
            <v>단부구간</v>
          </cell>
          <cell r="C37" t="str">
            <v>H3000*W2000 M/M</v>
          </cell>
          <cell r="D37" t="str">
            <v>EA소</v>
          </cell>
          <cell r="E37">
            <v>54</v>
          </cell>
        </row>
        <row r="38">
          <cell r="B38" t="str">
            <v>낙석방지망</v>
          </cell>
          <cell r="C38" t="str">
            <v>H3000*3000 M/M</v>
          </cell>
          <cell r="D38" t="str">
            <v>㎡</v>
          </cell>
          <cell r="E38">
            <v>1218</v>
          </cell>
        </row>
        <row r="39">
          <cell r="B39" t="str">
            <v>방 음 벽</v>
          </cell>
        </row>
        <row r="40">
          <cell r="B40" t="str">
            <v>토 공 용</v>
          </cell>
        </row>
        <row r="41">
          <cell r="B41" t="str">
            <v>"</v>
          </cell>
          <cell r="C41" t="str">
            <v>H=2.0M</v>
          </cell>
          <cell r="D41" t="str">
            <v>M</v>
          </cell>
          <cell r="E41">
            <v>1040</v>
          </cell>
        </row>
        <row r="42">
          <cell r="B42" t="str">
            <v>"</v>
          </cell>
          <cell r="C42" t="str">
            <v>H=4.5M</v>
          </cell>
          <cell r="D42" t="str">
            <v>M</v>
          </cell>
          <cell r="E42">
            <v>400</v>
          </cell>
        </row>
        <row r="43">
          <cell r="B43" t="str">
            <v>교 량 용</v>
          </cell>
          <cell r="C43" t="str">
            <v>H=2.0M</v>
          </cell>
          <cell r="D43" t="str">
            <v>M</v>
          </cell>
          <cell r="E43">
            <v>120</v>
          </cell>
        </row>
        <row r="45">
          <cell r="B45" t="str">
            <v>2. 강진-장흥간 도로 확장 및 포장공사</v>
          </cell>
        </row>
        <row r="46">
          <cell r="B46" t="str">
            <v>교통표지판(삼각)</v>
          </cell>
          <cell r="C46" t="str">
            <v>(L=1200)</v>
          </cell>
          <cell r="D46" t="str">
            <v>EA</v>
          </cell>
          <cell r="E46">
            <v>34</v>
          </cell>
        </row>
        <row r="47">
          <cell r="B47" t="str">
            <v>교통표지판(원형)</v>
          </cell>
          <cell r="C47" t="str">
            <v>(φ900)</v>
          </cell>
          <cell r="D47" t="str">
            <v>EA</v>
          </cell>
          <cell r="E47">
            <v>6</v>
          </cell>
        </row>
        <row r="48">
          <cell r="B48" t="str">
            <v>교통표지판(이중원형)</v>
          </cell>
          <cell r="C48" t="str">
            <v>(D=0.9+0.9)</v>
          </cell>
          <cell r="D48" t="str">
            <v>EA</v>
          </cell>
          <cell r="E48">
            <v>26</v>
          </cell>
        </row>
        <row r="49">
          <cell r="B49" t="str">
            <v>원형표지판</v>
          </cell>
          <cell r="C49" t="str">
            <v>(φ0.9부착식)</v>
          </cell>
          <cell r="D49" t="str">
            <v>EA</v>
          </cell>
          <cell r="E49">
            <v>6</v>
          </cell>
        </row>
        <row r="50">
          <cell r="B50" t="str">
            <v>2방향예고403-3</v>
          </cell>
          <cell r="C50" t="str">
            <v>(2.9*2.0)(내민식)</v>
          </cell>
          <cell r="D50" t="str">
            <v>EA</v>
          </cell>
          <cell r="E50">
            <v>10</v>
          </cell>
        </row>
        <row r="51">
          <cell r="B51" t="str">
            <v>2방향표지403-4</v>
          </cell>
          <cell r="C51" t="str">
            <v>(2.9*2.0)(내민식)</v>
          </cell>
          <cell r="D51" t="str">
            <v>EA</v>
          </cell>
          <cell r="E51">
            <v>10</v>
          </cell>
        </row>
        <row r="52">
          <cell r="B52" t="str">
            <v>2방향예고403-5</v>
          </cell>
          <cell r="C52" t="str">
            <v>(3.0*2.0)(복주식)</v>
          </cell>
          <cell r="D52" t="str">
            <v>EA</v>
          </cell>
          <cell r="E52">
            <v>3</v>
          </cell>
        </row>
        <row r="53">
          <cell r="B53" t="str">
            <v>2방향표지403-6</v>
          </cell>
          <cell r="C53" t="str">
            <v>(3.0*2.0)(복주식)</v>
          </cell>
          <cell r="D53" t="str">
            <v>EA</v>
          </cell>
          <cell r="E53">
            <v>5</v>
          </cell>
        </row>
        <row r="54">
          <cell r="B54" t="str">
            <v>버스정류장표지판</v>
          </cell>
          <cell r="C54" t="str">
            <v>(2.42*1.2)(복주식)</v>
          </cell>
          <cell r="D54" t="str">
            <v>EA</v>
          </cell>
          <cell r="E54">
            <v>4</v>
          </cell>
        </row>
        <row r="55">
          <cell r="B55" t="str">
            <v>이정표지402-2</v>
          </cell>
          <cell r="C55" t="str">
            <v>(3.05*2.1)(내민식)</v>
          </cell>
          <cell r="D55" t="str">
            <v>EA</v>
          </cell>
          <cell r="E55">
            <v>4</v>
          </cell>
        </row>
        <row r="56">
          <cell r="B56" t="str">
            <v>소형사각표지판</v>
          </cell>
          <cell r="C56" t="str">
            <v>(0.6*0.2)</v>
          </cell>
          <cell r="D56" t="str">
            <v>EA</v>
          </cell>
          <cell r="E56">
            <v>2</v>
          </cell>
        </row>
        <row r="57">
          <cell r="B57" t="str">
            <v>하천안내표지</v>
          </cell>
          <cell r="C57" t="str">
            <v>(2.5*1.65)</v>
          </cell>
          <cell r="D57" t="str">
            <v>EA</v>
          </cell>
          <cell r="E57">
            <v>2</v>
          </cell>
        </row>
        <row r="58">
          <cell r="B58" t="str">
            <v>출구점2방향표지</v>
          </cell>
          <cell r="C58" t="str">
            <v>(3.4*0.95)(복주식)</v>
          </cell>
          <cell r="D58" t="str">
            <v>EA</v>
          </cell>
          <cell r="E58">
            <v>6</v>
          </cell>
        </row>
        <row r="59">
          <cell r="B59" t="str">
            <v>군계표지</v>
          </cell>
          <cell r="C59" t="str">
            <v>(1.4*0.70+1.4*0.3)</v>
          </cell>
          <cell r="D59" t="str">
            <v>EA</v>
          </cell>
          <cell r="E59">
            <v>2</v>
          </cell>
        </row>
        <row r="60">
          <cell r="B60" t="str">
            <v>소분리대반사판</v>
          </cell>
          <cell r="C60" t="str">
            <v>(500*300)</v>
          </cell>
          <cell r="D60" t="str">
            <v>EA</v>
          </cell>
          <cell r="E60">
            <v>6</v>
          </cell>
        </row>
        <row r="61">
          <cell r="B61" t="str">
            <v>가드레일</v>
          </cell>
        </row>
        <row r="62">
          <cell r="B62" t="str">
            <v>가드레일</v>
          </cell>
          <cell r="C62" t="str">
            <v>(표준레일)</v>
          </cell>
          <cell r="D62" t="str">
            <v>m</v>
          </cell>
          <cell r="E62">
            <v>61784</v>
          </cell>
        </row>
        <row r="63">
          <cell r="B63" t="str">
            <v>가드레일</v>
          </cell>
          <cell r="C63" t="str">
            <v>(단부레일)</v>
          </cell>
          <cell r="D63" t="str">
            <v>EA</v>
          </cell>
          <cell r="E63">
            <v>99</v>
          </cell>
        </row>
        <row r="64">
          <cell r="B64" t="str">
            <v>가드레일포스트</v>
          </cell>
          <cell r="C64" t="str">
            <v>(L=2.2m)</v>
          </cell>
          <cell r="D64" t="str">
            <v>EA</v>
          </cell>
          <cell r="E64">
            <v>14412</v>
          </cell>
        </row>
        <row r="65">
          <cell r="B65" t="str">
            <v>가드레일포스트</v>
          </cell>
          <cell r="C65" t="str">
            <v>(L=1.93m)</v>
          </cell>
          <cell r="D65" t="str">
            <v>EA</v>
          </cell>
          <cell r="E65">
            <v>27</v>
          </cell>
        </row>
        <row r="66">
          <cell r="B66" t="str">
            <v>가드레일포스트</v>
          </cell>
          <cell r="C66" t="str">
            <v>(L=1.76m)</v>
          </cell>
          <cell r="D66" t="str">
            <v>EA</v>
          </cell>
          <cell r="E66">
            <v>27</v>
          </cell>
        </row>
        <row r="67">
          <cell r="B67" t="str">
            <v>가드레일포스트</v>
          </cell>
          <cell r="C67" t="str">
            <v>(L=1.1m)중분대</v>
          </cell>
          <cell r="D67" t="str">
            <v>EA</v>
          </cell>
          <cell r="E67">
            <v>1092</v>
          </cell>
        </row>
        <row r="68">
          <cell r="B68" t="str">
            <v>라운드레일</v>
          </cell>
          <cell r="C68" t="str">
            <v>(중분대)</v>
          </cell>
          <cell r="D68" t="str">
            <v>EA</v>
          </cell>
          <cell r="E68">
            <v>70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락"/>
      <sheetName val="진행"/>
      <sheetName val="일정"/>
      <sheetName val="지분"/>
      <sheetName val="봉투"/>
      <sheetName val="업체"/>
      <sheetName val="FAX"/>
      <sheetName val="또FAX"/>
      <sheetName val="자압"/>
      <sheetName val="부대"/>
      <sheetName val="☞참고"/>
      <sheetName val="구수"/>
      <sheetName val="자료"/>
      <sheetName val="현협"/>
      <sheetName val="견출"/>
      <sheetName val="larou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명    칭</v>
          </cell>
          <cell r="D2" t="str">
            <v>단위</v>
          </cell>
          <cell r="E2" t="str">
            <v>수  량</v>
          </cell>
        </row>
        <row r="3">
          <cell r="B3" t="str">
            <v>1. 앙성-산척간 도로 확장 및 포장공사</v>
          </cell>
        </row>
        <row r="4">
          <cell r="B4" t="str">
            <v>교통표지판</v>
          </cell>
          <cell r="D4" t="str">
            <v>M2</v>
          </cell>
          <cell r="E4">
            <v>927</v>
          </cell>
        </row>
        <row r="5">
          <cell r="B5" t="str">
            <v>삼각표지판 단주식</v>
          </cell>
        </row>
        <row r="6">
          <cell r="B6" t="str">
            <v>단주식</v>
          </cell>
          <cell r="D6" t="str">
            <v>EA</v>
          </cell>
          <cell r="E6">
            <v>39</v>
          </cell>
        </row>
        <row r="7">
          <cell r="B7" t="str">
            <v>내민식</v>
          </cell>
          <cell r="D7" t="str">
            <v>EA</v>
          </cell>
          <cell r="E7">
            <v>31</v>
          </cell>
        </row>
        <row r="8">
          <cell r="B8" t="str">
            <v>원형표지판</v>
          </cell>
        </row>
        <row r="9">
          <cell r="B9" t="str">
            <v>단주식</v>
          </cell>
          <cell r="D9" t="str">
            <v>EA</v>
          </cell>
          <cell r="E9">
            <v>23</v>
          </cell>
        </row>
        <row r="10">
          <cell r="B10" t="str">
            <v>내민식</v>
          </cell>
          <cell r="D10" t="str">
            <v>EA</v>
          </cell>
          <cell r="E10">
            <v>18</v>
          </cell>
        </row>
        <row r="11">
          <cell r="B11" t="str">
            <v>부착식</v>
          </cell>
          <cell r="D11" t="str">
            <v>EA</v>
          </cell>
          <cell r="E11">
            <v>12</v>
          </cell>
        </row>
        <row r="12">
          <cell r="B12" t="str">
            <v>안내표지판</v>
          </cell>
        </row>
        <row r="13">
          <cell r="B13" t="str">
            <v>2방향예고표지</v>
          </cell>
        </row>
        <row r="14">
          <cell r="B14" t="str">
            <v>복주식</v>
          </cell>
          <cell r="D14" t="str">
            <v>EA</v>
          </cell>
          <cell r="E14">
            <v>11</v>
          </cell>
        </row>
        <row r="15">
          <cell r="B15" t="str">
            <v>내민식</v>
          </cell>
          <cell r="D15" t="str">
            <v>EA</v>
          </cell>
          <cell r="E15">
            <v>1</v>
          </cell>
        </row>
        <row r="16">
          <cell r="B16" t="str">
            <v>3방향예고표지</v>
          </cell>
        </row>
        <row r="17">
          <cell r="B17" t="str">
            <v>복주식</v>
          </cell>
          <cell r="D17" t="str">
            <v>EA</v>
          </cell>
          <cell r="E17">
            <v>10</v>
          </cell>
        </row>
        <row r="18">
          <cell r="B18" t="str">
            <v>내민식</v>
          </cell>
          <cell r="D18" t="str">
            <v>EA</v>
          </cell>
          <cell r="E18">
            <v>10</v>
          </cell>
        </row>
        <row r="19">
          <cell r="B19" t="str">
            <v>출구점예고표지</v>
          </cell>
          <cell r="D19" t="str">
            <v>EA</v>
          </cell>
          <cell r="E19">
            <v>22</v>
          </cell>
        </row>
        <row r="20">
          <cell r="B20" t="str">
            <v>보조표지판</v>
          </cell>
          <cell r="D20" t="str">
            <v>EA</v>
          </cell>
          <cell r="E20">
            <v>2</v>
          </cell>
        </row>
        <row r="21">
          <cell r="B21" t="str">
            <v>면경계표지</v>
          </cell>
          <cell r="D21" t="str">
            <v>EA</v>
          </cell>
          <cell r="E21">
            <v>10</v>
          </cell>
        </row>
        <row r="22">
          <cell r="B22" t="str">
            <v>시선유도표지</v>
          </cell>
        </row>
        <row r="23">
          <cell r="B23" t="str">
            <v>갈매기표지판</v>
          </cell>
        </row>
        <row r="24">
          <cell r="B24" t="str">
            <v>"</v>
          </cell>
          <cell r="D24" t="str">
            <v>EA</v>
          </cell>
          <cell r="E24">
            <v>12</v>
          </cell>
        </row>
        <row r="25">
          <cell r="B25" t="str">
            <v>"</v>
          </cell>
          <cell r="D25" t="str">
            <v>EA</v>
          </cell>
          <cell r="E25">
            <v>4</v>
          </cell>
        </row>
        <row r="26">
          <cell r="B26" t="str">
            <v>데리네이터</v>
          </cell>
        </row>
        <row r="27">
          <cell r="B27" t="str">
            <v>"</v>
          </cell>
          <cell r="D27" t="str">
            <v>EA</v>
          </cell>
          <cell r="E27">
            <v>126</v>
          </cell>
        </row>
        <row r="28">
          <cell r="B28" t="str">
            <v>"</v>
          </cell>
          <cell r="D28" t="str">
            <v>EA</v>
          </cell>
          <cell r="E28">
            <v>233</v>
          </cell>
        </row>
        <row r="29">
          <cell r="B29" t="str">
            <v>"</v>
          </cell>
          <cell r="D29" t="str">
            <v>EA</v>
          </cell>
          <cell r="E29">
            <v>70</v>
          </cell>
        </row>
        <row r="30">
          <cell r="B30" t="str">
            <v>"</v>
          </cell>
          <cell r="D30" t="str">
            <v>EA</v>
          </cell>
          <cell r="E30">
            <v>119</v>
          </cell>
        </row>
        <row r="31">
          <cell r="B31" t="str">
            <v>도로표지병</v>
          </cell>
          <cell r="D31" t="str">
            <v>EA</v>
          </cell>
          <cell r="E31">
            <v>2434</v>
          </cell>
        </row>
        <row r="32">
          <cell r="B32" t="str">
            <v>가드레일</v>
          </cell>
        </row>
        <row r="33">
          <cell r="B33" t="str">
            <v>표준레일</v>
          </cell>
          <cell r="D33" t="str">
            <v>경간</v>
          </cell>
          <cell r="E33">
            <v>3940</v>
          </cell>
        </row>
        <row r="34">
          <cell r="B34" t="str">
            <v>단부구간</v>
          </cell>
          <cell r="D34" t="str">
            <v>EA소</v>
          </cell>
          <cell r="E34">
            <v>92</v>
          </cell>
        </row>
        <row r="35">
          <cell r="B35" t="str">
            <v>낙석방지책</v>
          </cell>
        </row>
        <row r="36">
          <cell r="B36" t="str">
            <v>표준구간</v>
          </cell>
          <cell r="D36" t="str">
            <v>경간</v>
          </cell>
          <cell r="E36">
            <v>2287</v>
          </cell>
        </row>
        <row r="37">
          <cell r="B37" t="str">
            <v>단부구간</v>
          </cell>
          <cell r="D37" t="str">
            <v>EA소</v>
          </cell>
          <cell r="E37">
            <v>54</v>
          </cell>
        </row>
        <row r="38">
          <cell r="B38" t="str">
            <v>낙석방지망</v>
          </cell>
          <cell r="D38" t="str">
            <v>㎡</v>
          </cell>
          <cell r="E38">
            <v>1218</v>
          </cell>
        </row>
        <row r="39">
          <cell r="B39" t="str">
            <v>방 음 벽</v>
          </cell>
        </row>
        <row r="40">
          <cell r="B40" t="str">
            <v>토 공 용</v>
          </cell>
        </row>
        <row r="41">
          <cell r="B41" t="str">
            <v>"</v>
          </cell>
          <cell r="D41" t="str">
            <v>M</v>
          </cell>
          <cell r="E41">
            <v>1040</v>
          </cell>
        </row>
        <row r="42">
          <cell r="B42" t="str">
            <v>"</v>
          </cell>
          <cell r="D42" t="str">
            <v>M</v>
          </cell>
          <cell r="E42">
            <v>400</v>
          </cell>
        </row>
        <row r="43">
          <cell r="B43" t="str">
            <v>교 량 용</v>
          </cell>
          <cell r="D43" t="str">
            <v>M</v>
          </cell>
          <cell r="E43">
            <v>120</v>
          </cell>
        </row>
        <row r="45">
          <cell r="B45" t="str">
            <v>2. 강진-장흥간 도로 확장 및 포장공사</v>
          </cell>
        </row>
        <row r="46">
          <cell r="B46" t="str">
            <v>교통표지판(삼각)</v>
          </cell>
          <cell r="D46" t="str">
            <v>EA</v>
          </cell>
          <cell r="E46">
            <v>34</v>
          </cell>
        </row>
        <row r="47">
          <cell r="B47" t="str">
            <v>교통표지판(원형)</v>
          </cell>
          <cell r="D47" t="str">
            <v>EA</v>
          </cell>
          <cell r="E47">
            <v>6</v>
          </cell>
        </row>
        <row r="48">
          <cell r="B48" t="str">
            <v>교통표지판(이중원형)</v>
          </cell>
          <cell r="D48" t="str">
            <v>EA</v>
          </cell>
          <cell r="E48">
            <v>26</v>
          </cell>
        </row>
        <row r="49">
          <cell r="B49" t="str">
            <v>원형표지판</v>
          </cell>
          <cell r="D49" t="str">
            <v>EA</v>
          </cell>
          <cell r="E49">
            <v>6</v>
          </cell>
        </row>
        <row r="50">
          <cell r="B50" t="str">
            <v>2방향예고403-3</v>
          </cell>
          <cell r="D50" t="str">
            <v>EA</v>
          </cell>
          <cell r="E50">
            <v>10</v>
          </cell>
        </row>
        <row r="51">
          <cell r="B51" t="str">
            <v>2방향표지403-4</v>
          </cell>
          <cell r="D51" t="str">
            <v>EA</v>
          </cell>
          <cell r="E51">
            <v>10</v>
          </cell>
        </row>
        <row r="52">
          <cell r="B52" t="str">
            <v>2방향예고403-5</v>
          </cell>
          <cell r="D52" t="str">
            <v>EA</v>
          </cell>
          <cell r="E52">
            <v>3</v>
          </cell>
        </row>
        <row r="53">
          <cell r="B53" t="str">
            <v>2방향표지403-6</v>
          </cell>
          <cell r="D53" t="str">
            <v>EA</v>
          </cell>
          <cell r="E53">
            <v>5</v>
          </cell>
        </row>
        <row r="54">
          <cell r="B54" t="str">
            <v>버스정류장표지판</v>
          </cell>
          <cell r="D54" t="str">
            <v>EA</v>
          </cell>
          <cell r="E54">
            <v>4</v>
          </cell>
        </row>
        <row r="55">
          <cell r="B55" t="str">
            <v>이정표지402-2</v>
          </cell>
          <cell r="D55" t="str">
            <v>EA</v>
          </cell>
          <cell r="E55">
            <v>4</v>
          </cell>
        </row>
        <row r="56">
          <cell r="B56" t="str">
            <v>소형사각표지판</v>
          </cell>
          <cell r="D56" t="str">
            <v>EA</v>
          </cell>
          <cell r="E56">
            <v>2</v>
          </cell>
        </row>
        <row r="57">
          <cell r="B57" t="str">
            <v>하천안내표지</v>
          </cell>
          <cell r="D57" t="str">
            <v>EA</v>
          </cell>
          <cell r="E57">
            <v>2</v>
          </cell>
        </row>
        <row r="58">
          <cell r="B58" t="str">
            <v>출구점2방향표지</v>
          </cell>
          <cell r="D58" t="str">
            <v>EA</v>
          </cell>
          <cell r="E58">
            <v>6</v>
          </cell>
        </row>
        <row r="59">
          <cell r="B59" t="str">
            <v>군계표지</v>
          </cell>
          <cell r="D59" t="str">
            <v>EA</v>
          </cell>
          <cell r="E59">
            <v>2</v>
          </cell>
        </row>
        <row r="60">
          <cell r="B60" t="str">
            <v>소분리대반사판</v>
          </cell>
          <cell r="D60" t="str">
            <v>EA</v>
          </cell>
          <cell r="E60">
            <v>6</v>
          </cell>
        </row>
        <row r="61">
          <cell r="B61" t="str">
            <v>가드레일</v>
          </cell>
        </row>
        <row r="62">
          <cell r="B62" t="str">
            <v>가드레일</v>
          </cell>
          <cell r="D62" t="str">
            <v>m</v>
          </cell>
          <cell r="E62">
            <v>61784</v>
          </cell>
        </row>
        <row r="63">
          <cell r="B63" t="str">
            <v>가드레일</v>
          </cell>
          <cell r="D63" t="str">
            <v>EA</v>
          </cell>
          <cell r="E63">
            <v>99</v>
          </cell>
        </row>
        <row r="64">
          <cell r="B64" t="str">
            <v>가드레일포스트</v>
          </cell>
          <cell r="D64" t="str">
            <v>EA</v>
          </cell>
          <cell r="E64">
            <v>14412</v>
          </cell>
        </row>
        <row r="65">
          <cell r="B65" t="str">
            <v>가드레일포스트</v>
          </cell>
          <cell r="D65" t="str">
            <v>EA</v>
          </cell>
          <cell r="E65">
            <v>27</v>
          </cell>
        </row>
        <row r="66">
          <cell r="B66" t="str">
            <v>가드레일포스트</v>
          </cell>
          <cell r="D66" t="str">
            <v>EA</v>
          </cell>
          <cell r="E66">
            <v>27</v>
          </cell>
        </row>
        <row r="67">
          <cell r="B67" t="str">
            <v>가드레일포스트</v>
          </cell>
          <cell r="D67" t="str">
            <v>EA</v>
          </cell>
          <cell r="E67">
            <v>1092</v>
          </cell>
        </row>
        <row r="68">
          <cell r="B68" t="str">
            <v>라운드레일</v>
          </cell>
          <cell r="D68" t="str">
            <v>EA</v>
          </cell>
          <cell r="E68">
            <v>70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옥외보안등"/>
      <sheetName val="전기실"/>
      <sheetName val="전력간선"/>
      <sheetName val="동력설비"/>
      <sheetName val="전등설비"/>
      <sheetName val="전열공사"/>
      <sheetName val="피뢰침설비"/>
      <sheetName val="SNOW"/>
      <sheetName val="주차관제"/>
      <sheetName val="자탐.유도등"/>
      <sheetName val="전화설비"/>
      <sheetName val="TV설비"/>
      <sheetName val="방송설비"/>
      <sheetName val="강당음향"/>
      <sheetName val="CCTV"/>
      <sheetName val="무선통신"/>
      <sheetName val="전기내역서"/>
      <sheetName val="통신내역서"/>
      <sheetName val="전기지급자재"/>
      <sheetName val="통신지급자재"/>
      <sheetName val="감독차량비"/>
      <sheetName val="원가계산"/>
      <sheetName val="총괄표"/>
      <sheetName val="노무비"/>
      <sheetName val="laroux"/>
      <sheetName val="도급예정1199"/>
      <sheetName val="외주대비"/>
      <sheetName val="수정실행"/>
      <sheetName val="단가산출근거"/>
      <sheetName val="현장인원투입"/>
      <sheetName val="장비투입계획"/>
      <sheetName val="현황사진"/>
      <sheetName val="옹벽"/>
      <sheetName val="외주대비-구조물"/>
      <sheetName val="외주대비 -석축"/>
      <sheetName val="외주대비-구조물 (2)"/>
      <sheetName val="견적표지 (3)"/>
      <sheetName val="정태현"/>
      <sheetName val="경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">
          <cell r="B2">
            <v>53181</v>
          </cell>
        </row>
        <row r="8">
          <cell r="B8">
            <v>70804</v>
          </cell>
        </row>
        <row r="10">
          <cell r="B10">
            <v>73709</v>
          </cell>
        </row>
        <row r="12">
          <cell r="B12">
            <v>103707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계"/>
      <sheetName val="비교(전체)"/>
      <sheetName val="현장경비(전체)"/>
      <sheetName val="비교(삼척교)"/>
      <sheetName val="비교(분할)"/>
      <sheetName val="현장경비(분할)"/>
      <sheetName val="비교(삼척교) (2)"/>
      <sheetName val="Sheet3"/>
      <sheetName val="Sheet2"/>
      <sheetName val="Sheet1"/>
    </sheetNames>
    <sheetDataSet>
      <sheetData sheetId="0" refreshError="1">
        <row r="3">
          <cell r="B3" t="str">
            <v>ITNUM</v>
          </cell>
          <cell r="C3" t="str">
            <v>공    종</v>
          </cell>
          <cell r="D3" t="str">
            <v>규    격</v>
          </cell>
          <cell r="E3" t="str">
            <v>수  량</v>
          </cell>
          <cell r="F3" t="str">
            <v>단위</v>
          </cell>
          <cell r="G3" t="str">
            <v>단  가</v>
          </cell>
          <cell r="H3" t="str">
            <v>금   액</v>
          </cell>
        </row>
        <row r="4">
          <cell r="B4">
            <v>1</v>
          </cell>
          <cell r="C4" t="str">
            <v>토      공</v>
          </cell>
          <cell r="H4">
            <v>22243667455</v>
          </cell>
        </row>
        <row r="5">
          <cell r="B5">
            <v>2</v>
          </cell>
          <cell r="C5" t="str">
            <v>배  수  공</v>
          </cell>
          <cell r="H5">
            <v>5967567764</v>
          </cell>
        </row>
        <row r="6">
          <cell r="B6">
            <v>3</v>
          </cell>
          <cell r="C6" t="str">
            <v>구조물  공</v>
          </cell>
          <cell r="H6">
            <v>25604531247</v>
          </cell>
        </row>
        <row r="7">
          <cell r="B7">
            <v>4</v>
          </cell>
          <cell r="C7" t="str">
            <v>터  널  공</v>
          </cell>
          <cell r="H7">
            <v>11753390470</v>
          </cell>
        </row>
        <row r="8">
          <cell r="B8">
            <v>5</v>
          </cell>
          <cell r="C8" t="str">
            <v>포  장  공</v>
          </cell>
          <cell r="H8">
            <v>8838290340</v>
          </cell>
        </row>
        <row r="9">
          <cell r="B9">
            <v>6</v>
          </cell>
          <cell r="C9" t="str">
            <v>안전시설공</v>
          </cell>
          <cell r="H9">
            <v>1808475120</v>
          </cell>
        </row>
        <row r="10">
          <cell r="B10">
            <v>7</v>
          </cell>
          <cell r="C10" t="str">
            <v>부  대  공</v>
          </cell>
          <cell r="H10">
            <v>9616005090</v>
          </cell>
        </row>
        <row r="12">
          <cell r="C12" t="str">
            <v>순공사비 계</v>
          </cell>
          <cell r="H12">
            <v>85831927486</v>
          </cell>
        </row>
        <row r="13">
          <cell r="C13" t="str">
            <v>간접 노무비</v>
          </cell>
          <cell r="E13">
            <v>1</v>
          </cell>
          <cell r="F13" t="str">
            <v>식</v>
          </cell>
          <cell r="H13">
            <v>5993476000</v>
          </cell>
        </row>
        <row r="14">
          <cell r="C14" t="str">
            <v>산재 보험료</v>
          </cell>
          <cell r="E14">
            <v>1</v>
          </cell>
          <cell r="F14" t="str">
            <v>식</v>
          </cell>
          <cell r="H14">
            <v>1400000000</v>
          </cell>
        </row>
        <row r="15">
          <cell r="C15" t="str">
            <v>안전 관리비</v>
          </cell>
          <cell r="E15">
            <v>1</v>
          </cell>
          <cell r="F15" t="str">
            <v>식</v>
          </cell>
          <cell r="H15">
            <v>1322394000</v>
          </cell>
        </row>
        <row r="16">
          <cell r="C16" t="str">
            <v>기타   경비</v>
          </cell>
          <cell r="E16">
            <v>1</v>
          </cell>
          <cell r="F16" t="str">
            <v>식</v>
          </cell>
          <cell r="H16">
            <v>4994563000</v>
          </cell>
        </row>
        <row r="18">
          <cell r="C18" t="str">
            <v>계</v>
          </cell>
          <cell r="H18">
            <v>99542360486</v>
          </cell>
        </row>
        <row r="19">
          <cell r="C19" t="str">
            <v>일반 관리비</v>
          </cell>
          <cell r="E19">
            <v>1</v>
          </cell>
          <cell r="F19" t="str">
            <v>식</v>
          </cell>
          <cell r="H19">
            <v>4495107000</v>
          </cell>
        </row>
        <row r="20">
          <cell r="C20" t="str">
            <v>이       윤</v>
          </cell>
          <cell r="E20">
            <v>1</v>
          </cell>
          <cell r="F20" t="str">
            <v>식</v>
          </cell>
          <cell r="H20">
            <v>5091354514</v>
          </cell>
        </row>
        <row r="21">
          <cell r="C21" t="str">
            <v>전  기   공</v>
          </cell>
          <cell r="E21">
            <v>1</v>
          </cell>
          <cell r="F21" t="str">
            <v>식</v>
          </cell>
          <cell r="H21">
            <v>1650000000</v>
          </cell>
        </row>
        <row r="22">
          <cell r="C22" t="str">
            <v>고용 보험료</v>
          </cell>
          <cell r="E22">
            <v>1</v>
          </cell>
          <cell r="F22" t="str">
            <v>식</v>
          </cell>
          <cell r="H22">
            <v>221178000</v>
          </cell>
        </row>
        <row r="24">
          <cell r="C24" t="str">
            <v>합        계</v>
          </cell>
          <cell r="H24">
            <v>111000000000</v>
          </cell>
        </row>
        <row r="25">
          <cell r="C25" t="str">
            <v>부가 가치세</v>
          </cell>
          <cell r="E25">
            <v>1</v>
          </cell>
          <cell r="F25" t="str">
            <v>식</v>
          </cell>
          <cell r="H25">
            <v>11100000000</v>
          </cell>
        </row>
        <row r="27">
          <cell r="C27" t="str">
            <v>총       계</v>
          </cell>
          <cell r="H27">
            <v>122100000000</v>
          </cell>
        </row>
        <row r="37">
          <cell r="B37" t="str">
            <v>1.</v>
          </cell>
          <cell r="C37" t="str">
            <v>토  공</v>
          </cell>
          <cell r="H37">
            <v>22243667455</v>
          </cell>
        </row>
        <row r="38">
          <cell r="B38" t="str">
            <v>1)</v>
          </cell>
          <cell r="C38" t="str">
            <v>구조물철거</v>
          </cell>
        </row>
        <row r="39">
          <cell r="B39" t="str">
            <v>가.</v>
          </cell>
          <cell r="C39" t="str">
            <v>철근콘크리트깨기</v>
          </cell>
          <cell r="D39" t="str">
            <v>(T=30cm미만)</v>
          </cell>
          <cell r="E39">
            <v>368</v>
          </cell>
          <cell r="F39" t="str">
            <v>M3</v>
          </cell>
          <cell r="G39">
            <v>100000</v>
          </cell>
          <cell r="H39">
            <v>36800000</v>
          </cell>
        </row>
        <row r="40">
          <cell r="B40" t="str">
            <v>나.</v>
          </cell>
          <cell r="C40" t="str">
            <v>무근콘크리트깨기</v>
          </cell>
          <cell r="D40" t="str">
            <v>(T=30Cm미만)</v>
          </cell>
          <cell r="E40">
            <v>49</v>
          </cell>
          <cell r="F40" t="str">
            <v>M3</v>
          </cell>
          <cell r="G40">
            <v>40000</v>
          </cell>
          <cell r="H40">
            <v>1960000</v>
          </cell>
        </row>
        <row r="41">
          <cell r="B41" t="str">
            <v>다.</v>
          </cell>
          <cell r="C41" t="str">
            <v>P.C BEAM 철거</v>
          </cell>
          <cell r="D41" t="str">
            <v>(L=30M)</v>
          </cell>
          <cell r="E41">
            <v>20</v>
          </cell>
          <cell r="F41" t="str">
            <v>본</v>
          </cell>
          <cell r="G41">
            <v>700000</v>
          </cell>
          <cell r="H41">
            <v>14000000</v>
          </cell>
        </row>
        <row r="42">
          <cell r="B42" t="str">
            <v>라.</v>
          </cell>
          <cell r="C42" t="str">
            <v>아스팔트포장깨기</v>
          </cell>
          <cell r="D42" t="str">
            <v>(기계100%)</v>
          </cell>
          <cell r="E42">
            <v>67</v>
          </cell>
          <cell r="F42" t="str">
            <v>M3</v>
          </cell>
          <cell r="G42">
            <v>8500</v>
          </cell>
          <cell r="H42">
            <v>569500</v>
          </cell>
        </row>
        <row r="43">
          <cell r="B43" t="str">
            <v>마.</v>
          </cell>
          <cell r="C43" t="str">
            <v>아스팔트절단</v>
          </cell>
          <cell r="E43">
            <v>121</v>
          </cell>
          <cell r="F43" t="str">
            <v>M</v>
          </cell>
          <cell r="G43">
            <v>1800</v>
          </cell>
          <cell r="H43">
            <v>217800</v>
          </cell>
        </row>
        <row r="44">
          <cell r="B44" t="str">
            <v>2)</v>
          </cell>
          <cell r="C44" t="str">
            <v>표토제거</v>
          </cell>
          <cell r="H44">
            <v>0</v>
          </cell>
        </row>
        <row r="45">
          <cell r="B45" t="str">
            <v>가.</v>
          </cell>
          <cell r="C45" t="str">
            <v>표토제거</v>
          </cell>
          <cell r="D45" t="str">
            <v>(답구간)</v>
          </cell>
          <cell r="E45">
            <v>5345</v>
          </cell>
          <cell r="F45" t="str">
            <v>M2</v>
          </cell>
          <cell r="G45">
            <v>260</v>
          </cell>
          <cell r="H45">
            <v>1389700</v>
          </cell>
        </row>
        <row r="46">
          <cell r="B46" t="str">
            <v>나.</v>
          </cell>
          <cell r="C46" t="str">
            <v>표토제거</v>
          </cell>
          <cell r="D46" t="str">
            <v>(답외구간)</v>
          </cell>
          <cell r="E46">
            <v>333154</v>
          </cell>
          <cell r="F46" t="str">
            <v>M2</v>
          </cell>
          <cell r="G46">
            <v>190</v>
          </cell>
          <cell r="H46">
            <v>63299260</v>
          </cell>
        </row>
        <row r="47">
          <cell r="B47" t="str">
            <v>3)</v>
          </cell>
          <cell r="C47" t="str">
            <v>벌개 제근</v>
          </cell>
          <cell r="E47">
            <v>307806</v>
          </cell>
          <cell r="F47" t="str">
            <v>M2</v>
          </cell>
          <cell r="G47">
            <v>200</v>
          </cell>
          <cell r="H47">
            <v>61561200</v>
          </cell>
        </row>
        <row r="48">
          <cell r="B48" t="str">
            <v>4)</v>
          </cell>
          <cell r="C48" t="str">
            <v>노반준비공</v>
          </cell>
          <cell r="D48" t="str">
            <v>(절토구간)</v>
          </cell>
          <cell r="E48">
            <v>36928</v>
          </cell>
          <cell r="F48" t="str">
            <v>M2</v>
          </cell>
          <cell r="G48">
            <v>35</v>
          </cell>
          <cell r="H48">
            <v>1292480</v>
          </cell>
        </row>
        <row r="49">
          <cell r="B49" t="str">
            <v>5)</v>
          </cell>
          <cell r="C49" t="str">
            <v>흙깍기공</v>
          </cell>
          <cell r="H49">
            <v>0</v>
          </cell>
        </row>
        <row r="50">
          <cell r="B50" t="str">
            <v>가.</v>
          </cell>
          <cell r="C50" t="str">
            <v>흙깍기</v>
          </cell>
          <cell r="D50" t="str">
            <v>(토  사)</v>
          </cell>
          <cell r="E50">
            <v>337555</v>
          </cell>
          <cell r="F50" t="str">
            <v>M3</v>
          </cell>
          <cell r="G50">
            <v>480</v>
          </cell>
          <cell r="H50">
            <v>162026400</v>
          </cell>
        </row>
        <row r="51">
          <cell r="B51" t="str">
            <v>나.</v>
          </cell>
          <cell r="C51" t="str">
            <v>흙깍기</v>
          </cell>
          <cell r="D51" t="str">
            <v>(리핑암)</v>
          </cell>
          <cell r="E51">
            <v>356727</v>
          </cell>
          <cell r="F51" t="str">
            <v>M3</v>
          </cell>
          <cell r="G51">
            <v>1000</v>
          </cell>
          <cell r="H51">
            <v>356727000</v>
          </cell>
        </row>
        <row r="52">
          <cell r="B52" t="str">
            <v>다.</v>
          </cell>
          <cell r="C52" t="str">
            <v>흙깍기</v>
          </cell>
          <cell r="D52" t="str">
            <v>(발파암,편절)</v>
          </cell>
          <cell r="E52">
            <v>13887</v>
          </cell>
          <cell r="F52" t="str">
            <v>M3</v>
          </cell>
          <cell r="G52">
            <v>15000</v>
          </cell>
          <cell r="H52">
            <v>208305000</v>
          </cell>
        </row>
        <row r="53">
          <cell r="B53" t="str">
            <v>라.</v>
          </cell>
          <cell r="C53" t="str">
            <v>흙깍기</v>
          </cell>
          <cell r="D53" t="str">
            <v>(발파암,브레이카)</v>
          </cell>
          <cell r="E53">
            <v>26034</v>
          </cell>
          <cell r="F53" t="str">
            <v>M3</v>
          </cell>
          <cell r="G53">
            <v>12000</v>
          </cell>
          <cell r="H53">
            <v>312408000</v>
          </cell>
        </row>
        <row r="54">
          <cell r="B54" t="str">
            <v>마.</v>
          </cell>
          <cell r="C54" t="str">
            <v>흙깍기</v>
          </cell>
          <cell r="D54" t="str">
            <v>(발파암,크로울러)</v>
          </cell>
          <cell r="E54">
            <v>1321466</v>
          </cell>
          <cell r="F54" t="str">
            <v>M3</v>
          </cell>
          <cell r="G54">
            <v>6600</v>
          </cell>
          <cell r="H54">
            <v>8721675600</v>
          </cell>
        </row>
        <row r="55">
          <cell r="B55" t="str">
            <v>6)</v>
          </cell>
          <cell r="C55" t="str">
            <v>흙운반공</v>
          </cell>
          <cell r="H55">
            <v>0</v>
          </cell>
        </row>
        <row r="56">
          <cell r="B56" t="str">
            <v>가.</v>
          </cell>
          <cell r="C56" t="str">
            <v>무대</v>
          </cell>
          <cell r="D56" t="str">
            <v>(토  사)</v>
          </cell>
          <cell r="E56">
            <v>189005</v>
          </cell>
          <cell r="F56" t="str">
            <v>M3</v>
          </cell>
          <cell r="H56">
            <v>0</v>
          </cell>
        </row>
        <row r="57">
          <cell r="B57" t="str">
            <v>나.</v>
          </cell>
          <cell r="C57" t="str">
            <v>무대</v>
          </cell>
          <cell r="D57" t="str">
            <v>(리핑암)</v>
          </cell>
          <cell r="E57">
            <v>33404</v>
          </cell>
          <cell r="F57" t="str">
            <v>M3</v>
          </cell>
          <cell r="H57">
            <v>0</v>
          </cell>
        </row>
        <row r="58">
          <cell r="B58" t="str">
            <v>다.</v>
          </cell>
          <cell r="C58" t="str">
            <v>무대</v>
          </cell>
          <cell r="D58" t="str">
            <v>(발파암)</v>
          </cell>
          <cell r="E58">
            <v>48631</v>
          </cell>
          <cell r="F58" t="str">
            <v>M3</v>
          </cell>
          <cell r="G58">
            <v>1600</v>
          </cell>
          <cell r="H58">
            <v>77809600</v>
          </cell>
        </row>
        <row r="59">
          <cell r="B59" t="str">
            <v>라.</v>
          </cell>
          <cell r="C59" t="str">
            <v>도자운반</v>
          </cell>
          <cell r="D59" t="str">
            <v>(토  사)</v>
          </cell>
          <cell r="E59">
            <v>32189</v>
          </cell>
          <cell r="F59" t="str">
            <v>M3</v>
          </cell>
          <cell r="G59">
            <v>430</v>
          </cell>
          <cell r="H59">
            <v>13841270</v>
          </cell>
        </row>
        <row r="60">
          <cell r="B60" t="str">
            <v>마.</v>
          </cell>
          <cell r="C60" t="str">
            <v>도쟈운반</v>
          </cell>
          <cell r="D60" t="str">
            <v>(리핑암)</v>
          </cell>
          <cell r="E60">
            <v>22448</v>
          </cell>
          <cell r="F60" t="str">
            <v>M3</v>
          </cell>
          <cell r="G60">
            <v>450</v>
          </cell>
          <cell r="H60">
            <v>10101600</v>
          </cell>
        </row>
        <row r="61">
          <cell r="B61" t="str">
            <v>바.</v>
          </cell>
          <cell r="C61" t="str">
            <v>도쟈운반</v>
          </cell>
          <cell r="D61" t="str">
            <v>(발파암)</v>
          </cell>
          <cell r="E61">
            <v>56508</v>
          </cell>
          <cell r="F61" t="str">
            <v>M3</v>
          </cell>
          <cell r="G61">
            <v>2600</v>
          </cell>
          <cell r="H61">
            <v>146920800</v>
          </cell>
        </row>
        <row r="62">
          <cell r="B62" t="str">
            <v>사.</v>
          </cell>
          <cell r="C62" t="str">
            <v>덤프운반</v>
          </cell>
          <cell r="D62" t="str">
            <v>(토  사)</v>
          </cell>
          <cell r="E62">
            <v>310096</v>
          </cell>
          <cell r="F62" t="str">
            <v>M3</v>
          </cell>
          <cell r="G62">
            <v>1500</v>
          </cell>
          <cell r="H62">
            <v>465144000</v>
          </cell>
        </row>
        <row r="63">
          <cell r="B63" t="str">
            <v>아.</v>
          </cell>
          <cell r="C63" t="str">
            <v>덤프운반</v>
          </cell>
          <cell r="D63" t="str">
            <v>(리핑암)</v>
          </cell>
          <cell r="E63">
            <v>302569</v>
          </cell>
          <cell r="F63" t="str">
            <v>M3</v>
          </cell>
          <cell r="G63">
            <v>2100</v>
          </cell>
          <cell r="H63">
            <v>635394900</v>
          </cell>
        </row>
        <row r="64">
          <cell r="B64" t="str">
            <v>자.</v>
          </cell>
          <cell r="C64" t="str">
            <v>덤프운반</v>
          </cell>
          <cell r="D64" t="str">
            <v>(발파암)</v>
          </cell>
          <cell r="E64">
            <v>1157191</v>
          </cell>
          <cell r="F64" t="str">
            <v>M3</v>
          </cell>
          <cell r="G64">
            <v>6400</v>
          </cell>
          <cell r="H64">
            <v>7406022400</v>
          </cell>
        </row>
        <row r="65">
          <cell r="B65" t="str">
            <v>차.</v>
          </cell>
          <cell r="C65" t="str">
            <v>순성토운반</v>
          </cell>
          <cell r="D65" t="str">
            <v>(토  사)</v>
          </cell>
          <cell r="E65">
            <v>127366</v>
          </cell>
          <cell r="F65" t="str">
            <v>M3</v>
          </cell>
          <cell r="G65">
            <v>2700</v>
          </cell>
          <cell r="H65">
            <v>343888200</v>
          </cell>
        </row>
        <row r="66">
          <cell r="B66" t="str">
            <v>7)</v>
          </cell>
          <cell r="C66" t="str">
            <v>흙쌓기 및 다짐공</v>
          </cell>
          <cell r="H66">
            <v>0</v>
          </cell>
        </row>
        <row r="67">
          <cell r="B67" t="str">
            <v>가.</v>
          </cell>
          <cell r="C67" t="str">
            <v>흙쌓기</v>
          </cell>
          <cell r="D67" t="str">
            <v>(노체)</v>
          </cell>
          <cell r="E67">
            <v>2234880</v>
          </cell>
          <cell r="F67" t="str">
            <v>M3</v>
          </cell>
          <cell r="G67">
            <v>550</v>
          </cell>
          <cell r="H67">
            <v>1229184000</v>
          </cell>
        </row>
        <row r="68">
          <cell r="B68" t="str">
            <v>나.</v>
          </cell>
          <cell r="C68" t="str">
            <v>흙쌓기</v>
          </cell>
          <cell r="D68" t="str">
            <v>(노상)</v>
          </cell>
          <cell r="E68">
            <v>277285</v>
          </cell>
          <cell r="F68" t="str">
            <v>M3</v>
          </cell>
          <cell r="G68">
            <v>800</v>
          </cell>
          <cell r="H68">
            <v>221828000</v>
          </cell>
        </row>
        <row r="69">
          <cell r="B69" t="str">
            <v>다.</v>
          </cell>
          <cell r="C69" t="str">
            <v>비다짐 성토</v>
          </cell>
          <cell r="D69" t="str">
            <v>(녹지대조성)</v>
          </cell>
          <cell r="E69">
            <v>43865</v>
          </cell>
          <cell r="F69" t="str">
            <v>M3</v>
          </cell>
          <cell r="G69">
            <v>120</v>
          </cell>
          <cell r="H69">
            <v>5263800</v>
          </cell>
        </row>
        <row r="70">
          <cell r="B70" t="str">
            <v>8)</v>
          </cell>
          <cell r="C70" t="str">
            <v>측구뚝쌓기</v>
          </cell>
          <cell r="E70">
            <v>1038</v>
          </cell>
          <cell r="F70" t="str">
            <v>M3</v>
          </cell>
          <cell r="G70">
            <v>2100</v>
          </cell>
          <cell r="H70">
            <v>2179800</v>
          </cell>
        </row>
        <row r="71">
          <cell r="B71" t="str">
            <v>9)</v>
          </cell>
          <cell r="C71" t="str">
            <v>비탈면보호공</v>
          </cell>
          <cell r="H71">
            <v>0</v>
          </cell>
        </row>
        <row r="72">
          <cell r="B72" t="str">
            <v>가.</v>
          </cell>
          <cell r="C72" t="str">
            <v>성토부법면다짐</v>
          </cell>
          <cell r="E72">
            <v>277599</v>
          </cell>
          <cell r="F72" t="str">
            <v>M2</v>
          </cell>
          <cell r="G72">
            <v>75</v>
          </cell>
          <cell r="H72">
            <v>20819925</v>
          </cell>
        </row>
        <row r="73">
          <cell r="B73" t="str">
            <v>나.</v>
          </cell>
          <cell r="C73" t="str">
            <v>줄떼</v>
          </cell>
          <cell r="E73">
            <v>277599</v>
          </cell>
          <cell r="F73" t="str">
            <v>M2</v>
          </cell>
          <cell r="G73">
            <v>3500</v>
          </cell>
          <cell r="H73">
            <v>971596500</v>
          </cell>
        </row>
        <row r="74">
          <cell r="B74" t="str">
            <v>다.</v>
          </cell>
          <cell r="C74" t="str">
            <v>평떼</v>
          </cell>
          <cell r="E74">
            <v>48072</v>
          </cell>
          <cell r="F74" t="str">
            <v>M2</v>
          </cell>
          <cell r="G74">
            <v>6800</v>
          </cell>
          <cell r="H74">
            <v>326889600</v>
          </cell>
        </row>
        <row r="75">
          <cell r="B75" t="str">
            <v>라.</v>
          </cell>
          <cell r="C75" t="str">
            <v>암절개면보호식재공</v>
          </cell>
          <cell r="D75" t="str">
            <v>(T=10cm)</v>
          </cell>
          <cell r="E75">
            <v>196</v>
          </cell>
          <cell r="F75" t="str">
            <v>M2</v>
          </cell>
          <cell r="G75">
            <v>36000</v>
          </cell>
          <cell r="H75">
            <v>7056000</v>
          </cell>
        </row>
        <row r="76">
          <cell r="B76" t="str">
            <v>마.</v>
          </cell>
          <cell r="C76" t="str">
            <v>암절개면보호식재공</v>
          </cell>
          <cell r="D76" t="str">
            <v>(T=15cm)</v>
          </cell>
          <cell r="E76">
            <v>235</v>
          </cell>
          <cell r="F76" t="str">
            <v>M2</v>
          </cell>
          <cell r="G76">
            <v>46000</v>
          </cell>
          <cell r="H76">
            <v>10810000</v>
          </cell>
        </row>
        <row r="77">
          <cell r="B77" t="str">
            <v>10)</v>
          </cell>
          <cell r="C77" t="str">
            <v>면고르기</v>
          </cell>
          <cell r="H77">
            <v>0</v>
          </cell>
        </row>
        <row r="78">
          <cell r="B78" t="str">
            <v>가.</v>
          </cell>
          <cell r="C78" t="str">
            <v>절토부면고르기</v>
          </cell>
          <cell r="D78" t="str">
            <v>(리핑암)</v>
          </cell>
          <cell r="E78">
            <v>33435</v>
          </cell>
          <cell r="F78" t="str">
            <v>M2</v>
          </cell>
          <cell r="G78">
            <v>2100</v>
          </cell>
          <cell r="H78">
            <v>70213500</v>
          </cell>
        </row>
        <row r="79">
          <cell r="B79" t="str">
            <v>나.</v>
          </cell>
          <cell r="C79" t="str">
            <v>절토부면고르기</v>
          </cell>
          <cell r="D79" t="str">
            <v>(발파암)</v>
          </cell>
          <cell r="E79">
            <v>90295</v>
          </cell>
          <cell r="F79" t="str">
            <v>M2</v>
          </cell>
          <cell r="G79">
            <v>3500</v>
          </cell>
          <cell r="H79">
            <v>316032500</v>
          </cell>
        </row>
        <row r="80">
          <cell r="B80" t="str">
            <v>11)</v>
          </cell>
          <cell r="C80" t="str">
            <v>층따기</v>
          </cell>
          <cell r="E80">
            <v>26204</v>
          </cell>
          <cell r="F80" t="str">
            <v>M3</v>
          </cell>
          <cell r="G80">
            <v>780</v>
          </cell>
          <cell r="H80">
            <v>20439120</v>
          </cell>
        </row>
        <row r="81">
          <cell r="B81" t="str">
            <v>2.</v>
          </cell>
          <cell r="C81" t="str">
            <v>배수공</v>
          </cell>
          <cell r="H81">
            <v>5967567764</v>
          </cell>
        </row>
        <row r="82">
          <cell r="B82" t="str">
            <v>1)</v>
          </cell>
          <cell r="C82" t="str">
            <v>측구터파기</v>
          </cell>
          <cell r="H82">
            <v>0</v>
          </cell>
        </row>
        <row r="83">
          <cell r="B83" t="str">
            <v>가.</v>
          </cell>
          <cell r="C83" t="str">
            <v>측구터파기</v>
          </cell>
          <cell r="D83" t="str">
            <v>(토사)</v>
          </cell>
          <cell r="E83">
            <v>29532</v>
          </cell>
          <cell r="F83" t="str">
            <v>M3</v>
          </cell>
          <cell r="G83">
            <v>3800</v>
          </cell>
          <cell r="H83">
            <v>112221600</v>
          </cell>
        </row>
        <row r="84">
          <cell r="B84" t="str">
            <v>나.</v>
          </cell>
          <cell r="C84" t="str">
            <v>측구터파기</v>
          </cell>
          <cell r="D84" t="str">
            <v>(발파암)</v>
          </cell>
          <cell r="E84">
            <v>2238</v>
          </cell>
          <cell r="F84" t="str">
            <v>M3</v>
          </cell>
          <cell r="G84">
            <v>120000</v>
          </cell>
          <cell r="H84">
            <v>268560000</v>
          </cell>
        </row>
        <row r="85">
          <cell r="B85" t="str">
            <v>2)</v>
          </cell>
          <cell r="C85" t="str">
            <v>구조물터파기</v>
          </cell>
          <cell r="H85">
            <v>0</v>
          </cell>
        </row>
        <row r="86">
          <cell r="B86" t="str">
            <v>가.</v>
          </cell>
          <cell r="C86" t="str">
            <v>육상터파기</v>
          </cell>
          <cell r="H86">
            <v>0</v>
          </cell>
        </row>
        <row r="87">
          <cell r="B87" t="str">
            <v>a.</v>
          </cell>
          <cell r="C87" t="str">
            <v>구조물터파기</v>
          </cell>
          <cell r="D87" t="str">
            <v>(육상토사0∼4m)</v>
          </cell>
          <cell r="E87">
            <v>40402</v>
          </cell>
          <cell r="F87" t="str">
            <v>M3</v>
          </cell>
          <cell r="G87">
            <v>3200</v>
          </cell>
          <cell r="H87">
            <v>129286400</v>
          </cell>
        </row>
        <row r="88">
          <cell r="B88" t="str">
            <v>b.</v>
          </cell>
          <cell r="C88" t="str">
            <v>구조물터파기</v>
          </cell>
          <cell r="D88" t="str">
            <v>(육상풍화암0∼4m)</v>
          </cell>
          <cell r="E88">
            <v>129</v>
          </cell>
          <cell r="F88" t="str">
            <v>M3</v>
          </cell>
          <cell r="G88">
            <v>55000</v>
          </cell>
          <cell r="H88">
            <v>7095000</v>
          </cell>
        </row>
        <row r="89">
          <cell r="B89" t="str">
            <v>c.</v>
          </cell>
          <cell r="C89" t="str">
            <v>구조물터파기</v>
          </cell>
          <cell r="D89" t="str">
            <v>(육상발파암0∼4m)</v>
          </cell>
          <cell r="E89">
            <v>4166</v>
          </cell>
          <cell r="F89" t="str">
            <v>M3</v>
          </cell>
          <cell r="G89">
            <v>100000</v>
          </cell>
          <cell r="H89">
            <v>416600000</v>
          </cell>
        </row>
        <row r="90">
          <cell r="B90" t="str">
            <v>나.</v>
          </cell>
          <cell r="C90" t="str">
            <v>수중터파기</v>
          </cell>
          <cell r="H90">
            <v>0</v>
          </cell>
        </row>
        <row r="91">
          <cell r="B91" t="str">
            <v>a.</v>
          </cell>
          <cell r="C91" t="str">
            <v>구조물터파기</v>
          </cell>
          <cell r="D91" t="str">
            <v>(수중토사0∼4m)</v>
          </cell>
          <cell r="E91">
            <v>1500</v>
          </cell>
          <cell r="F91" t="str">
            <v>M3</v>
          </cell>
          <cell r="G91">
            <v>6500</v>
          </cell>
          <cell r="H91">
            <v>9750000</v>
          </cell>
        </row>
        <row r="92">
          <cell r="B92" t="str">
            <v>3)</v>
          </cell>
          <cell r="C92" t="str">
            <v>되메우기 및 다짐공</v>
          </cell>
          <cell r="D92" t="str">
            <v>(인력10％+기계90％)</v>
          </cell>
          <cell r="E92">
            <v>35369</v>
          </cell>
          <cell r="F92" t="str">
            <v>M3</v>
          </cell>
          <cell r="G92">
            <v>2000</v>
          </cell>
          <cell r="H92">
            <v>70738000</v>
          </cell>
        </row>
        <row r="93">
          <cell r="B93" t="str">
            <v>4)</v>
          </cell>
          <cell r="C93" t="str">
            <v>측구공</v>
          </cell>
          <cell r="H93">
            <v>0</v>
          </cell>
        </row>
        <row r="94">
          <cell r="B94" t="str">
            <v>가.</v>
          </cell>
          <cell r="C94" t="str">
            <v>V형 측구 TYPE-2</v>
          </cell>
          <cell r="D94" t="str">
            <v>(H=0.60M)</v>
          </cell>
          <cell r="E94">
            <v>5096</v>
          </cell>
          <cell r="F94" t="str">
            <v>M</v>
          </cell>
          <cell r="G94">
            <v>48000</v>
          </cell>
          <cell r="H94">
            <v>244608000</v>
          </cell>
        </row>
        <row r="95">
          <cell r="B95" t="str">
            <v>나.</v>
          </cell>
          <cell r="C95" t="str">
            <v>산마루측구</v>
          </cell>
          <cell r="E95">
            <v>4061</v>
          </cell>
          <cell r="F95" t="str">
            <v>M</v>
          </cell>
          <cell r="G95">
            <v>51000</v>
          </cell>
          <cell r="H95">
            <v>207111000</v>
          </cell>
        </row>
        <row r="96">
          <cell r="B96" t="str">
            <v>다.</v>
          </cell>
          <cell r="C96" t="str">
            <v>L형 측구</v>
          </cell>
          <cell r="H96">
            <v>0</v>
          </cell>
        </row>
        <row r="97">
          <cell r="B97" t="str">
            <v>a.</v>
          </cell>
          <cell r="C97" t="str">
            <v>L형측구 TYPE-1</v>
          </cell>
          <cell r="D97" t="str">
            <v>(H=0.45)</v>
          </cell>
          <cell r="E97">
            <v>7088</v>
          </cell>
          <cell r="F97" t="str">
            <v>M</v>
          </cell>
          <cell r="G97">
            <v>2700</v>
          </cell>
          <cell r="H97">
            <v>19137600</v>
          </cell>
        </row>
        <row r="98">
          <cell r="B98" t="str">
            <v>b.</v>
          </cell>
          <cell r="C98" t="str">
            <v>L형측구 TYPE-2</v>
          </cell>
          <cell r="D98" t="str">
            <v>(H=1.2M)</v>
          </cell>
          <cell r="E98">
            <v>3355</v>
          </cell>
          <cell r="F98" t="str">
            <v>M</v>
          </cell>
          <cell r="G98">
            <v>61000</v>
          </cell>
          <cell r="H98">
            <v>204655000</v>
          </cell>
        </row>
        <row r="99">
          <cell r="B99" t="str">
            <v>c.</v>
          </cell>
          <cell r="C99" t="str">
            <v>L형측구 TYPE-3</v>
          </cell>
          <cell r="D99" t="str">
            <v>(부체도로)</v>
          </cell>
          <cell r="E99">
            <v>2960</v>
          </cell>
          <cell r="F99" t="str">
            <v>M</v>
          </cell>
          <cell r="G99">
            <v>11500</v>
          </cell>
          <cell r="H99">
            <v>34040000</v>
          </cell>
        </row>
        <row r="100">
          <cell r="B100" t="str">
            <v>라.</v>
          </cell>
          <cell r="C100" t="str">
            <v>U형측구</v>
          </cell>
          <cell r="H100">
            <v>0</v>
          </cell>
        </row>
        <row r="101">
          <cell r="B101" t="str">
            <v>a.</v>
          </cell>
          <cell r="C101" t="str">
            <v>U형측구 TYPE-1</v>
          </cell>
          <cell r="D101" t="str">
            <v>(H=0.15)</v>
          </cell>
          <cell r="E101">
            <v>180</v>
          </cell>
          <cell r="F101" t="str">
            <v>M</v>
          </cell>
          <cell r="G101">
            <v>31000</v>
          </cell>
          <cell r="H101">
            <v>5580000</v>
          </cell>
        </row>
        <row r="102">
          <cell r="B102" t="str">
            <v>b.</v>
          </cell>
          <cell r="C102" t="str">
            <v>U형측구 TYPE-4</v>
          </cell>
          <cell r="D102" t="str">
            <v>(H=1.00M)</v>
          </cell>
          <cell r="E102">
            <v>420</v>
          </cell>
          <cell r="F102" t="str">
            <v>M</v>
          </cell>
          <cell r="G102">
            <v>126000</v>
          </cell>
          <cell r="H102">
            <v>52920000</v>
          </cell>
        </row>
        <row r="103">
          <cell r="B103" t="str">
            <v>c.</v>
          </cell>
          <cell r="C103" t="str">
            <v>U형측구 TYPE-5</v>
          </cell>
          <cell r="D103" t="str">
            <v>(H=0.60M)</v>
          </cell>
          <cell r="E103">
            <v>360</v>
          </cell>
          <cell r="F103" t="str">
            <v>M</v>
          </cell>
          <cell r="G103">
            <v>43000</v>
          </cell>
          <cell r="H103">
            <v>15480000</v>
          </cell>
        </row>
        <row r="104">
          <cell r="B104" t="str">
            <v>d.</v>
          </cell>
          <cell r="C104" t="str">
            <v>U형측구 TYPE-6</v>
          </cell>
          <cell r="D104" t="str">
            <v>(H=0.50M)</v>
          </cell>
          <cell r="E104">
            <v>2093</v>
          </cell>
          <cell r="F104" t="str">
            <v>M</v>
          </cell>
          <cell r="G104">
            <v>40000</v>
          </cell>
          <cell r="H104">
            <v>83720000</v>
          </cell>
        </row>
        <row r="105">
          <cell r="B105" t="str">
            <v>마.</v>
          </cell>
          <cell r="C105" t="str">
            <v>맹암거</v>
          </cell>
          <cell r="H105">
            <v>0</v>
          </cell>
        </row>
        <row r="106">
          <cell r="B106" t="str">
            <v>a.</v>
          </cell>
          <cell r="C106" t="str">
            <v>맹암거 TYPE-1</v>
          </cell>
          <cell r="D106" t="str">
            <v>(유공관+부직포)</v>
          </cell>
          <cell r="E106">
            <v>1492</v>
          </cell>
          <cell r="F106" t="str">
            <v>M</v>
          </cell>
          <cell r="G106">
            <v>8500</v>
          </cell>
          <cell r="H106">
            <v>12682000</v>
          </cell>
        </row>
        <row r="107">
          <cell r="B107" t="str">
            <v>b.</v>
          </cell>
          <cell r="C107" t="str">
            <v>맹암거 TYPE-2</v>
          </cell>
          <cell r="D107" t="str">
            <v>(유공관)</v>
          </cell>
          <cell r="E107">
            <v>9002</v>
          </cell>
          <cell r="F107" t="str">
            <v>M</v>
          </cell>
          <cell r="G107">
            <v>6000</v>
          </cell>
          <cell r="H107">
            <v>54012000</v>
          </cell>
        </row>
        <row r="108">
          <cell r="B108" t="str">
            <v>c.</v>
          </cell>
          <cell r="C108" t="str">
            <v>맹암거 TYPE-3</v>
          </cell>
          <cell r="D108" t="str">
            <v>(부직포)</v>
          </cell>
          <cell r="E108">
            <v>1182</v>
          </cell>
          <cell r="F108" t="str">
            <v>M</v>
          </cell>
          <cell r="G108">
            <v>5300</v>
          </cell>
          <cell r="H108">
            <v>6264600</v>
          </cell>
        </row>
        <row r="109">
          <cell r="B109" t="str">
            <v>5)</v>
          </cell>
          <cell r="C109" t="str">
            <v>배수관공</v>
          </cell>
          <cell r="H109">
            <v>0</v>
          </cell>
        </row>
        <row r="110">
          <cell r="B110" t="str">
            <v>가.</v>
          </cell>
          <cell r="C110" t="str">
            <v>횡배수관</v>
          </cell>
          <cell r="H110">
            <v>0</v>
          </cell>
        </row>
        <row r="111">
          <cell r="B111" t="str">
            <v>a.</v>
          </cell>
          <cell r="C111" t="str">
            <v>횡배수관접합및부설</v>
          </cell>
          <cell r="D111" t="str">
            <v>(Φ 800m/m)</v>
          </cell>
          <cell r="E111">
            <v>822</v>
          </cell>
          <cell r="F111" t="str">
            <v>M</v>
          </cell>
          <cell r="G111">
            <v>112000</v>
          </cell>
          <cell r="H111">
            <v>92064000</v>
          </cell>
        </row>
        <row r="112">
          <cell r="B112" t="str">
            <v>b.</v>
          </cell>
          <cell r="C112" t="str">
            <v>횡배수관접합및부설</v>
          </cell>
          <cell r="D112" t="str">
            <v>(Φ 1000m/m)</v>
          </cell>
          <cell r="E112">
            <v>112</v>
          </cell>
          <cell r="F112" t="str">
            <v>M</v>
          </cell>
          <cell r="G112">
            <v>159000</v>
          </cell>
          <cell r="H112">
            <v>17808000</v>
          </cell>
        </row>
        <row r="113">
          <cell r="B113" t="str">
            <v>c.</v>
          </cell>
          <cell r="C113" t="str">
            <v>횡배수관접합및부설</v>
          </cell>
          <cell r="D113" t="str">
            <v>(Φ 1200m/m)</v>
          </cell>
          <cell r="E113">
            <v>33</v>
          </cell>
          <cell r="F113" t="str">
            <v>M</v>
          </cell>
          <cell r="G113">
            <v>230000</v>
          </cell>
          <cell r="H113">
            <v>7590000</v>
          </cell>
        </row>
        <row r="114">
          <cell r="B114" t="str">
            <v>나.</v>
          </cell>
          <cell r="C114" t="str">
            <v>보강흄관</v>
          </cell>
          <cell r="H114">
            <v>0</v>
          </cell>
        </row>
        <row r="115">
          <cell r="B115" t="str">
            <v>a.</v>
          </cell>
          <cell r="C115" t="str">
            <v>보강흄관접합및부설</v>
          </cell>
          <cell r="D115" t="str">
            <v>(Φ 800M/M)</v>
          </cell>
          <cell r="E115">
            <v>2026</v>
          </cell>
          <cell r="F115" t="str">
            <v>M</v>
          </cell>
          <cell r="G115">
            <v>133000</v>
          </cell>
          <cell r="H115">
            <v>269458000</v>
          </cell>
        </row>
        <row r="116">
          <cell r="B116" t="str">
            <v>b.</v>
          </cell>
          <cell r="C116" t="str">
            <v>보강흄관접합및부설</v>
          </cell>
          <cell r="D116" t="str">
            <v>(Φ 1000M/M)</v>
          </cell>
          <cell r="E116">
            <v>332</v>
          </cell>
          <cell r="F116" t="str">
            <v>M</v>
          </cell>
          <cell r="G116">
            <v>184000</v>
          </cell>
          <cell r="H116">
            <v>61088000</v>
          </cell>
        </row>
        <row r="117">
          <cell r="B117" t="str">
            <v>c.</v>
          </cell>
          <cell r="C117" t="str">
            <v>보강흄관접합및부설</v>
          </cell>
          <cell r="D117" t="str">
            <v>(Φ 1200M/M)</v>
          </cell>
          <cell r="E117">
            <v>544</v>
          </cell>
          <cell r="F117" t="str">
            <v>M</v>
          </cell>
          <cell r="G117">
            <v>261000</v>
          </cell>
          <cell r="H117">
            <v>141984000</v>
          </cell>
        </row>
        <row r="118">
          <cell r="B118" t="str">
            <v>다.</v>
          </cell>
          <cell r="C118" t="str">
            <v>종배수관</v>
          </cell>
          <cell r="H118">
            <v>0</v>
          </cell>
        </row>
        <row r="119">
          <cell r="B119" t="str">
            <v>a.</v>
          </cell>
          <cell r="C119" t="str">
            <v>종배수관접합및부설</v>
          </cell>
          <cell r="D119" t="str">
            <v>(Φ 600 m/m)</v>
          </cell>
          <cell r="E119">
            <v>733</v>
          </cell>
          <cell r="F119" t="str">
            <v>M</v>
          </cell>
          <cell r="G119">
            <v>55000</v>
          </cell>
          <cell r="H119">
            <v>40315000</v>
          </cell>
        </row>
        <row r="120">
          <cell r="B120" t="str">
            <v>b.</v>
          </cell>
          <cell r="C120" t="str">
            <v>종배수관접합및부설</v>
          </cell>
          <cell r="D120" t="str">
            <v>(Φ 800m/m)</v>
          </cell>
          <cell r="E120">
            <v>223</v>
          </cell>
          <cell r="F120" t="str">
            <v>M</v>
          </cell>
          <cell r="G120">
            <v>88000</v>
          </cell>
          <cell r="H120">
            <v>19624000</v>
          </cell>
        </row>
        <row r="121">
          <cell r="B121" t="str">
            <v>c.</v>
          </cell>
          <cell r="C121" t="str">
            <v>종배수관접합및부설</v>
          </cell>
          <cell r="D121" t="str">
            <v>(Φ 1000m/m)</v>
          </cell>
          <cell r="E121">
            <v>205</v>
          </cell>
          <cell r="F121" t="str">
            <v>M</v>
          </cell>
          <cell r="G121">
            <v>164000</v>
          </cell>
          <cell r="H121">
            <v>33620000</v>
          </cell>
        </row>
        <row r="122">
          <cell r="B122" t="str">
            <v>라.</v>
          </cell>
          <cell r="C122" t="str">
            <v>기존배수관접합부세척</v>
          </cell>
          <cell r="E122">
            <v>2</v>
          </cell>
          <cell r="F122" t="str">
            <v>EA</v>
          </cell>
          <cell r="G122">
            <v>3400</v>
          </cell>
          <cell r="H122">
            <v>6800</v>
          </cell>
        </row>
        <row r="123">
          <cell r="B123" t="str">
            <v>마.</v>
          </cell>
          <cell r="C123" t="str">
            <v>면벽공</v>
          </cell>
          <cell r="H123">
            <v>0</v>
          </cell>
        </row>
        <row r="124">
          <cell r="B124" t="str">
            <v>a.</v>
          </cell>
          <cell r="C124" t="str">
            <v>합판거푸집</v>
          </cell>
          <cell r="D124" t="str">
            <v>(3회)</v>
          </cell>
          <cell r="E124">
            <v>1150</v>
          </cell>
          <cell r="F124" t="str">
            <v>M2</v>
          </cell>
          <cell r="G124">
            <v>17000</v>
          </cell>
          <cell r="H124">
            <v>19550000</v>
          </cell>
        </row>
        <row r="125">
          <cell r="B125" t="str">
            <v>b.</v>
          </cell>
          <cell r="C125" t="str">
            <v>합판거푸집</v>
          </cell>
          <cell r="D125" t="str">
            <v>(4회)</v>
          </cell>
          <cell r="E125">
            <v>401</v>
          </cell>
          <cell r="F125" t="str">
            <v>M2</v>
          </cell>
          <cell r="G125">
            <v>14500</v>
          </cell>
          <cell r="H125">
            <v>5814500</v>
          </cell>
        </row>
        <row r="126">
          <cell r="B126" t="str">
            <v>c.</v>
          </cell>
          <cell r="C126" t="str">
            <v>콘크리트타설</v>
          </cell>
          <cell r="D126" t="str">
            <v>(소형,진동기제외)</v>
          </cell>
          <cell r="E126">
            <v>269</v>
          </cell>
          <cell r="F126" t="str">
            <v>M3</v>
          </cell>
          <cell r="G126">
            <v>28000</v>
          </cell>
          <cell r="H126">
            <v>7532000</v>
          </cell>
        </row>
        <row r="127">
          <cell r="B127" t="str">
            <v>6)</v>
          </cell>
          <cell r="C127" t="str">
            <v>집수정</v>
          </cell>
          <cell r="H127">
            <v>0</v>
          </cell>
        </row>
        <row r="128">
          <cell r="B128" t="str">
            <v>가.</v>
          </cell>
          <cell r="C128" t="str">
            <v>합판거푸집</v>
          </cell>
          <cell r="D128" t="str">
            <v>(4회)</v>
          </cell>
          <cell r="E128">
            <v>2555</v>
          </cell>
          <cell r="F128" t="str">
            <v>M2</v>
          </cell>
          <cell r="G128">
            <v>14500</v>
          </cell>
          <cell r="H128">
            <v>37047500</v>
          </cell>
        </row>
        <row r="129">
          <cell r="B129" t="str">
            <v>나.</v>
          </cell>
          <cell r="C129" t="str">
            <v>콘크리트타설</v>
          </cell>
          <cell r="D129" t="str">
            <v>(철근,진동기포함)</v>
          </cell>
          <cell r="E129">
            <v>2</v>
          </cell>
          <cell r="F129" t="str">
            <v>M3</v>
          </cell>
          <cell r="G129">
            <v>18000</v>
          </cell>
          <cell r="H129">
            <v>36000</v>
          </cell>
        </row>
        <row r="130">
          <cell r="B130" t="str">
            <v>다.</v>
          </cell>
          <cell r="C130" t="str">
            <v>콘크리트타설</v>
          </cell>
          <cell r="D130" t="str">
            <v>(소형,진동기제외)</v>
          </cell>
          <cell r="E130">
            <v>267</v>
          </cell>
          <cell r="F130" t="str">
            <v>M3</v>
          </cell>
          <cell r="G130">
            <v>28000</v>
          </cell>
          <cell r="H130">
            <v>7476000</v>
          </cell>
        </row>
        <row r="131">
          <cell r="B131" t="str">
            <v>라.</v>
          </cell>
          <cell r="C131" t="str">
            <v>철근가공조립</v>
          </cell>
          <cell r="D131" t="str">
            <v>(간단)</v>
          </cell>
          <cell r="E131">
            <v>15.754</v>
          </cell>
          <cell r="F131" t="str">
            <v>TON</v>
          </cell>
          <cell r="G131">
            <v>230000</v>
          </cell>
          <cell r="H131">
            <v>3623420</v>
          </cell>
        </row>
        <row r="132">
          <cell r="B132" t="str">
            <v>마.</v>
          </cell>
          <cell r="C132" t="str">
            <v>집수정뚜껑소형</v>
          </cell>
          <cell r="D132" t="str">
            <v>(1130×860)</v>
          </cell>
          <cell r="E132">
            <v>70</v>
          </cell>
          <cell r="F132" t="str">
            <v>EA</v>
          </cell>
          <cell r="G132">
            <v>91000</v>
          </cell>
          <cell r="H132">
            <v>6370000</v>
          </cell>
        </row>
        <row r="133">
          <cell r="B133" t="str">
            <v>바.</v>
          </cell>
          <cell r="C133" t="str">
            <v>콘크리트뚜껑</v>
          </cell>
          <cell r="D133" t="str">
            <v>(부체도로용뚜껑)</v>
          </cell>
          <cell r="E133">
            <v>29</v>
          </cell>
          <cell r="F133" t="str">
            <v>EA</v>
          </cell>
          <cell r="G133">
            <v>11000</v>
          </cell>
          <cell r="H133">
            <v>319000</v>
          </cell>
        </row>
        <row r="134">
          <cell r="B134" t="str">
            <v>사.</v>
          </cell>
          <cell r="C134" t="str">
            <v>집수정연결관</v>
          </cell>
          <cell r="D134" t="str">
            <v>(D=300m/m)</v>
          </cell>
          <cell r="E134">
            <v>17</v>
          </cell>
          <cell r="F134" t="str">
            <v>M</v>
          </cell>
          <cell r="G134">
            <v>6000</v>
          </cell>
          <cell r="H134">
            <v>102000</v>
          </cell>
        </row>
        <row r="135">
          <cell r="B135" t="str">
            <v>7)</v>
          </cell>
          <cell r="C135" t="str">
            <v>암 거</v>
          </cell>
          <cell r="H135">
            <v>0</v>
          </cell>
        </row>
        <row r="136">
          <cell r="B136" t="str">
            <v>가.</v>
          </cell>
          <cell r="C136" t="str">
            <v>합판거푸집</v>
          </cell>
          <cell r="D136" t="str">
            <v>(3회)</v>
          </cell>
          <cell r="E136">
            <v>33494</v>
          </cell>
          <cell r="F136" t="str">
            <v>M2</v>
          </cell>
          <cell r="G136">
            <v>17000</v>
          </cell>
          <cell r="H136">
            <v>569398000</v>
          </cell>
        </row>
        <row r="137">
          <cell r="B137" t="str">
            <v>나.</v>
          </cell>
          <cell r="C137" t="str">
            <v>합판거푸집</v>
          </cell>
          <cell r="D137" t="str">
            <v>(4회)</v>
          </cell>
          <cell r="E137">
            <v>1579</v>
          </cell>
          <cell r="F137" t="str">
            <v>M2</v>
          </cell>
          <cell r="G137">
            <v>14500</v>
          </cell>
          <cell r="H137">
            <v>22895500</v>
          </cell>
        </row>
        <row r="138">
          <cell r="B138" t="str">
            <v>다.</v>
          </cell>
          <cell r="C138" t="str">
            <v>코팅거푸집</v>
          </cell>
          <cell r="D138" t="str">
            <v>(3회)</v>
          </cell>
          <cell r="E138">
            <v>2820</v>
          </cell>
          <cell r="F138" t="str">
            <v>M2</v>
          </cell>
          <cell r="G138">
            <v>17000</v>
          </cell>
          <cell r="H138">
            <v>47940000</v>
          </cell>
        </row>
        <row r="139">
          <cell r="B139" t="str">
            <v>라.</v>
          </cell>
          <cell r="C139" t="str">
            <v>콘크리트타설</v>
          </cell>
          <cell r="D139" t="str">
            <v>(펌프카타설,0~15m)</v>
          </cell>
          <cell r="E139">
            <v>14318</v>
          </cell>
          <cell r="F139" t="str">
            <v>M3</v>
          </cell>
          <cell r="G139">
            <v>9000</v>
          </cell>
          <cell r="H139">
            <v>128862000</v>
          </cell>
        </row>
        <row r="140">
          <cell r="B140" t="str">
            <v>마.</v>
          </cell>
          <cell r="C140" t="str">
            <v>콘크리트타설</v>
          </cell>
          <cell r="D140" t="str">
            <v>(무근,진동기제외)</v>
          </cell>
          <cell r="E140">
            <v>1914</v>
          </cell>
          <cell r="F140" t="str">
            <v>M3</v>
          </cell>
          <cell r="G140">
            <v>17000</v>
          </cell>
          <cell r="H140">
            <v>32538000</v>
          </cell>
        </row>
        <row r="141">
          <cell r="B141" t="str">
            <v>바.</v>
          </cell>
          <cell r="C141" t="str">
            <v>철근가공조립</v>
          </cell>
          <cell r="D141" t="str">
            <v>(복잡)</v>
          </cell>
          <cell r="E141">
            <v>1598.5730000000001</v>
          </cell>
          <cell r="F141" t="str">
            <v>TON</v>
          </cell>
          <cell r="G141">
            <v>390000</v>
          </cell>
          <cell r="H141">
            <v>623443470</v>
          </cell>
        </row>
        <row r="142">
          <cell r="B142" t="str">
            <v>사.</v>
          </cell>
          <cell r="C142" t="str">
            <v>P.V.C PIPE</v>
          </cell>
          <cell r="D142" t="str">
            <v>(D=100 m/m)</v>
          </cell>
          <cell r="E142">
            <v>948</v>
          </cell>
          <cell r="F142" t="str">
            <v>M</v>
          </cell>
          <cell r="G142">
            <v>960</v>
          </cell>
          <cell r="H142">
            <v>910080</v>
          </cell>
        </row>
        <row r="143">
          <cell r="B143" t="str">
            <v>아.</v>
          </cell>
          <cell r="C143" t="str">
            <v>시공이음</v>
          </cell>
          <cell r="D143" t="str">
            <v>(지수판)</v>
          </cell>
          <cell r="E143">
            <v>934</v>
          </cell>
          <cell r="F143" t="str">
            <v>M</v>
          </cell>
          <cell r="G143">
            <v>9500</v>
          </cell>
          <cell r="H143">
            <v>8873000</v>
          </cell>
        </row>
        <row r="144">
          <cell r="B144" t="str">
            <v>자.</v>
          </cell>
          <cell r="C144" t="str">
            <v>뒷채움</v>
          </cell>
          <cell r="D144" t="str">
            <v>(선택층재 암거,교량)</v>
          </cell>
          <cell r="E144">
            <v>44755</v>
          </cell>
          <cell r="F144" t="str">
            <v>M3</v>
          </cell>
          <cell r="G144">
            <v>11500</v>
          </cell>
          <cell r="H144">
            <v>514682500</v>
          </cell>
        </row>
        <row r="145">
          <cell r="B145" t="str">
            <v>차.</v>
          </cell>
          <cell r="C145" t="str">
            <v>기초 잡석깔기</v>
          </cell>
          <cell r="E145">
            <v>1233</v>
          </cell>
          <cell r="F145" t="str">
            <v>M3</v>
          </cell>
          <cell r="G145">
            <v>28000</v>
          </cell>
          <cell r="H145">
            <v>34524000</v>
          </cell>
        </row>
        <row r="146">
          <cell r="B146" t="str">
            <v>카.</v>
          </cell>
          <cell r="C146" t="str">
            <v>아스팔트 코팅</v>
          </cell>
          <cell r="D146" t="str">
            <v>(2회)</v>
          </cell>
          <cell r="E146">
            <v>12515</v>
          </cell>
          <cell r="F146" t="str">
            <v>M2</v>
          </cell>
          <cell r="G146">
            <v>4000</v>
          </cell>
          <cell r="H146">
            <v>50060000</v>
          </cell>
        </row>
        <row r="147">
          <cell r="B147" t="str">
            <v>타.</v>
          </cell>
          <cell r="C147" t="str">
            <v>부직포설치</v>
          </cell>
          <cell r="E147">
            <v>351</v>
          </cell>
          <cell r="F147" t="str">
            <v>M2</v>
          </cell>
          <cell r="G147">
            <v>2100</v>
          </cell>
          <cell r="H147">
            <v>737100</v>
          </cell>
        </row>
        <row r="148">
          <cell r="B148" t="str">
            <v>파.</v>
          </cell>
          <cell r="C148" t="str">
            <v>물푸기</v>
          </cell>
          <cell r="D148" t="str">
            <v>(암거)</v>
          </cell>
          <cell r="E148">
            <v>1</v>
          </cell>
          <cell r="F148" t="str">
            <v>식</v>
          </cell>
          <cell r="G148">
            <v>1600000</v>
          </cell>
          <cell r="H148">
            <v>1600000</v>
          </cell>
        </row>
        <row r="149">
          <cell r="B149" t="str">
            <v>하.</v>
          </cell>
          <cell r="C149" t="str">
            <v>비 계(암거)</v>
          </cell>
          <cell r="D149" t="str">
            <v>(강관)</v>
          </cell>
          <cell r="E149">
            <v>1</v>
          </cell>
          <cell r="F149" t="str">
            <v>식</v>
          </cell>
          <cell r="G149">
            <v>140000000</v>
          </cell>
          <cell r="H149">
            <v>140000000</v>
          </cell>
        </row>
        <row r="150">
          <cell r="B150" t="str">
            <v>거.</v>
          </cell>
          <cell r="C150" t="str">
            <v>강관동바리(암거)</v>
          </cell>
          <cell r="D150" t="str">
            <v>(3개월)</v>
          </cell>
          <cell r="E150">
            <v>1</v>
          </cell>
          <cell r="F150" t="str">
            <v>식</v>
          </cell>
          <cell r="G150">
            <v>105000000</v>
          </cell>
          <cell r="H150">
            <v>105000000</v>
          </cell>
        </row>
        <row r="151">
          <cell r="B151" t="str">
            <v>8)</v>
          </cell>
          <cell r="C151" t="str">
            <v>수로보호공</v>
          </cell>
          <cell r="H151">
            <v>0</v>
          </cell>
        </row>
        <row r="152">
          <cell r="B152" t="str">
            <v>가.</v>
          </cell>
          <cell r="C152" t="str">
            <v>합판거푸집</v>
          </cell>
          <cell r="D152" t="str">
            <v>(4회)</v>
          </cell>
          <cell r="E152">
            <v>88</v>
          </cell>
          <cell r="F152" t="str">
            <v>M2</v>
          </cell>
          <cell r="G152">
            <v>14500</v>
          </cell>
          <cell r="H152">
            <v>1276000</v>
          </cell>
        </row>
        <row r="153">
          <cell r="B153" t="str">
            <v>나.</v>
          </cell>
          <cell r="C153" t="str">
            <v>합판거푸집</v>
          </cell>
          <cell r="D153" t="str">
            <v>(6회)</v>
          </cell>
          <cell r="E153">
            <v>211</v>
          </cell>
          <cell r="F153" t="str">
            <v>M2</v>
          </cell>
          <cell r="G153">
            <v>11900</v>
          </cell>
          <cell r="H153">
            <v>2510900</v>
          </cell>
        </row>
        <row r="154">
          <cell r="B154" t="str">
            <v>다.</v>
          </cell>
          <cell r="C154" t="str">
            <v>콘크리트타설</v>
          </cell>
          <cell r="D154" t="str">
            <v>(무근,진동기제외)</v>
          </cell>
          <cell r="E154">
            <v>512</v>
          </cell>
          <cell r="F154" t="str">
            <v>M3</v>
          </cell>
          <cell r="G154">
            <v>17000</v>
          </cell>
          <cell r="H154">
            <v>8704000</v>
          </cell>
        </row>
        <row r="155">
          <cell r="B155" t="str">
            <v>라.</v>
          </cell>
          <cell r="C155" t="str">
            <v>돌붙임</v>
          </cell>
          <cell r="D155" t="str">
            <v>(뒷길이30cm,깬잡석)</v>
          </cell>
          <cell r="E155">
            <v>924</v>
          </cell>
          <cell r="F155" t="str">
            <v>M2</v>
          </cell>
          <cell r="G155">
            <v>20000</v>
          </cell>
          <cell r="H155">
            <v>18480000</v>
          </cell>
        </row>
        <row r="156">
          <cell r="B156" t="str">
            <v>마.</v>
          </cell>
          <cell r="C156" t="str">
            <v>깬잡석 뒷채움</v>
          </cell>
          <cell r="E156">
            <v>92</v>
          </cell>
          <cell r="F156" t="str">
            <v>M3</v>
          </cell>
          <cell r="G156">
            <v>38000</v>
          </cell>
          <cell r="H156">
            <v>3496000</v>
          </cell>
        </row>
        <row r="157">
          <cell r="B157" t="str">
            <v>바.</v>
          </cell>
          <cell r="C157" t="str">
            <v>몰탈</v>
          </cell>
          <cell r="D157" t="str">
            <v>1:1</v>
          </cell>
          <cell r="E157">
            <v>16.396000000000001</v>
          </cell>
          <cell r="F157" t="str">
            <v>M3</v>
          </cell>
          <cell r="G157">
            <v>34000</v>
          </cell>
          <cell r="H157">
            <v>557464</v>
          </cell>
        </row>
        <row r="158">
          <cell r="B158" t="str">
            <v>사.</v>
          </cell>
          <cell r="C158" t="str">
            <v>P.V.C PIPE</v>
          </cell>
          <cell r="D158" t="str">
            <v>(φ50m/m)</v>
          </cell>
          <cell r="E158">
            <v>166</v>
          </cell>
          <cell r="F158" t="str">
            <v>M</v>
          </cell>
          <cell r="G158">
            <v>950</v>
          </cell>
          <cell r="H158">
            <v>157700</v>
          </cell>
        </row>
        <row r="159">
          <cell r="B159" t="str">
            <v>9)</v>
          </cell>
          <cell r="C159" t="str">
            <v>콘크리트다이크</v>
          </cell>
          <cell r="H159">
            <v>0</v>
          </cell>
        </row>
        <row r="160">
          <cell r="B160" t="str">
            <v>가.</v>
          </cell>
          <cell r="C160" t="str">
            <v>콘크리트다이크</v>
          </cell>
          <cell r="D160" t="str">
            <v>(기계타설)</v>
          </cell>
          <cell r="E160">
            <v>24518</v>
          </cell>
          <cell r="F160" t="str">
            <v>M</v>
          </cell>
          <cell r="G160">
            <v>600</v>
          </cell>
          <cell r="H160">
            <v>14710800</v>
          </cell>
        </row>
        <row r="161">
          <cell r="B161" t="str">
            <v>나.</v>
          </cell>
          <cell r="C161" t="str">
            <v>콘크리트다이크</v>
          </cell>
          <cell r="D161" t="str">
            <v>(프리캐스트)</v>
          </cell>
          <cell r="E161">
            <v>388</v>
          </cell>
          <cell r="F161" t="str">
            <v>M</v>
          </cell>
          <cell r="G161">
            <v>9300</v>
          </cell>
          <cell r="H161">
            <v>3608400</v>
          </cell>
        </row>
        <row r="162">
          <cell r="B162" t="str">
            <v>다.</v>
          </cell>
          <cell r="C162" t="str">
            <v>L형측구 TYPE-3</v>
          </cell>
          <cell r="D162" t="str">
            <v>(부체도로)</v>
          </cell>
          <cell r="E162">
            <v>902</v>
          </cell>
          <cell r="F162" t="str">
            <v>M</v>
          </cell>
          <cell r="G162">
            <v>11500</v>
          </cell>
          <cell r="H162">
            <v>10373000</v>
          </cell>
        </row>
        <row r="163">
          <cell r="B163" t="str">
            <v>10)</v>
          </cell>
          <cell r="C163" t="str">
            <v>절토부 소단배수로</v>
          </cell>
          <cell r="D163" t="str">
            <v>(암구간)</v>
          </cell>
          <cell r="E163">
            <v>1521</v>
          </cell>
          <cell r="F163" t="str">
            <v>M</v>
          </cell>
          <cell r="G163">
            <v>6800</v>
          </cell>
          <cell r="H163">
            <v>10342800</v>
          </cell>
        </row>
        <row r="164">
          <cell r="B164" t="str">
            <v>11)</v>
          </cell>
          <cell r="C164" t="str">
            <v>길어깨다이크집수거</v>
          </cell>
          <cell r="H164">
            <v>0</v>
          </cell>
        </row>
        <row r="165">
          <cell r="B165" t="str">
            <v>가.</v>
          </cell>
          <cell r="C165" t="str">
            <v>노견다이크집수거</v>
          </cell>
          <cell r="D165" t="str">
            <v>(TYPE-1, L형)</v>
          </cell>
          <cell r="E165">
            <v>190</v>
          </cell>
          <cell r="F165" t="str">
            <v>EA</v>
          </cell>
          <cell r="G165">
            <v>75000</v>
          </cell>
          <cell r="H165">
            <v>14250000</v>
          </cell>
        </row>
        <row r="166">
          <cell r="B166" t="str">
            <v>나.</v>
          </cell>
          <cell r="C166" t="str">
            <v>노견다이크집수거</v>
          </cell>
          <cell r="D166" t="str">
            <v>(TYPE-2, T형)</v>
          </cell>
          <cell r="E166">
            <v>9</v>
          </cell>
          <cell r="F166" t="str">
            <v>EA</v>
          </cell>
          <cell r="G166">
            <v>140000</v>
          </cell>
          <cell r="H166">
            <v>1260000</v>
          </cell>
        </row>
        <row r="167">
          <cell r="B167" t="str">
            <v>12)</v>
          </cell>
          <cell r="C167" t="str">
            <v>도수로 설치공</v>
          </cell>
          <cell r="H167">
            <v>0</v>
          </cell>
        </row>
        <row r="168">
          <cell r="B168" t="str">
            <v>가.</v>
          </cell>
          <cell r="C168" t="str">
            <v>합판거푸집</v>
          </cell>
          <cell r="D168" t="str">
            <v>(4회)</v>
          </cell>
          <cell r="E168">
            <v>9363</v>
          </cell>
          <cell r="F168" t="str">
            <v>M2</v>
          </cell>
          <cell r="G168">
            <v>14500</v>
          </cell>
          <cell r="H168">
            <v>135763500</v>
          </cell>
        </row>
        <row r="169">
          <cell r="B169" t="str">
            <v>나.</v>
          </cell>
          <cell r="C169" t="str">
            <v>철근가공조립</v>
          </cell>
          <cell r="D169" t="str">
            <v>(간단)</v>
          </cell>
          <cell r="E169">
            <v>54.887999999999998</v>
          </cell>
          <cell r="F169" t="str">
            <v>TON</v>
          </cell>
          <cell r="G169">
            <v>230000</v>
          </cell>
          <cell r="H169">
            <v>12624240</v>
          </cell>
        </row>
        <row r="170">
          <cell r="B170" t="str">
            <v>다.</v>
          </cell>
          <cell r="C170" t="str">
            <v>콘크리트타설</v>
          </cell>
          <cell r="D170" t="str">
            <v>(철근,진동기제외)</v>
          </cell>
          <cell r="E170">
            <v>152</v>
          </cell>
          <cell r="F170" t="str">
            <v>M3</v>
          </cell>
          <cell r="G170">
            <v>18000</v>
          </cell>
          <cell r="H170">
            <v>2736000</v>
          </cell>
        </row>
        <row r="171">
          <cell r="B171" t="str">
            <v>라.</v>
          </cell>
          <cell r="C171" t="str">
            <v>콘크리트타설</v>
          </cell>
          <cell r="D171" t="str">
            <v>(소형,진동기제외)</v>
          </cell>
          <cell r="E171">
            <v>1107</v>
          </cell>
          <cell r="F171" t="str">
            <v>M3</v>
          </cell>
          <cell r="G171">
            <v>28000</v>
          </cell>
          <cell r="H171">
            <v>30996000</v>
          </cell>
        </row>
        <row r="172">
          <cell r="B172" t="str">
            <v>13)</v>
          </cell>
          <cell r="C172" t="str">
            <v>노면배수공</v>
          </cell>
          <cell r="H172">
            <v>0</v>
          </cell>
        </row>
        <row r="173">
          <cell r="B173" t="str">
            <v>가.</v>
          </cell>
          <cell r="C173" t="str">
            <v>중분대용횡배수관</v>
          </cell>
          <cell r="D173" t="str">
            <v>(D=300M/M)</v>
          </cell>
          <cell r="E173">
            <v>488</v>
          </cell>
          <cell r="F173" t="str">
            <v>M</v>
          </cell>
          <cell r="G173">
            <v>44000</v>
          </cell>
          <cell r="H173">
            <v>21472000</v>
          </cell>
        </row>
        <row r="174">
          <cell r="B174" t="str">
            <v>나.</v>
          </cell>
          <cell r="C174" t="str">
            <v>중분대종배수관</v>
          </cell>
          <cell r="D174" t="str">
            <v>(L형측구용,D=300M/M)</v>
          </cell>
          <cell r="E174">
            <v>4311</v>
          </cell>
          <cell r="F174" t="str">
            <v>M</v>
          </cell>
          <cell r="G174">
            <v>25000</v>
          </cell>
          <cell r="H174">
            <v>107775000</v>
          </cell>
        </row>
        <row r="175">
          <cell r="B175" t="str">
            <v>다.</v>
          </cell>
          <cell r="C175" t="str">
            <v>중분대종배수관</v>
          </cell>
          <cell r="D175" t="str">
            <v>(L형측구용,D=600M/M)</v>
          </cell>
          <cell r="E175">
            <v>4087</v>
          </cell>
          <cell r="F175" t="str">
            <v>M</v>
          </cell>
          <cell r="G175">
            <v>54000</v>
          </cell>
          <cell r="H175">
            <v>220698000</v>
          </cell>
        </row>
        <row r="176">
          <cell r="B176" t="str">
            <v>라.</v>
          </cell>
          <cell r="C176" t="str">
            <v>중분대집수정</v>
          </cell>
          <cell r="D176" t="str">
            <v>(형식1,양종방향)</v>
          </cell>
          <cell r="E176">
            <v>35</v>
          </cell>
          <cell r="F176" t="str">
            <v>EA</v>
          </cell>
          <cell r="G176">
            <v>221000</v>
          </cell>
          <cell r="H176">
            <v>7735000</v>
          </cell>
        </row>
        <row r="177">
          <cell r="B177" t="str">
            <v>마.</v>
          </cell>
          <cell r="C177" t="str">
            <v>중분대집수정</v>
          </cell>
          <cell r="D177" t="str">
            <v>(형식2,종횡방향)</v>
          </cell>
          <cell r="E177">
            <v>187</v>
          </cell>
          <cell r="F177" t="str">
            <v>EA</v>
          </cell>
          <cell r="G177">
            <v>218000</v>
          </cell>
          <cell r="H177">
            <v>40766000</v>
          </cell>
        </row>
        <row r="178">
          <cell r="B178" t="str">
            <v>바.</v>
          </cell>
          <cell r="C178" t="str">
            <v>중분대집수정</v>
          </cell>
          <cell r="D178" t="str">
            <v>(형식3,양종횡방향)</v>
          </cell>
          <cell r="E178">
            <v>4</v>
          </cell>
          <cell r="F178" t="str">
            <v>EA</v>
          </cell>
          <cell r="G178">
            <v>214000</v>
          </cell>
          <cell r="H178">
            <v>856000</v>
          </cell>
        </row>
        <row r="179">
          <cell r="B179" t="str">
            <v>14)</v>
          </cell>
          <cell r="C179" t="str">
            <v>용배수로</v>
          </cell>
          <cell r="H179">
            <v>0</v>
          </cell>
        </row>
        <row r="180">
          <cell r="B180" t="str">
            <v>가.</v>
          </cell>
          <cell r="C180" t="str">
            <v>합판거푸집</v>
          </cell>
          <cell r="D180" t="str">
            <v>(3회)</v>
          </cell>
          <cell r="E180">
            <v>2082</v>
          </cell>
          <cell r="F180" t="str">
            <v>M2</v>
          </cell>
          <cell r="G180">
            <v>17000</v>
          </cell>
          <cell r="H180">
            <v>35394000</v>
          </cell>
        </row>
        <row r="181">
          <cell r="B181" t="str">
            <v>나.</v>
          </cell>
          <cell r="C181" t="str">
            <v>합판거푸집</v>
          </cell>
          <cell r="D181" t="str">
            <v>(4회)</v>
          </cell>
          <cell r="E181">
            <v>2326</v>
          </cell>
          <cell r="F181" t="str">
            <v>M2</v>
          </cell>
          <cell r="G181">
            <v>14500</v>
          </cell>
          <cell r="H181">
            <v>33727000</v>
          </cell>
        </row>
        <row r="182">
          <cell r="B182" t="str">
            <v>다.</v>
          </cell>
          <cell r="C182" t="str">
            <v>철근가공조립</v>
          </cell>
          <cell r="D182" t="str">
            <v>(간단)</v>
          </cell>
          <cell r="E182">
            <v>20.663</v>
          </cell>
          <cell r="F182" t="str">
            <v>TON</v>
          </cell>
          <cell r="G182">
            <v>230000</v>
          </cell>
          <cell r="H182">
            <v>4752490</v>
          </cell>
        </row>
        <row r="183">
          <cell r="B183" t="str">
            <v>라.</v>
          </cell>
          <cell r="C183" t="str">
            <v>콘크리트타설</v>
          </cell>
          <cell r="D183" t="str">
            <v>(철근,진동기포함)</v>
          </cell>
          <cell r="E183">
            <v>567</v>
          </cell>
          <cell r="F183" t="str">
            <v>M3</v>
          </cell>
          <cell r="G183">
            <v>18000</v>
          </cell>
          <cell r="H183">
            <v>10206000</v>
          </cell>
        </row>
        <row r="184">
          <cell r="B184" t="str">
            <v>마.</v>
          </cell>
          <cell r="C184" t="str">
            <v>콘크리트타설</v>
          </cell>
          <cell r="D184" t="str">
            <v>(무근,진동기제외)</v>
          </cell>
          <cell r="E184">
            <v>100</v>
          </cell>
          <cell r="F184" t="str">
            <v>M3</v>
          </cell>
          <cell r="G184">
            <v>17000</v>
          </cell>
          <cell r="H184">
            <v>1700000</v>
          </cell>
        </row>
        <row r="185">
          <cell r="B185" t="str">
            <v>15)</v>
          </cell>
          <cell r="C185" t="str">
            <v>맨 홀</v>
          </cell>
          <cell r="H185">
            <v>0</v>
          </cell>
        </row>
        <row r="186">
          <cell r="B186" t="str">
            <v>가.</v>
          </cell>
          <cell r="C186" t="str">
            <v>합판거푸집</v>
          </cell>
          <cell r="D186" t="str">
            <v>(4회)</v>
          </cell>
          <cell r="E186">
            <v>17</v>
          </cell>
          <cell r="F186" t="str">
            <v>M2</v>
          </cell>
          <cell r="G186">
            <v>14500</v>
          </cell>
          <cell r="H186">
            <v>246500</v>
          </cell>
        </row>
        <row r="187">
          <cell r="B187" t="str">
            <v>나.</v>
          </cell>
          <cell r="C187" t="str">
            <v>합판거푸집</v>
          </cell>
          <cell r="D187" t="str">
            <v>(6회)</v>
          </cell>
          <cell r="E187">
            <v>1</v>
          </cell>
          <cell r="F187" t="str">
            <v>M2</v>
          </cell>
          <cell r="G187">
            <v>11900</v>
          </cell>
          <cell r="H187">
            <v>11900</v>
          </cell>
        </row>
        <row r="188">
          <cell r="B188" t="str">
            <v>다.</v>
          </cell>
          <cell r="C188" t="str">
            <v>강재거푸집</v>
          </cell>
          <cell r="E188">
            <v>1</v>
          </cell>
          <cell r="F188" t="str">
            <v>M2</v>
          </cell>
          <cell r="G188">
            <v>5800</v>
          </cell>
          <cell r="H188">
            <v>5800</v>
          </cell>
        </row>
        <row r="189">
          <cell r="B189" t="str">
            <v>라.</v>
          </cell>
          <cell r="C189" t="str">
            <v>목재거푸집</v>
          </cell>
          <cell r="D189" t="str">
            <v>(3회)</v>
          </cell>
          <cell r="E189">
            <v>15</v>
          </cell>
          <cell r="F189" t="str">
            <v>M2</v>
          </cell>
          <cell r="G189">
            <v>27000</v>
          </cell>
          <cell r="H189">
            <v>405000</v>
          </cell>
        </row>
        <row r="190">
          <cell r="B190" t="str">
            <v>마.</v>
          </cell>
          <cell r="C190" t="str">
            <v>콘크리트타설</v>
          </cell>
          <cell r="D190" t="str">
            <v>(철근,진동기포함)</v>
          </cell>
          <cell r="E190">
            <v>1</v>
          </cell>
          <cell r="F190" t="str">
            <v>M3</v>
          </cell>
          <cell r="G190">
            <v>18000</v>
          </cell>
          <cell r="H190">
            <v>18000</v>
          </cell>
        </row>
        <row r="191">
          <cell r="B191" t="str">
            <v>바.</v>
          </cell>
          <cell r="C191" t="str">
            <v>콘크리트타설</v>
          </cell>
          <cell r="D191" t="str">
            <v>(무근,진동기제외)</v>
          </cell>
          <cell r="E191">
            <v>4</v>
          </cell>
          <cell r="F191" t="str">
            <v>M3</v>
          </cell>
          <cell r="G191">
            <v>17000</v>
          </cell>
          <cell r="H191">
            <v>68000</v>
          </cell>
        </row>
        <row r="192">
          <cell r="B192" t="str">
            <v>사.</v>
          </cell>
          <cell r="C192" t="str">
            <v>철근가공조립</v>
          </cell>
          <cell r="D192" t="str">
            <v>(간단)</v>
          </cell>
          <cell r="E192">
            <v>4.5999999999999999E-2</v>
          </cell>
          <cell r="F192" t="str">
            <v>TON</v>
          </cell>
          <cell r="G192">
            <v>230000</v>
          </cell>
          <cell r="H192">
            <v>10580</v>
          </cell>
        </row>
        <row r="193">
          <cell r="B193" t="str">
            <v>16)</v>
          </cell>
          <cell r="C193" t="str">
            <v>용수잠관</v>
          </cell>
          <cell r="H193">
            <v>0</v>
          </cell>
        </row>
        <row r="194">
          <cell r="B194" t="str">
            <v>가.</v>
          </cell>
          <cell r="C194" t="str">
            <v>합판거푸집</v>
          </cell>
          <cell r="D194" t="str">
            <v>(4회)</v>
          </cell>
          <cell r="E194">
            <v>86</v>
          </cell>
          <cell r="F194" t="str">
            <v>M2</v>
          </cell>
          <cell r="G194">
            <v>14500</v>
          </cell>
          <cell r="H194">
            <v>1247000</v>
          </cell>
        </row>
        <row r="195">
          <cell r="B195" t="str">
            <v>나.</v>
          </cell>
          <cell r="C195" t="str">
            <v>철근가공조립</v>
          </cell>
          <cell r="D195" t="str">
            <v>(간단)</v>
          </cell>
          <cell r="E195">
            <v>1.744</v>
          </cell>
          <cell r="F195" t="str">
            <v>TON</v>
          </cell>
          <cell r="G195">
            <v>230000</v>
          </cell>
          <cell r="H195">
            <v>401120</v>
          </cell>
        </row>
        <row r="196">
          <cell r="B196" t="str">
            <v>다.</v>
          </cell>
          <cell r="C196" t="str">
            <v>콘크리트타설</v>
          </cell>
          <cell r="D196" t="str">
            <v>(철근,진동기포함)</v>
          </cell>
          <cell r="E196">
            <v>1</v>
          </cell>
          <cell r="F196" t="str">
            <v>M3</v>
          </cell>
          <cell r="G196">
            <v>18000</v>
          </cell>
          <cell r="H196">
            <v>18000</v>
          </cell>
        </row>
        <row r="197">
          <cell r="B197" t="str">
            <v>라.</v>
          </cell>
          <cell r="C197" t="str">
            <v>콘크리트타설</v>
          </cell>
          <cell r="D197" t="str">
            <v>(무근,진동기제외)</v>
          </cell>
          <cell r="E197">
            <v>17</v>
          </cell>
          <cell r="F197" t="str">
            <v>M3</v>
          </cell>
          <cell r="G197">
            <v>17000</v>
          </cell>
          <cell r="H197">
            <v>289000</v>
          </cell>
        </row>
        <row r="198">
          <cell r="B198" t="str">
            <v>마.</v>
          </cell>
          <cell r="C198" t="str">
            <v>덮개</v>
          </cell>
          <cell r="D198" t="str">
            <v>(1.8×4.5)</v>
          </cell>
          <cell r="E198">
            <v>24</v>
          </cell>
          <cell r="F198" t="str">
            <v>EA</v>
          </cell>
          <cell r="G198">
            <v>14000</v>
          </cell>
          <cell r="H198">
            <v>336000</v>
          </cell>
        </row>
        <row r="199">
          <cell r="B199" t="str">
            <v>17)</v>
          </cell>
          <cell r="C199" t="str">
            <v>콘크리트생산및운반</v>
          </cell>
          <cell r="H199">
            <v>0</v>
          </cell>
        </row>
        <row r="200">
          <cell r="B200" t="str">
            <v>가.</v>
          </cell>
          <cell r="C200" t="str">
            <v>콘크리트생산</v>
          </cell>
          <cell r="D200" t="str">
            <v>32-240-15</v>
          </cell>
          <cell r="E200">
            <v>14318</v>
          </cell>
          <cell r="F200" t="str">
            <v>M3</v>
          </cell>
          <cell r="G200">
            <v>5000</v>
          </cell>
          <cell r="H200">
            <v>71590000</v>
          </cell>
        </row>
        <row r="201">
          <cell r="B201" t="str">
            <v>나.</v>
          </cell>
          <cell r="C201" t="str">
            <v>콘크리트생산</v>
          </cell>
          <cell r="D201" t="str">
            <v>19-210-4</v>
          </cell>
          <cell r="E201">
            <v>4027</v>
          </cell>
          <cell r="F201" t="str">
            <v>M3</v>
          </cell>
          <cell r="G201">
            <v>16000</v>
          </cell>
          <cell r="H201">
            <v>64432000</v>
          </cell>
        </row>
        <row r="202">
          <cell r="B202" t="str">
            <v>다.</v>
          </cell>
          <cell r="C202" t="str">
            <v>콘크리트운반</v>
          </cell>
          <cell r="D202" t="str">
            <v>(B/P-현장)</v>
          </cell>
          <cell r="E202">
            <v>18345</v>
          </cell>
          <cell r="F202" t="str">
            <v>M3</v>
          </cell>
          <cell r="G202">
            <v>3500</v>
          </cell>
          <cell r="H202">
            <v>64207500</v>
          </cell>
        </row>
        <row r="203">
          <cell r="B203" t="str">
            <v>3.</v>
          </cell>
          <cell r="C203" t="str">
            <v>구조물공</v>
          </cell>
          <cell r="H203">
            <v>25604531247</v>
          </cell>
        </row>
        <row r="204">
          <cell r="B204" t="str">
            <v>3.1</v>
          </cell>
          <cell r="C204" t="str">
            <v>교량공</v>
          </cell>
          <cell r="H204">
            <v>0</v>
          </cell>
        </row>
        <row r="205">
          <cell r="B205" t="str">
            <v>1)</v>
          </cell>
          <cell r="C205" t="str">
            <v>구조물터파기</v>
          </cell>
          <cell r="H205">
            <v>0</v>
          </cell>
        </row>
        <row r="206">
          <cell r="B206" t="str">
            <v>가.</v>
          </cell>
          <cell r="C206" t="str">
            <v>육상터파기</v>
          </cell>
          <cell r="H206">
            <v>0</v>
          </cell>
        </row>
        <row r="207">
          <cell r="B207" t="str">
            <v>a.</v>
          </cell>
          <cell r="C207" t="str">
            <v>구조물터파기</v>
          </cell>
          <cell r="D207" t="str">
            <v>(육상토사0∼4m)</v>
          </cell>
          <cell r="E207">
            <v>54561</v>
          </cell>
          <cell r="F207" t="str">
            <v>M3</v>
          </cell>
          <cell r="G207">
            <v>3200</v>
          </cell>
          <cell r="H207">
            <v>174595200</v>
          </cell>
        </row>
        <row r="208">
          <cell r="B208" t="str">
            <v>b.</v>
          </cell>
          <cell r="C208" t="str">
            <v>구조물터파기</v>
          </cell>
          <cell r="D208" t="str">
            <v>(육상토사4m이상)</v>
          </cell>
          <cell r="E208">
            <v>8979</v>
          </cell>
          <cell r="F208" t="str">
            <v>M3</v>
          </cell>
          <cell r="G208">
            <v>6000</v>
          </cell>
          <cell r="H208">
            <v>53874000</v>
          </cell>
        </row>
        <row r="209">
          <cell r="B209" t="str">
            <v>c.</v>
          </cell>
          <cell r="C209" t="str">
            <v>구조물터파기</v>
          </cell>
          <cell r="D209" t="str">
            <v>(육상풍화암0∼4m)</v>
          </cell>
          <cell r="E209">
            <v>3215</v>
          </cell>
          <cell r="F209" t="str">
            <v>M3</v>
          </cell>
          <cell r="G209">
            <v>55000</v>
          </cell>
          <cell r="H209">
            <v>176825000</v>
          </cell>
        </row>
        <row r="210">
          <cell r="B210" t="str">
            <v>d.</v>
          </cell>
          <cell r="C210" t="str">
            <v>구조물터파기</v>
          </cell>
          <cell r="D210" t="str">
            <v>(육상풍화암4m이상)</v>
          </cell>
          <cell r="E210">
            <v>3114</v>
          </cell>
          <cell r="F210" t="str">
            <v>M3</v>
          </cell>
          <cell r="G210">
            <v>68000</v>
          </cell>
          <cell r="H210">
            <v>211752000</v>
          </cell>
        </row>
        <row r="211">
          <cell r="B211" t="str">
            <v>e.</v>
          </cell>
          <cell r="C211" t="str">
            <v>구조물터파기</v>
          </cell>
          <cell r="D211" t="str">
            <v>(육상발파암4m이상)</v>
          </cell>
          <cell r="E211">
            <v>1534</v>
          </cell>
          <cell r="F211" t="str">
            <v>M3</v>
          </cell>
          <cell r="G211">
            <v>160000</v>
          </cell>
          <cell r="H211">
            <v>245440000</v>
          </cell>
        </row>
        <row r="212">
          <cell r="B212" t="str">
            <v>f.</v>
          </cell>
          <cell r="C212" t="str">
            <v>크람셸굴착및잔토처리</v>
          </cell>
          <cell r="E212">
            <v>1367</v>
          </cell>
          <cell r="F212" t="str">
            <v>M3</v>
          </cell>
          <cell r="G212">
            <v>5000</v>
          </cell>
          <cell r="H212">
            <v>6835000</v>
          </cell>
        </row>
        <row r="213">
          <cell r="B213" t="str">
            <v>나.</v>
          </cell>
          <cell r="C213" t="str">
            <v>수중터파기</v>
          </cell>
          <cell r="H213">
            <v>0</v>
          </cell>
        </row>
        <row r="214">
          <cell r="B214" t="str">
            <v>a.</v>
          </cell>
          <cell r="C214" t="str">
            <v>구조물터파기</v>
          </cell>
          <cell r="D214" t="str">
            <v>(수중토사0∼4m)</v>
          </cell>
          <cell r="E214">
            <v>21406</v>
          </cell>
          <cell r="F214" t="str">
            <v>M3</v>
          </cell>
          <cell r="G214">
            <v>6500</v>
          </cell>
          <cell r="H214">
            <v>139139000</v>
          </cell>
        </row>
        <row r="215">
          <cell r="B215" t="str">
            <v>b.</v>
          </cell>
          <cell r="C215" t="str">
            <v>구조물터파기</v>
          </cell>
          <cell r="D215" t="str">
            <v>(수중토사4m이상)</v>
          </cell>
          <cell r="E215">
            <v>1412</v>
          </cell>
          <cell r="F215" t="str">
            <v>M3</v>
          </cell>
          <cell r="G215">
            <v>12000</v>
          </cell>
          <cell r="H215">
            <v>16944000</v>
          </cell>
        </row>
        <row r="216">
          <cell r="B216" t="str">
            <v>c.</v>
          </cell>
          <cell r="C216" t="str">
            <v>구조물터파기</v>
          </cell>
          <cell r="D216" t="str">
            <v>(수중터파기4m이상)</v>
          </cell>
          <cell r="E216">
            <v>123</v>
          </cell>
          <cell r="F216" t="str">
            <v>M3</v>
          </cell>
          <cell r="G216">
            <v>130000</v>
          </cell>
          <cell r="H216">
            <v>15990000</v>
          </cell>
        </row>
        <row r="217">
          <cell r="B217" t="str">
            <v>2)</v>
          </cell>
          <cell r="C217" t="str">
            <v>되메우기 및 다짐공</v>
          </cell>
          <cell r="D217" t="str">
            <v>(인력10％+기계90％)</v>
          </cell>
          <cell r="E217">
            <v>61534</v>
          </cell>
          <cell r="F217" t="str">
            <v>M3</v>
          </cell>
          <cell r="G217">
            <v>2000</v>
          </cell>
          <cell r="H217">
            <v>123068000</v>
          </cell>
        </row>
        <row r="218">
          <cell r="B218" t="str">
            <v>3)</v>
          </cell>
          <cell r="C218" t="str">
            <v>뒷채움</v>
          </cell>
          <cell r="D218" t="str">
            <v>(선택층재 암거,교량)</v>
          </cell>
          <cell r="E218">
            <v>11655</v>
          </cell>
          <cell r="F218" t="str">
            <v>M3</v>
          </cell>
          <cell r="G218">
            <v>11500</v>
          </cell>
          <cell r="H218">
            <v>134032500</v>
          </cell>
        </row>
        <row r="219">
          <cell r="B219" t="str">
            <v>4)</v>
          </cell>
          <cell r="C219" t="str">
            <v>가시설공</v>
          </cell>
          <cell r="D219" t="str">
            <v>삼척교</v>
          </cell>
          <cell r="H219">
            <v>0</v>
          </cell>
        </row>
        <row r="220">
          <cell r="B220" t="str">
            <v>가.</v>
          </cell>
          <cell r="C220" t="str">
            <v>SHEET PILE 항타</v>
          </cell>
          <cell r="E220">
            <v>288</v>
          </cell>
          <cell r="F220" t="str">
            <v>본</v>
          </cell>
          <cell r="G220">
            <v>90000</v>
          </cell>
          <cell r="H220">
            <v>25920000</v>
          </cell>
        </row>
        <row r="221">
          <cell r="B221" t="str">
            <v>나.</v>
          </cell>
          <cell r="C221" t="str">
            <v>SHEET PILE 항발</v>
          </cell>
          <cell r="E221">
            <v>288</v>
          </cell>
          <cell r="F221" t="str">
            <v>본</v>
          </cell>
          <cell r="G221">
            <v>28000</v>
          </cell>
          <cell r="H221">
            <v>8064000</v>
          </cell>
        </row>
        <row r="222">
          <cell r="B222" t="str">
            <v>다.</v>
          </cell>
          <cell r="C222" t="str">
            <v>SHEET PILE청소및정리</v>
          </cell>
          <cell r="E222">
            <v>288</v>
          </cell>
          <cell r="F222" t="str">
            <v>본</v>
          </cell>
          <cell r="G222">
            <v>11000</v>
          </cell>
          <cell r="H222">
            <v>3168000</v>
          </cell>
        </row>
        <row r="223">
          <cell r="B223" t="str">
            <v>라.</v>
          </cell>
          <cell r="C223" t="str">
            <v>SHEET PILE 운반</v>
          </cell>
          <cell r="E223">
            <v>206.88399999999999</v>
          </cell>
          <cell r="F223" t="str">
            <v>TON</v>
          </cell>
          <cell r="G223">
            <v>23000</v>
          </cell>
          <cell r="H223">
            <v>4758332</v>
          </cell>
        </row>
        <row r="224">
          <cell r="B224" t="str">
            <v>마.</v>
          </cell>
          <cell r="C224" t="str">
            <v>SHEET PILE 자재손료</v>
          </cell>
          <cell r="E224">
            <v>206.88399999999999</v>
          </cell>
          <cell r="F224" t="str">
            <v>TON</v>
          </cell>
          <cell r="G224">
            <v>120000</v>
          </cell>
          <cell r="H224">
            <v>24826080</v>
          </cell>
        </row>
        <row r="225">
          <cell r="B225" t="str">
            <v>바.</v>
          </cell>
          <cell r="C225" t="str">
            <v>H-PILE 설치및철거</v>
          </cell>
          <cell r="E225">
            <v>750</v>
          </cell>
          <cell r="F225" t="str">
            <v>M</v>
          </cell>
          <cell r="G225">
            <v>12000</v>
          </cell>
          <cell r="H225">
            <v>9000000</v>
          </cell>
        </row>
        <row r="226">
          <cell r="B226" t="str">
            <v>사</v>
          </cell>
          <cell r="C226" t="str">
            <v>버팀보제작및설치</v>
          </cell>
          <cell r="H226">
            <v>0</v>
          </cell>
        </row>
        <row r="227">
          <cell r="B227" t="str">
            <v>a.</v>
          </cell>
          <cell r="C227" t="str">
            <v>DETAIL</v>
          </cell>
          <cell r="D227" t="str">
            <v>"A" 버팀보</v>
          </cell>
          <cell r="E227">
            <v>224</v>
          </cell>
          <cell r="F227" t="str">
            <v>개소</v>
          </cell>
          <cell r="G227">
            <v>60000</v>
          </cell>
          <cell r="H227">
            <v>13440000</v>
          </cell>
        </row>
        <row r="228">
          <cell r="B228" t="str">
            <v>b.</v>
          </cell>
          <cell r="C228" t="str">
            <v>DETAIL</v>
          </cell>
          <cell r="D228" t="str">
            <v>"B" SHEETPILE</v>
          </cell>
          <cell r="E228">
            <v>288</v>
          </cell>
          <cell r="F228" t="str">
            <v>개소</v>
          </cell>
          <cell r="G228">
            <v>28000</v>
          </cell>
          <cell r="H228">
            <v>8064000</v>
          </cell>
        </row>
        <row r="229">
          <cell r="B229" t="str">
            <v>c.</v>
          </cell>
          <cell r="C229" t="str">
            <v>DETAIL</v>
          </cell>
          <cell r="D229" t="str">
            <v>"C" 보걸이</v>
          </cell>
          <cell r="E229">
            <v>224</v>
          </cell>
          <cell r="F229" t="str">
            <v>개소</v>
          </cell>
          <cell r="G229">
            <v>3500</v>
          </cell>
          <cell r="H229">
            <v>784000</v>
          </cell>
        </row>
        <row r="230">
          <cell r="B230" t="str">
            <v>5)</v>
          </cell>
          <cell r="C230" t="str">
            <v>현장타설말뚝</v>
          </cell>
          <cell r="H230">
            <v>0</v>
          </cell>
        </row>
        <row r="231">
          <cell r="B231" t="str">
            <v>가.</v>
          </cell>
          <cell r="C231" t="str">
            <v>삼척교</v>
          </cell>
          <cell r="D231" t="str">
            <v>φ1200</v>
          </cell>
          <cell r="H231">
            <v>0</v>
          </cell>
        </row>
        <row r="232">
          <cell r="B232" t="str">
            <v>a.</v>
          </cell>
          <cell r="C232" t="str">
            <v>장비대운반</v>
          </cell>
          <cell r="E232">
            <v>2</v>
          </cell>
          <cell r="F232" t="str">
            <v>회</v>
          </cell>
          <cell r="G232">
            <v>8500000</v>
          </cell>
          <cell r="H232">
            <v>17000000</v>
          </cell>
        </row>
        <row r="233">
          <cell r="B233" t="str">
            <v>b.</v>
          </cell>
          <cell r="C233" t="str">
            <v>장비조립및해체</v>
          </cell>
          <cell r="E233">
            <v>1</v>
          </cell>
          <cell r="F233" t="str">
            <v>회</v>
          </cell>
          <cell r="G233">
            <v>3200000</v>
          </cell>
          <cell r="H233">
            <v>3200000</v>
          </cell>
        </row>
        <row r="234">
          <cell r="B234" t="str">
            <v>c.</v>
          </cell>
          <cell r="C234" t="str">
            <v>대구경 천공</v>
          </cell>
          <cell r="E234">
            <v>563</v>
          </cell>
          <cell r="F234" t="str">
            <v>M</v>
          </cell>
          <cell r="G234">
            <v>970000</v>
          </cell>
          <cell r="H234">
            <v>546110000</v>
          </cell>
        </row>
        <row r="235">
          <cell r="B235" t="str">
            <v>d.</v>
          </cell>
          <cell r="C235" t="str">
            <v>스페이샤제작</v>
          </cell>
          <cell r="E235">
            <v>960</v>
          </cell>
          <cell r="F235" t="str">
            <v>EA</v>
          </cell>
          <cell r="G235">
            <v>2500</v>
          </cell>
          <cell r="H235">
            <v>2400000</v>
          </cell>
        </row>
        <row r="236">
          <cell r="B236" t="str">
            <v>e.</v>
          </cell>
          <cell r="C236" t="str">
            <v>콘크리트타설</v>
          </cell>
          <cell r="D236" t="str">
            <v>(펌프카타설,0~15m)</v>
          </cell>
          <cell r="E236">
            <v>499</v>
          </cell>
          <cell r="F236" t="str">
            <v>M3</v>
          </cell>
          <cell r="G236">
            <v>9000</v>
          </cell>
          <cell r="H236">
            <v>4491000</v>
          </cell>
        </row>
        <row r="237">
          <cell r="B237" t="str">
            <v>f.</v>
          </cell>
          <cell r="C237" t="str">
            <v>두부정리</v>
          </cell>
          <cell r="E237">
            <v>16</v>
          </cell>
          <cell r="F237" t="str">
            <v>본</v>
          </cell>
          <cell r="G237">
            <v>180000</v>
          </cell>
          <cell r="H237">
            <v>2880000</v>
          </cell>
        </row>
        <row r="238">
          <cell r="B238" t="str">
            <v>g.</v>
          </cell>
          <cell r="C238" t="str">
            <v>철근오름방지제작설치</v>
          </cell>
          <cell r="E238">
            <v>16</v>
          </cell>
          <cell r="F238" t="str">
            <v>본</v>
          </cell>
          <cell r="G238">
            <v>17000</v>
          </cell>
          <cell r="H238">
            <v>272000</v>
          </cell>
        </row>
        <row r="239">
          <cell r="B239" t="str">
            <v>h.</v>
          </cell>
          <cell r="C239" t="str">
            <v>확인코아</v>
          </cell>
          <cell r="E239">
            <v>16</v>
          </cell>
          <cell r="F239" t="str">
            <v>M</v>
          </cell>
          <cell r="G239">
            <v>130000</v>
          </cell>
          <cell r="H239">
            <v>2080000</v>
          </cell>
        </row>
        <row r="240">
          <cell r="B240" t="str">
            <v>나.</v>
          </cell>
          <cell r="C240" t="str">
            <v>현장콘크리트말뚝</v>
          </cell>
          <cell r="E240">
            <v>3967</v>
          </cell>
          <cell r="F240" t="str">
            <v>M</v>
          </cell>
          <cell r="G240">
            <v>540000</v>
          </cell>
          <cell r="H240">
            <v>2142180000</v>
          </cell>
        </row>
        <row r="241">
          <cell r="B241" t="str">
            <v>6)</v>
          </cell>
          <cell r="C241" t="str">
            <v>강관말뚝공</v>
          </cell>
          <cell r="H241">
            <v>0</v>
          </cell>
        </row>
        <row r="242">
          <cell r="B242" t="str">
            <v>가.</v>
          </cell>
          <cell r="C242" t="str">
            <v>강관말뚝</v>
          </cell>
          <cell r="D242" t="str">
            <v>φ406.4,t=9m/m</v>
          </cell>
          <cell r="H242">
            <v>0</v>
          </cell>
        </row>
        <row r="243">
          <cell r="B243" t="str">
            <v>a.</v>
          </cell>
          <cell r="C243" t="str">
            <v>파일자재비</v>
          </cell>
          <cell r="D243" t="str">
            <v>φ406.4,t=9mm)</v>
          </cell>
          <cell r="E243">
            <v>850</v>
          </cell>
          <cell r="F243" t="str">
            <v>M</v>
          </cell>
          <cell r="G243">
            <v>40000</v>
          </cell>
          <cell r="H243">
            <v>34000000</v>
          </cell>
        </row>
        <row r="244">
          <cell r="B244" t="str">
            <v>b.</v>
          </cell>
          <cell r="C244" t="str">
            <v>항타비 수직항</v>
          </cell>
          <cell r="D244" t="str">
            <v>(φ406.4,t=9mm)</v>
          </cell>
          <cell r="E244">
            <v>840</v>
          </cell>
          <cell r="F244" t="str">
            <v>M</v>
          </cell>
          <cell r="G244">
            <v>8000</v>
          </cell>
          <cell r="H244">
            <v>6720000</v>
          </cell>
        </row>
        <row r="245">
          <cell r="B245" t="str">
            <v>c.</v>
          </cell>
          <cell r="C245" t="str">
            <v>두부 및 선단보강</v>
          </cell>
          <cell r="D245" t="str">
            <v>(φ406.4mm)</v>
          </cell>
          <cell r="E245">
            <v>42</v>
          </cell>
          <cell r="F245" t="str">
            <v>EA</v>
          </cell>
          <cell r="G245">
            <v>200000</v>
          </cell>
          <cell r="H245">
            <v>8400000</v>
          </cell>
        </row>
        <row r="246">
          <cell r="B246" t="str">
            <v>d.</v>
          </cell>
          <cell r="C246" t="str">
            <v>강관파일이음</v>
          </cell>
          <cell r="D246" t="str">
            <v>(φ406.4mm)</v>
          </cell>
          <cell r="E246">
            <v>42</v>
          </cell>
          <cell r="F246" t="str">
            <v>EA</v>
          </cell>
          <cell r="G246">
            <v>7000</v>
          </cell>
          <cell r="H246">
            <v>294000</v>
          </cell>
        </row>
        <row r="247">
          <cell r="B247" t="str">
            <v>e.</v>
          </cell>
          <cell r="C247" t="str">
            <v>모래채움</v>
          </cell>
          <cell r="E247">
            <v>108</v>
          </cell>
          <cell r="F247" t="str">
            <v>M3</v>
          </cell>
          <cell r="G247">
            <v>3400</v>
          </cell>
          <cell r="H247">
            <v>367200</v>
          </cell>
        </row>
        <row r="248">
          <cell r="B248" t="str">
            <v>나.</v>
          </cell>
          <cell r="C248" t="str">
            <v>강관말뚝</v>
          </cell>
          <cell r="D248" t="str">
            <v>φ508,t=12mm</v>
          </cell>
          <cell r="H248">
            <v>0</v>
          </cell>
        </row>
        <row r="249">
          <cell r="B249" t="str">
            <v>a.</v>
          </cell>
          <cell r="C249" t="str">
            <v>파일자재비</v>
          </cell>
          <cell r="D249" t="str">
            <v>(φ508,t=12mm)</v>
          </cell>
          <cell r="E249">
            <v>14472</v>
          </cell>
          <cell r="F249" t="str">
            <v>M</v>
          </cell>
          <cell r="G249">
            <v>67000</v>
          </cell>
          <cell r="H249">
            <v>969624000</v>
          </cell>
        </row>
        <row r="250">
          <cell r="B250" t="str">
            <v>b.</v>
          </cell>
          <cell r="C250" t="str">
            <v>항타비</v>
          </cell>
          <cell r="D250" t="str">
            <v>(φ508,t=12mm)</v>
          </cell>
          <cell r="E250">
            <v>13505</v>
          </cell>
          <cell r="F250" t="str">
            <v>M</v>
          </cell>
          <cell r="G250">
            <v>6000</v>
          </cell>
          <cell r="H250">
            <v>81030000</v>
          </cell>
        </row>
        <row r="251">
          <cell r="B251" t="str">
            <v>c.</v>
          </cell>
          <cell r="C251" t="str">
            <v>두부 및 선단보강</v>
          </cell>
          <cell r="D251" t="str">
            <v>(ø508,t=12㎜)</v>
          </cell>
          <cell r="E251">
            <v>1244</v>
          </cell>
          <cell r="F251" t="str">
            <v>EA</v>
          </cell>
          <cell r="G251">
            <v>300000</v>
          </cell>
          <cell r="H251">
            <v>373200000</v>
          </cell>
        </row>
        <row r="252">
          <cell r="B252" t="str">
            <v>d.</v>
          </cell>
          <cell r="C252" t="str">
            <v>강관파일이음</v>
          </cell>
          <cell r="D252" t="str">
            <v>(φ508mm)</v>
          </cell>
          <cell r="E252">
            <v>144</v>
          </cell>
          <cell r="F252" t="str">
            <v>EA</v>
          </cell>
          <cell r="G252">
            <v>6800</v>
          </cell>
          <cell r="H252">
            <v>979200</v>
          </cell>
        </row>
        <row r="253">
          <cell r="B253" t="str">
            <v>7)</v>
          </cell>
          <cell r="C253" t="str">
            <v>거푸집공</v>
          </cell>
          <cell r="H253">
            <v>0</v>
          </cell>
        </row>
        <row r="254">
          <cell r="B254" t="str">
            <v>가.</v>
          </cell>
          <cell r="C254" t="str">
            <v>합판거푸집</v>
          </cell>
          <cell r="D254" t="str">
            <v>(3회) 0-7M</v>
          </cell>
          <cell r="E254">
            <v>58548</v>
          </cell>
          <cell r="F254" t="str">
            <v>M2</v>
          </cell>
          <cell r="G254">
            <v>17000</v>
          </cell>
          <cell r="H254">
            <v>995316000</v>
          </cell>
        </row>
        <row r="255">
          <cell r="B255" t="str">
            <v>나.</v>
          </cell>
          <cell r="C255" t="str">
            <v>합판거푸집</v>
          </cell>
          <cell r="D255" t="str">
            <v>(3회) 7-10M</v>
          </cell>
          <cell r="E255">
            <v>3651</v>
          </cell>
          <cell r="F255" t="str">
            <v>M2</v>
          </cell>
          <cell r="G255">
            <v>18300</v>
          </cell>
          <cell r="H255">
            <v>66813300</v>
          </cell>
        </row>
        <row r="256">
          <cell r="B256" t="str">
            <v>다.</v>
          </cell>
          <cell r="C256" t="str">
            <v>합판거푸집</v>
          </cell>
          <cell r="D256" t="str">
            <v>(3회) 10-13M</v>
          </cell>
          <cell r="E256">
            <v>533</v>
          </cell>
          <cell r="F256" t="str">
            <v>M2</v>
          </cell>
          <cell r="G256">
            <v>19500</v>
          </cell>
          <cell r="H256">
            <v>10393500</v>
          </cell>
        </row>
        <row r="257">
          <cell r="B257" t="str">
            <v>라.</v>
          </cell>
          <cell r="C257" t="str">
            <v>합판거푸집</v>
          </cell>
          <cell r="D257" t="str">
            <v>(3회) 13-16M</v>
          </cell>
          <cell r="E257">
            <v>270</v>
          </cell>
          <cell r="F257" t="str">
            <v>M2</v>
          </cell>
          <cell r="G257">
            <v>20700</v>
          </cell>
          <cell r="H257">
            <v>5589000</v>
          </cell>
        </row>
        <row r="258">
          <cell r="B258" t="str">
            <v>마.</v>
          </cell>
          <cell r="C258" t="str">
            <v>합판거푸집</v>
          </cell>
          <cell r="D258" t="str">
            <v>(3회) 16-19M</v>
          </cell>
          <cell r="E258">
            <v>270</v>
          </cell>
          <cell r="F258" t="str">
            <v>M2</v>
          </cell>
          <cell r="G258">
            <v>21900</v>
          </cell>
          <cell r="H258">
            <v>5913000</v>
          </cell>
        </row>
        <row r="259">
          <cell r="B259" t="str">
            <v>바.</v>
          </cell>
          <cell r="C259" t="str">
            <v>합판거푸집</v>
          </cell>
          <cell r="D259" t="str">
            <v>(3회) 19-22M</v>
          </cell>
          <cell r="E259">
            <v>735</v>
          </cell>
          <cell r="F259" t="str">
            <v>M2</v>
          </cell>
          <cell r="G259">
            <v>23200</v>
          </cell>
          <cell r="H259">
            <v>17052000</v>
          </cell>
        </row>
        <row r="260">
          <cell r="B260" t="str">
            <v>사.</v>
          </cell>
          <cell r="C260" t="str">
            <v>합판거푸집</v>
          </cell>
          <cell r="D260" t="str">
            <v>(3회) 22-25M</v>
          </cell>
          <cell r="E260">
            <v>284</v>
          </cell>
          <cell r="F260" t="str">
            <v>M2</v>
          </cell>
          <cell r="G260">
            <v>24400</v>
          </cell>
          <cell r="H260">
            <v>6929600</v>
          </cell>
        </row>
        <row r="261">
          <cell r="B261" t="str">
            <v>아.</v>
          </cell>
          <cell r="C261" t="str">
            <v>합판거푸집</v>
          </cell>
          <cell r="D261" t="str">
            <v>(4회)</v>
          </cell>
          <cell r="E261">
            <v>7753</v>
          </cell>
          <cell r="F261" t="str">
            <v>M2</v>
          </cell>
          <cell r="G261">
            <v>14500</v>
          </cell>
          <cell r="H261">
            <v>112418500</v>
          </cell>
        </row>
        <row r="262">
          <cell r="B262" t="str">
            <v>자.</v>
          </cell>
          <cell r="C262" t="str">
            <v>합판거푸집</v>
          </cell>
          <cell r="D262" t="str">
            <v>(6회)</v>
          </cell>
          <cell r="E262">
            <v>812</v>
          </cell>
          <cell r="F262" t="str">
            <v>M2</v>
          </cell>
          <cell r="G262">
            <v>11900</v>
          </cell>
          <cell r="H262">
            <v>9662800</v>
          </cell>
        </row>
        <row r="263">
          <cell r="B263" t="str">
            <v>차.</v>
          </cell>
          <cell r="C263" t="str">
            <v>원형거푸집</v>
          </cell>
          <cell r="D263" t="str">
            <v>(3회)</v>
          </cell>
          <cell r="E263">
            <v>3820</v>
          </cell>
          <cell r="F263" t="str">
            <v>M2</v>
          </cell>
          <cell r="G263">
            <v>35900</v>
          </cell>
          <cell r="H263">
            <v>137138000</v>
          </cell>
        </row>
        <row r="264">
          <cell r="B264" t="str">
            <v>카.</v>
          </cell>
          <cell r="C264" t="str">
            <v>원형거푸집</v>
          </cell>
          <cell r="D264" t="str">
            <v>(3회) 7-10M</v>
          </cell>
          <cell r="E264">
            <v>786</v>
          </cell>
          <cell r="F264" t="str">
            <v>M2</v>
          </cell>
          <cell r="G264">
            <v>38800</v>
          </cell>
          <cell r="H264">
            <v>30496800</v>
          </cell>
        </row>
        <row r="265">
          <cell r="B265" t="str">
            <v>타.</v>
          </cell>
          <cell r="C265" t="str">
            <v>원형거푸집</v>
          </cell>
          <cell r="D265" t="str">
            <v>(3회) 10-13M</v>
          </cell>
          <cell r="E265">
            <v>524</v>
          </cell>
          <cell r="F265" t="str">
            <v>M2</v>
          </cell>
          <cell r="G265">
            <v>41600</v>
          </cell>
          <cell r="H265">
            <v>21798400</v>
          </cell>
        </row>
        <row r="266">
          <cell r="B266" t="str">
            <v>파.</v>
          </cell>
          <cell r="C266" t="str">
            <v>원형거푸집</v>
          </cell>
          <cell r="D266" t="str">
            <v>(3회) 13-16M</v>
          </cell>
          <cell r="E266">
            <v>455</v>
          </cell>
          <cell r="F266" t="str">
            <v>M2</v>
          </cell>
          <cell r="G266">
            <v>44400</v>
          </cell>
          <cell r="H266">
            <v>20202000</v>
          </cell>
        </row>
        <row r="267">
          <cell r="B267" t="str">
            <v>하.</v>
          </cell>
          <cell r="C267" t="str">
            <v>원형거푸집</v>
          </cell>
          <cell r="D267" t="str">
            <v>(3회) 16-19M</v>
          </cell>
          <cell r="E267">
            <v>384</v>
          </cell>
          <cell r="F267" t="str">
            <v>M2</v>
          </cell>
          <cell r="G267">
            <v>47300</v>
          </cell>
          <cell r="H267">
            <v>18163200</v>
          </cell>
        </row>
        <row r="268">
          <cell r="B268" t="str">
            <v>거.</v>
          </cell>
          <cell r="C268" t="str">
            <v>원형거푸집</v>
          </cell>
          <cell r="D268" t="str">
            <v>(3회) 19-22M</v>
          </cell>
          <cell r="E268">
            <v>188</v>
          </cell>
          <cell r="F268" t="str">
            <v>M2</v>
          </cell>
          <cell r="G268">
            <v>50100</v>
          </cell>
          <cell r="H268">
            <v>9418800</v>
          </cell>
        </row>
        <row r="269">
          <cell r="B269" t="str">
            <v>너.</v>
          </cell>
          <cell r="C269" t="str">
            <v>원형거푸집</v>
          </cell>
          <cell r="D269" t="str">
            <v>(3회) 22-25M</v>
          </cell>
          <cell r="E269">
            <v>30</v>
          </cell>
          <cell r="F269" t="str">
            <v>M2</v>
          </cell>
          <cell r="G269">
            <v>52900</v>
          </cell>
          <cell r="H269">
            <v>1587000</v>
          </cell>
        </row>
        <row r="270">
          <cell r="B270" t="str">
            <v>더.</v>
          </cell>
          <cell r="C270" t="str">
            <v>강재거푸집(P.F빔용)</v>
          </cell>
          <cell r="D270" t="str">
            <v>(형틀조립 및 탈형)</v>
          </cell>
          <cell r="E270">
            <v>2602</v>
          </cell>
          <cell r="F270" t="str">
            <v>M2</v>
          </cell>
          <cell r="G270">
            <v>14800</v>
          </cell>
          <cell r="H270">
            <v>38509600</v>
          </cell>
        </row>
        <row r="271">
          <cell r="B271" t="str">
            <v>8)</v>
          </cell>
          <cell r="C271" t="str">
            <v>비계공</v>
          </cell>
          <cell r="D271" t="str">
            <v>(교량)</v>
          </cell>
          <cell r="E271">
            <v>1</v>
          </cell>
          <cell r="F271" t="str">
            <v>식</v>
          </cell>
          <cell r="G271">
            <v>300000000</v>
          </cell>
          <cell r="H271">
            <v>300000000</v>
          </cell>
        </row>
        <row r="272">
          <cell r="B272" t="str">
            <v>9)</v>
          </cell>
          <cell r="C272" t="str">
            <v>동바리공</v>
          </cell>
          <cell r="D272" t="str">
            <v>(교량)</v>
          </cell>
          <cell r="E272">
            <v>1</v>
          </cell>
          <cell r="F272" t="str">
            <v>식</v>
          </cell>
          <cell r="G272">
            <v>1170000000</v>
          </cell>
          <cell r="H272">
            <v>1170000000</v>
          </cell>
        </row>
        <row r="273">
          <cell r="B273" t="str">
            <v>10)</v>
          </cell>
          <cell r="C273" t="str">
            <v>시공이음</v>
          </cell>
          <cell r="H273">
            <v>0</v>
          </cell>
        </row>
        <row r="274">
          <cell r="B274" t="str">
            <v>가.</v>
          </cell>
          <cell r="C274" t="str">
            <v>스치로폴</v>
          </cell>
          <cell r="D274" t="str">
            <v>(T=10m/m)</v>
          </cell>
          <cell r="E274">
            <v>369</v>
          </cell>
          <cell r="F274" t="str">
            <v>M2</v>
          </cell>
          <cell r="G274">
            <v>950</v>
          </cell>
          <cell r="H274">
            <v>350550</v>
          </cell>
        </row>
        <row r="275">
          <cell r="B275" t="str">
            <v>나.</v>
          </cell>
          <cell r="C275" t="str">
            <v>스치로폴</v>
          </cell>
          <cell r="D275" t="str">
            <v>(T=20m/m)</v>
          </cell>
          <cell r="E275">
            <v>7</v>
          </cell>
          <cell r="F275" t="str">
            <v>M2</v>
          </cell>
          <cell r="G275">
            <v>1800</v>
          </cell>
          <cell r="H275">
            <v>12600</v>
          </cell>
        </row>
        <row r="276">
          <cell r="B276" t="str">
            <v>11)</v>
          </cell>
          <cell r="C276" t="str">
            <v>물푸기</v>
          </cell>
          <cell r="D276" t="str">
            <v>(교량)</v>
          </cell>
          <cell r="E276">
            <v>1</v>
          </cell>
          <cell r="F276" t="str">
            <v>식</v>
          </cell>
          <cell r="G276">
            <v>40000000</v>
          </cell>
          <cell r="H276">
            <v>40000000</v>
          </cell>
        </row>
        <row r="277">
          <cell r="B277" t="str">
            <v>12)</v>
          </cell>
          <cell r="C277" t="str">
            <v>철근가공조립</v>
          </cell>
          <cell r="H277">
            <v>0</v>
          </cell>
        </row>
        <row r="278">
          <cell r="B278" t="str">
            <v>가.</v>
          </cell>
          <cell r="C278" t="str">
            <v>철근가공조립</v>
          </cell>
          <cell r="D278" t="str">
            <v>(보통)</v>
          </cell>
          <cell r="E278">
            <v>1605.318</v>
          </cell>
          <cell r="F278" t="str">
            <v>TON</v>
          </cell>
          <cell r="G278">
            <v>310000</v>
          </cell>
          <cell r="H278">
            <v>497648580</v>
          </cell>
        </row>
        <row r="279">
          <cell r="B279" t="str">
            <v>나.</v>
          </cell>
          <cell r="C279" t="str">
            <v>철근가공조립</v>
          </cell>
          <cell r="D279" t="str">
            <v>(복잡)</v>
          </cell>
          <cell r="E279">
            <v>3578.1109999999999</v>
          </cell>
          <cell r="F279" t="str">
            <v>TON</v>
          </cell>
          <cell r="G279">
            <v>390000</v>
          </cell>
          <cell r="H279">
            <v>1395463290</v>
          </cell>
        </row>
        <row r="280">
          <cell r="B280" t="str">
            <v>다.</v>
          </cell>
          <cell r="C280" t="str">
            <v>철근가공및조립</v>
          </cell>
          <cell r="D280" t="str">
            <v>(매우복잡)</v>
          </cell>
          <cell r="E280">
            <v>2742</v>
          </cell>
          <cell r="F280" t="str">
            <v>TON</v>
          </cell>
          <cell r="G280">
            <v>450000</v>
          </cell>
          <cell r="H280">
            <v>1233900000</v>
          </cell>
        </row>
        <row r="281">
          <cell r="B281" t="str">
            <v>라.</v>
          </cell>
          <cell r="C281" t="str">
            <v>간격재</v>
          </cell>
          <cell r="D281" t="str">
            <v>(T=50MM)</v>
          </cell>
          <cell r="E281">
            <v>866</v>
          </cell>
          <cell r="F281" t="str">
            <v>EA</v>
          </cell>
          <cell r="G281">
            <v>35</v>
          </cell>
          <cell r="H281">
            <v>30310</v>
          </cell>
        </row>
        <row r="282">
          <cell r="B282" t="str">
            <v>마.</v>
          </cell>
          <cell r="C282" t="str">
            <v>간격재</v>
          </cell>
          <cell r="D282" t="str">
            <v>(T=100MM)</v>
          </cell>
          <cell r="E282">
            <v>444</v>
          </cell>
          <cell r="F282" t="str">
            <v>EA</v>
          </cell>
          <cell r="G282">
            <v>60</v>
          </cell>
          <cell r="H282">
            <v>26640</v>
          </cell>
        </row>
        <row r="283">
          <cell r="B283" t="str">
            <v>바.</v>
          </cell>
          <cell r="C283" t="str">
            <v>몰탈블럭</v>
          </cell>
          <cell r="D283" t="str">
            <v>(T=50MM)</v>
          </cell>
          <cell r="E283">
            <v>3813</v>
          </cell>
          <cell r="F283" t="str">
            <v>EA</v>
          </cell>
          <cell r="G283">
            <v>55</v>
          </cell>
          <cell r="H283">
            <v>209715</v>
          </cell>
        </row>
        <row r="284">
          <cell r="B284" t="str">
            <v>사.</v>
          </cell>
          <cell r="C284" t="str">
            <v>몰탈블럭</v>
          </cell>
          <cell r="D284" t="str">
            <v>(T=100MM)</v>
          </cell>
          <cell r="E284">
            <v>928</v>
          </cell>
          <cell r="F284" t="str">
            <v>EA</v>
          </cell>
          <cell r="G284">
            <v>85</v>
          </cell>
          <cell r="H284">
            <v>78880</v>
          </cell>
        </row>
        <row r="285">
          <cell r="B285" t="str">
            <v>사.</v>
          </cell>
          <cell r="C285" t="str">
            <v>스페이서설치</v>
          </cell>
          <cell r="E285">
            <v>78511</v>
          </cell>
          <cell r="F285" t="str">
            <v>M2</v>
          </cell>
          <cell r="G285">
            <v>650</v>
          </cell>
          <cell r="H285">
            <v>51032150</v>
          </cell>
        </row>
        <row r="286">
          <cell r="B286" t="str">
            <v>13)</v>
          </cell>
          <cell r="C286" t="str">
            <v>콘크리트타설</v>
          </cell>
          <cell r="H286">
            <v>0</v>
          </cell>
        </row>
        <row r="287">
          <cell r="B287" t="str">
            <v>가.</v>
          </cell>
          <cell r="C287" t="str">
            <v>콘크리트타설</v>
          </cell>
          <cell r="D287" t="str">
            <v>(펌프카타설,0~15m)</v>
          </cell>
          <cell r="E287">
            <v>55259</v>
          </cell>
          <cell r="F287" t="str">
            <v>M3</v>
          </cell>
          <cell r="G287">
            <v>9000</v>
          </cell>
          <cell r="H287">
            <v>497331000</v>
          </cell>
        </row>
        <row r="288">
          <cell r="B288" t="str">
            <v>나.</v>
          </cell>
          <cell r="C288" t="str">
            <v>콘크리트타설</v>
          </cell>
          <cell r="D288" t="str">
            <v>(펌프카타설,15M이상)</v>
          </cell>
          <cell r="E288">
            <v>1514</v>
          </cell>
          <cell r="F288" t="str">
            <v>M3</v>
          </cell>
          <cell r="G288">
            <v>12500</v>
          </cell>
          <cell r="H288">
            <v>18925000</v>
          </cell>
        </row>
        <row r="289">
          <cell r="B289" t="str">
            <v>다.</v>
          </cell>
          <cell r="C289" t="str">
            <v>콘크리트타설</v>
          </cell>
          <cell r="D289" t="str">
            <v>(무근,진동기제외)</v>
          </cell>
          <cell r="E289">
            <v>3585</v>
          </cell>
          <cell r="F289" t="str">
            <v>M3</v>
          </cell>
          <cell r="G289">
            <v>17000</v>
          </cell>
          <cell r="H289">
            <v>60945000</v>
          </cell>
        </row>
        <row r="290">
          <cell r="B290" t="str">
            <v>14)</v>
          </cell>
          <cell r="C290" t="str">
            <v>슬래브양생</v>
          </cell>
          <cell r="E290">
            <v>30486</v>
          </cell>
          <cell r="F290" t="str">
            <v>M2</v>
          </cell>
          <cell r="G290">
            <v>150</v>
          </cell>
          <cell r="H290">
            <v>4572900</v>
          </cell>
        </row>
        <row r="291">
          <cell r="B291" t="str">
            <v>15)</v>
          </cell>
          <cell r="C291" t="str">
            <v>데크휘니샤면고르기</v>
          </cell>
          <cell r="E291">
            <v>30266</v>
          </cell>
          <cell r="F291" t="str">
            <v>M2</v>
          </cell>
          <cell r="G291">
            <v>300</v>
          </cell>
          <cell r="H291">
            <v>9079800</v>
          </cell>
        </row>
        <row r="292">
          <cell r="B292" t="str">
            <v>16)</v>
          </cell>
          <cell r="C292" t="str">
            <v>교면방수</v>
          </cell>
          <cell r="D292" t="str">
            <v>(침투식)</v>
          </cell>
          <cell r="E292">
            <v>30266</v>
          </cell>
          <cell r="F292" t="str">
            <v>M2</v>
          </cell>
          <cell r="G292">
            <v>2500</v>
          </cell>
          <cell r="H292">
            <v>75665000</v>
          </cell>
        </row>
        <row r="293">
          <cell r="B293" t="str">
            <v>17)</v>
          </cell>
          <cell r="C293" t="str">
            <v>교좌장치</v>
          </cell>
          <cell r="H293">
            <v>0</v>
          </cell>
        </row>
        <row r="294">
          <cell r="B294" t="str">
            <v>가.</v>
          </cell>
          <cell r="C294" t="str">
            <v>교좌장치</v>
          </cell>
          <cell r="D294" t="str">
            <v>(일방향)75TON</v>
          </cell>
          <cell r="E294">
            <v>8</v>
          </cell>
          <cell r="F294" t="str">
            <v>EA</v>
          </cell>
          <cell r="G294">
            <v>1220000</v>
          </cell>
          <cell r="H294">
            <v>9760000</v>
          </cell>
        </row>
        <row r="295">
          <cell r="B295" t="str">
            <v>나.</v>
          </cell>
          <cell r="C295" t="str">
            <v>교좌장치</v>
          </cell>
          <cell r="D295" t="str">
            <v>(양방향)75TON</v>
          </cell>
          <cell r="E295">
            <v>41</v>
          </cell>
          <cell r="F295" t="str">
            <v>EA</v>
          </cell>
          <cell r="G295">
            <v>920000</v>
          </cell>
          <cell r="H295">
            <v>37720000</v>
          </cell>
        </row>
        <row r="296">
          <cell r="B296" t="str">
            <v>다.</v>
          </cell>
          <cell r="C296" t="str">
            <v>교좌장치</v>
          </cell>
          <cell r="D296" t="str">
            <v>(일방향)100TON</v>
          </cell>
          <cell r="E296">
            <v>8</v>
          </cell>
          <cell r="F296" t="str">
            <v>EA</v>
          </cell>
          <cell r="G296">
            <v>1310000</v>
          </cell>
          <cell r="H296">
            <v>10480000</v>
          </cell>
        </row>
        <row r="297">
          <cell r="B297" t="str">
            <v>라.</v>
          </cell>
          <cell r="C297" t="str">
            <v>교좌장치</v>
          </cell>
          <cell r="D297" t="str">
            <v>(양방향)100TON</v>
          </cell>
          <cell r="E297">
            <v>32</v>
          </cell>
          <cell r="F297" t="str">
            <v>EA</v>
          </cell>
          <cell r="G297">
            <v>1080000</v>
          </cell>
          <cell r="H297">
            <v>34560000</v>
          </cell>
        </row>
        <row r="298">
          <cell r="B298" t="str">
            <v>마.</v>
          </cell>
          <cell r="C298" t="str">
            <v>교좌장치</v>
          </cell>
          <cell r="D298" t="str">
            <v>(일방향,130TON)</v>
          </cell>
          <cell r="E298">
            <v>2</v>
          </cell>
          <cell r="F298" t="str">
            <v>EA</v>
          </cell>
          <cell r="G298">
            <v>920000</v>
          </cell>
          <cell r="H298">
            <v>1840000</v>
          </cell>
        </row>
        <row r="299">
          <cell r="B299" t="str">
            <v>바.</v>
          </cell>
          <cell r="C299" t="str">
            <v>교좌장치</v>
          </cell>
          <cell r="D299" t="str">
            <v>(양방향,130TON)</v>
          </cell>
          <cell r="E299">
            <v>6</v>
          </cell>
          <cell r="F299" t="str">
            <v>EA</v>
          </cell>
          <cell r="G299">
            <v>630000</v>
          </cell>
          <cell r="H299">
            <v>3780000</v>
          </cell>
        </row>
        <row r="300">
          <cell r="B300" t="str">
            <v>사.</v>
          </cell>
          <cell r="C300" t="str">
            <v>교좌장치</v>
          </cell>
          <cell r="D300" t="str">
            <v>(고정단,135TON)</v>
          </cell>
          <cell r="E300">
            <v>55</v>
          </cell>
          <cell r="F300" t="str">
            <v>EA</v>
          </cell>
          <cell r="G300">
            <v>1560000</v>
          </cell>
          <cell r="H300">
            <v>85800000</v>
          </cell>
        </row>
        <row r="301">
          <cell r="B301" t="str">
            <v>아.</v>
          </cell>
          <cell r="C301" t="str">
            <v>교좌장치</v>
          </cell>
          <cell r="D301" t="str">
            <v>(일방향)135TON</v>
          </cell>
          <cell r="E301">
            <v>55</v>
          </cell>
          <cell r="F301" t="str">
            <v>EA</v>
          </cell>
          <cell r="G301">
            <v>1540000</v>
          </cell>
          <cell r="H301">
            <v>84700000</v>
          </cell>
        </row>
        <row r="302">
          <cell r="B302" t="str">
            <v>자.</v>
          </cell>
          <cell r="C302" t="str">
            <v>교좌장치</v>
          </cell>
          <cell r="D302" t="str">
            <v>(횡방향)135TON</v>
          </cell>
          <cell r="E302">
            <v>226</v>
          </cell>
          <cell r="F302" t="str">
            <v>EA</v>
          </cell>
          <cell r="G302">
            <v>1540000</v>
          </cell>
          <cell r="H302">
            <v>348040000</v>
          </cell>
        </row>
        <row r="303">
          <cell r="B303" t="str">
            <v>차.</v>
          </cell>
          <cell r="C303" t="str">
            <v>교좌장치</v>
          </cell>
          <cell r="D303" t="str">
            <v>(양방향)135TON</v>
          </cell>
          <cell r="E303">
            <v>218</v>
          </cell>
          <cell r="F303" t="str">
            <v>EA</v>
          </cell>
          <cell r="G303">
            <v>1300000</v>
          </cell>
          <cell r="H303">
            <v>283400000</v>
          </cell>
        </row>
        <row r="304">
          <cell r="B304" t="str">
            <v>카.</v>
          </cell>
          <cell r="C304" t="str">
            <v>교좌장치</v>
          </cell>
          <cell r="D304" t="str">
            <v>(일방향)160TON</v>
          </cell>
          <cell r="E304">
            <v>8</v>
          </cell>
          <cell r="F304" t="str">
            <v>EA</v>
          </cell>
          <cell r="G304">
            <v>1020000</v>
          </cell>
          <cell r="H304">
            <v>8160000</v>
          </cell>
        </row>
        <row r="305">
          <cell r="B305" t="str">
            <v>타.</v>
          </cell>
          <cell r="C305" t="str">
            <v>교좌장치</v>
          </cell>
          <cell r="D305" t="str">
            <v>(양방향)160TON</v>
          </cell>
          <cell r="E305">
            <v>24</v>
          </cell>
          <cell r="F305" t="str">
            <v>EA</v>
          </cell>
          <cell r="G305">
            <v>690000</v>
          </cell>
          <cell r="H305">
            <v>16560000</v>
          </cell>
        </row>
        <row r="306">
          <cell r="B306" t="str">
            <v>파.</v>
          </cell>
          <cell r="C306" t="str">
            <v>교좌장치</v>
          </cell>
          <cell r="D306" t="str">
            <v>(고정단)175TON</v>
          </cell>
          <cell r="E306">
            <v>6</v>
          </cell>
          <cell r="F306" t="str">
            <v>EA</v>
          </cell>
          <cell r="G306">
            <v>1950000</v>
          </cell>
          <cell r="H306">
            <v>11700000</v>
          </cell>
        </row>
        <row r="307">
          <cell r="B307" t="str">
            <v>하.</v>
          </cell>
          <cell r="C307" t="str">
            <v>교좌장치</v>
          </cell>
          <cell r="D307" t="str">
            <v>(일방향)175TON</v>
          </cell>
          <cell r="E307">
            <v>6</v>
          </cell>
          <cell r="F307" t="str">
            <v>EA</v>
          </cell>
          <cell r="G307">
            <v>1930000</v>
          </cell>
          <cell r="H307">
            <v>11580000</v>
          </cell>
        </row>
        <row r="308">
          <cell r="B308" t="str">
            <v>거.</v>
          </cell>
          <cell r="C308" t="str">
            <v>교좌장치</v>
          </cell>
          <cell r="D308" t="str">
            <v>(횡방향)175TON</v>
          </cell>
          <cell r="E308">
            <v>24</v>
          </cell>
          <cell r="F308" t="str">
            <v>EA</v>
          </cell>
          <cell r="G308">
            <v>2000000</v>
          </cell>
          <cell r="H308">
            <v>48000000</v>
          </cell>
        </row>
        <row r="309">
          <cell r="B309" t="str">
            <v>너.</v>
          </cell>
          <cell r="C309" t="str">
            <v>교좌장치</v>
          </cell>
          <cell r="D309" t="str">
            <v>(양방향)175TON</v>
          </cell>
          <cell r="E309">
            <v>24</v>
          </cell>
          <cell r="F309" t="str">
            <v>EA</v>
          </cell>
          <cell r="G309">
            <v>1710000</v>
          </cell>
          <cell r="H309">
            <v>41040000</v>
          </cell>
        </row>
        <row r="310">
          <cell r="B310" t="str">
            <v>더.</v>
          </cell>
          <cell r="C310" t="str">
            <v>교좌장치</v>
          </cell>
          <cell r="D310" t="str">
            <v>(고정단)225TON</v>
          </cell>
          <cell r="E310">
            <v>4</v>
          </cell>
          <cell r="F310" t="str">
            <v>EA</v>
          </cell>
          <cell r="G310">
            <v>2380000</v>
          </cell>
          <cell r="H310">
            <v>9520000</v>
          </cell>
        </row>
        <row r="311">
          <cell r="B311" t="str">
            <v>러.</v>
          </cell>
          <cell r="C311" t="str">
            <v>교좌장치</v>
          </cell>
          <cell r="D311" t="str">
            <v>(일방향)225TON</v>
          </cell>
          <cell r="E311">
            <v>4</v>
          </cell>
          <cell r="F311" t="str">
            <v>EA</v>
          </cell>
          <cell r="G311">
            <v>2360000</v>
          </cell>
          <cell r="H311">
            <v>9440000</v>
          </cell>
        </row>
        <row r="312">
          <cell r="B312" t="str">
            <v>머.</v>
          </cell>
          <cell r="C312" t="str">
            <v>교좌장치</v>
          </cell>
          <cell r="D312" t="str">
            <v>(횡방향)225TON</v>
          </cell>
          <cell r="E312">
            <v>16</v>
          </cell>
          <cell r="F312" t="str">
            <v>EA</v>
          </cell>
          <cell r="G312">
            <v>2380000</v>
          </cell>
          <cell r="H312">
            <v>38080000</v>
          </cell>
        </row>
        <row r="313">
          <cell r="B313" t="str">
            <v>버.</v>
          </cell>
          <cell r="C313" t="str">
            <v>교좌장치</v>
          </cell>
          <cell r="D313" t="str">
            <v>(양방향)225TON</v>
          </cell>
          <cell r="E313">
            <v>16</v>
          </cell>
          <cell r="F313" t="str">
            <v>EA</v>
          </cell>
          <cell r="G313">
            <v>2100000</v>
          </cell>
          <cell r="H313">
            <v>33600000</v>
          </cell>
        </row>
        <row r="314">
          <cell r="B314" t="str">
            <v>서.</v>
          </cell>
          <cell r="C314" t="str">
            <v>교좌장치</v>
          </cell>
          <cell r="D314" t="str">
            <v>(고정단)350TON</v>
          </cell>
          <cell r="E314">
            <v>4</v>
          </cell>
          <cell r="F314" t="str">
            <v>EA</v>
          </cell>
          <cell r="G314">
            <v>850000</v>
          </cell>
          <cell r="H314">
            <v>3400000</v>
          </cell>
        </row>
        <row r="315">
          <cell r="B315" t="str">
            <v>어.</v>
          </cell>
          <cell r="C315" t="str">
            <v>교좌장치</v>
          </cell>
          <cell r="D315" t="str">
            <v>(일방향)350TON</v>
          </cell>
          <cell r="E315">
            <v>16</v>
          </cell>
          <cell r="F315" t="str">
            <v>EA</v>
          </cell>
          <cell r="G315">
            <v>1500000</v>
          </cell>
          <cell r="H315">
            <v>24000000</v>
          </cell>
        </row>
        <row r="316">
          <cell r="B316" t="str">
            <v>저.</v>
          </cell>
          <cell r="C316" t="str">
            <v>교좌장치</v>
          </cell>
          <cell r="D316" t="str">
            <v>(양방향)350TON</v>
          </cell>
          <cell r="E316">
            <v>12</v>
          </cell>
          <cell r="F316" t="str">
            <v>EA</v>
          </cell>
          <cell r="G316">
            <v>1060000</v>
          </cell>
          <cell r="H316">
            <v>12720000</v>
          </cell>
        </row>
        <row r="317">
          <cell r="B317" t="str">
            <v>처.</v>
          </cell>
          <cell r="C317" t="str">
            <v>교좌장치</v>
          </cell>
          <cell r="D317" t="str">
            <v>(고정단,600TON)</v>
          </cell>
          <cell r="E317">
            <v>1</v>
          </cell>
          <cell r="F317" t="str">
            <v>SET</v>
          </cell>
          <cell r="G317">
            <v>1560000</v>
          </cell>
          <cell r="H317">
            <v>1560000</v>
          </cell>
        </row>
        <row r="318">
          <cell r="B318" t="str">
            <v>커.</v>
          </cell>
          <cell r="C318" t="str">
            <v>교좌장치</v>
          </cell>
          <cell r="D318" t="str">
            <v>(일방향,600TON)</v>
          </cell>
          <cell r="E318">
            <v>4</v>
          </cell>
          <cell r="F318" t="str">
            <v>SET</v>
          </cell>
          <cell r="G318">
            <v>2460000</v>
          </cell>
          <cell r="H318">
            <v>9840000</v>
          </cell>
        </row>
        <row r="319">
          <cell r="B319" t="str">
            <v>터.</v>
          </cell>
          <cell r="C319" t="str">
            <v>교좌장치</v>
          </cell>
          <cell r="D319" t="str">
            <v>(양방향,600TON)</v>
          </cell>
          <cell r="E319">
            <v>3</v>
          </cell>
          <cell r="F319" t="str">
            <v>SET</v>
          </cell>
          <cell r="G319">
            <v>1910000</v>
          </cell>
          <cell r="H319">
            <v>5730000</v>
          </cell>
        </row>
        <row r="320">
          <cell r="B320" t="str">
            <v>18)</v>
          </cell>
          <cell r="C320" t="str">
            <v>신축이음장치</v>
          </cell>
          <cell r="H320">
            <v>0</v>
          </cell>
        </row>
        <row r="321">
          <cell r="B321" t="str">
            <v>가.</v>
          </cell>
          <cell r="C321" t="str">
            <v>신축이음장치</v>
          </cell>
          <cell r="D321" t="str">
            <v>(NO. 50)</v>
          </cell>
          <cell r="E321">
            <v>258</v>
          </cell>
          <cell r="F321" t="str">
            <v>M</v>
          </cell>
          <cell r="G321">
            <v>200000</v>
          </cell>
          <cell r="H321">
            <v>51600000</v>
          </cell>
        </row>
        <row r="322">
          <cell r="B322" t="str">
            <v>나.</v>
          </cell>
          <cell r="C322" t="str">
            <v>신축이음장치</v>
          </cell>
          <cell r="D322" t="str">
            <v>(NO. 80)</v>
          </cell>
          <cell r="E322">
            <v>72</v>
          </cell>
          <cell r="F322" t="str">
            <v>M</v>
          </cell>
          <cell r="G322">
            <v>320000</v>
          </cell>
          <cell r="H322">
            <v>23040000</v>
          </cell>
        </row>
        <row r="323">
          <cell r="B323" t="str">
            <v>다.</v>
          </cell>
          <cell r="C323" t="str">
            <v>신축이음장치</v>
          </cell>
          <cell r="D323" t="str">
            <v>(NO80,WSF)</v>
          </cell>
          <cell r="E323">
            <v>177</v>
          </cell>
          <cell r="F323" t="str">
            <v>M</v>
          </cell>
          <cell r="G323">
            <v>480000</v>
          </cell>
          <cell r="H323">
            <v>84960000</v>
          </cell>
        </row>
        <row r="324">
          <cell r="B324" t="str">
            <v>라.</v>
          </cell>
          <cell r="C324" t="str">
            <v>신축이음장치</v>
          </cell>
          <cell r="D324" t="str">
            <v>(NO100,WSF)</v>
          </cell>
          <cell r="E324">
            <v>257</v>
          </cell>
          <cell r="F324" t="str">
            <v>M</v>
          </cell>
          <cell r="G324">
            <v>560000</v>
          </cell>
          <cell r="H324">
            <v>143920000</v>
          </cell>
        </row>
        <row r="325">
          <cell r="B325" t="str">
            <v>마.</v>
          </cell>
          <cell r="C325" t="str">
            <v>신축이음장치</v>
          </cell>
          <cell r="D325" t="str">
            <v>(NO160,WSF)</v>
          </cell>
          <cell r="E325">
            <v>79</v>
          </cell>
          <cell r="F325" t="str">
            <v>M</v>
          </cell>
          <cell r="G325">
            <v>1850000</v>
          </cell>
          <cell r="H325">
            <v>146150000</v>
          </cell>
        </row>
        <row r="326">
          <cell r="B326" t="str">
            <v>19)</v>
          </cell>
          <cell r="C326" t="str">
            <v>다웰바설치</v>
          </cell>
          <cell r="D326" t="str">
            <v>(φ 25x600)</v>
          </cell>
          <cell r="E326">
            <v>44</v>
          </cell>
          <cell r="F326" t="str">
            <v>EA</v>
          </cell>
          <cell r="G326">
            <v>3500</v>
          </cell>
          <cell r="H326">
            <v>154000</v>
          </cell>
        </row>
        <row r="327">
          <cell r="B327" t="str">
            <v>20)</v>
          </cell>
          <cell r="C327" t="str">
            <v>타르지</v>
          </cell>
          <cell r="E327">
            <v>5</v>
          </cell>
          <cell r="F327" t="str">
            <v>M2</v>
          </cell>
          <cell r="G327">
            <v>34000</v>
          </cell>
          <cell r="H327">
            <v>170000</v>
          </cell>
        </row>
        <row r="328">
          <cell r="B328" t="str">
            <v>21)</v>
          </cell>
          <cell r="C328" t="str">
            <v>무수축콘크리트공</v>
          </cell>
          <cell r="H328">
            <v>0</v>
          </cell>
        </row>
        <row r="329">
          <cell r="B329" t="str">
            <v>가.</v>
          </cell>
          <cell r="C329" t="str">
            <v>무수축 콘크리트</v>
          </cell>
          <cell r="E329">
            <v>101</v>
          </cell>
          <cell r="F329" t="str">
            <v>M3</v>
          </cell>
          <cell r="G329">
            <v>140000</v>
          </cell>
          <cell r="H329">
            <v>14140000</v>
          </cell>
        </row>
        <row r="330">
          <cell r="B330" t="str">
            <v>나.</v>
          </cell>
          <cell r="C330" t="str">
            <v>무수축 몰탈</v>
          </cell>
          <cell r="D330" t="str">
            <v>(1:1)</v>
          </cell>
          <cell r="E330">
            <v>37</v>
          </cell>
          <cell r="F330" t="str">
            <v>M3</v>
          </cell>
          <cell r="G330">
            <v>56000</v>
          </cell>
          <cell r="H330">
            <v>2072000</v>
          </cell>
        </row>
        <row r="331">
          <cell r="B331" t="str">
            <v>22)</v>
          </cell>
          <cell r="C331" t="str">
            <v>몰 탈</v>
          </cell>
          <cell r="D331" t="str">
            <v>(1:3)</v>
          </cell>
          <cell r="E331">
            <v>150</v>
          </cell>
          <cell r="F331" t="str">
            <v>M3</v>
          </cell>
          <cell r="G331">
            <v>34000</v>
          </cell>
          <cell r="H331">
            <v>5100000</v>
          </cell>
        </row>
        <row r="332">
          <cell r="B332" t="str">
            <v>23)</v>
          </cell>
          <cell r="C332" t="str">
            <v>교량배수공</v>
          </cell>
          <cell r="H332">
            <v>0</v>
          </cell>
        </row>
        <row r="333">
          <cell r="B333" t="str">
            <v>가.</v>
          </cell>
          <cell r="C333" t="str">
            <v>하천용</v>
          </cell>
          <cell r="H333">
            <v>0</v>
          </cell>
        </row>
        <row r="334">
          <cell r="B334" t="str">
            <v>a.</v>
          </cell>
          <cell r="C334" t="str">
            <v>배수시설집수구</v>
          </cell>
          <cell r="D334" t="str">
            <v>(주철)</v>
          </cell>
          <cell r="E334">
            <v>129</v>
          </cell>
          <cell r="F334" t="str">
            <v>EA</v>
          </cell>
          <cell r="G334">
            <v>30000</v>
          </cell>
          <cell r="H334">
            <v>3870000</v>
          </cell>
        </row>
        <row r="335">
          <cell r="B335" t="str">
            <v>b.</v>
          </cell>
          <cell r="C335" t="str">
            <v>아연도강관</v>
          </cell>
          <cell r="D335" t="str">
            <v>(R=165.2x4.85)</v>
          </cell>
          <cell r="E335">
            <v>352</v>
          </cell>
          <cell r="F335" t="str">
            <v>M</v>
          </cell>
          <cell r="G335">
            <v>8500</v>
          </cell>
          <cell r="H335">
            <v>2992000</v>
          </cell>
        </row>
        <row r="336">
          <cell r="B336" t="str">
            <v>나.</v>
          </cell>
          <cell r="C336" t="str">
            <v>육교용</v>
          </cell>
          <cell r="H336">
            <v>0</v>
          </cell>
        </row>
        <row r="337">
          <cell r="B337" t="str">
            <v>a.</v>
          </cell>
          <cell r="C337" t="str">
            <v>육교용 집수구</v>
          </cell>
          <cell r="D337" t="str">
            <v>(주철)</v>
          </cell>
          <cell r="E337">
            <v>50</v>
          </cell>
          <cell r="F337" t="str">
            <v>EA</v>
          </cell>
          <cell r="G337">
            <v>64000</v>
          </cell>
          <cell r="H337">
            <v>3200000</v>
          </cell>
        </row>
        <row r="338">
          <cell r="B338" t="str">
            <v>b.</v>
          </cell>
          <cell r="C338" t="str">
            <v>육교용연결집수거</v>
          </cell>
          <cell r="D338" t="str">
            <v>(스텐레스)</v>
          </cell>
          <cell r="E338">
            <v>50</v>
          </cell>
          <cell r="F338" t="str">
            <v>EA</v>
          </cell>
          <cell r="G338">
            <v>110000</v>
          </cell>
          <cell r="H338">
            <v>5500000</v>
          </cell>
        </row>
        <row r="339">
          <cell r="B339" t="str">
            <v>c.</v>
          </cell>
          <cell r="C339" t="str">
            <v>육교용 직관</v>
          </cell>
          <cell r="D339" t="str">
            <v>(□150)</v>
          </cell>
          <cell r="E339">
            <v>408</v>
          </cell>
          <cell r="F339" t="str">
            <v>M</v>
          </cell>
          <cell r="G339">
            <v>75000</v>
          </cell>
          <cell r="H339">
            <v>30600000</v>
          </cell>
        </row>
        <row r="340">
          <cell r="B340" t="str">
            <v>d.</v>
          </cell>
          <cell r="C340" t="str">
            <v>육교용 곡관</v>
          </cell>
          <cell r="E340">
            <v>74</v>
          </cell>
          <cell r="F340" t="str">
            <v>EA</v>
          </cell>
          <cell r="G340">
            <v>29000</v>
          </cell>
          <cell r="H340">
            <v>2146000</v>
          </cell>
        </row>
        <row r="341">
          <cell r="B341" t="str">
            <v>e.</v>
          </cell>
          <cell r="C341" t="str">
            <v>육교용 연결부</v>
          </cell>
          <cell r="D341" t="str">
            <v>(스텐레스)</v>
          </cell>
          <cell r="E341">
            <v>210</v>
          </cell>
          <cell r="F341" t="str">
            <v>EA</v>
          </cell>
          <cell r="G341">
            <v>16000</v>
          </cell>
          <cell r="H341">
            <v>3360000</v>
          </cell>
        </row>
        <row r="342">
          <cell r="B342" t="str">
            <v>24)</v>
          </cell>
          <cell r="C342" t="str">
            <v>교량명판공</v>
          </cell>
          <cell r="H342">
            <v>0</v>
          </cell>
        </row>
        <row r="343">
          <cell r="B343" t="str">
            <v>가.</v>
          </cell>
          <cell r="C343" t="str">
            <v>교명주</v>
          </cell>
          <cell r="D343" t="str">
            <v>(화강석)</v>
          </cell>
          <cell r="E343">
            <v>58</v>
          </cell>
          <cell r="F343" t="str">
            <v>EA</v>
          </cell>
          <cell r="G343">
            <v>1170000</v>
          </cell>
          <cell r="H343">
            <v>67860000</v>
          </cell>
        </row>
        <row r="344">
          <cell r="B344" t="str">
            <v>나.</v>
          </cell>
          <cell r="C344" t="str">
            <v>교명판</v>
          </cell>
          <cell r="D344" t="str">
            <v>(450x200x10)</v>
          </cell>
          <cell r="E344">
            <v>29</v>
          </cell>
          <cell r="F344" t="str">
            <v>EA</v>
          </cell>
          <cell r="G344">
            <v>41000</v>
          </cell>
          <cell r="H344">
            <v>1189000</v>
          </cell>
        </row>
        <row r="345">
          <cell r="B345" t="str">
            <v>다.</v>
          </cell>
          <cell r="C345" t="str">
            <v>설명판</v>
          </cell>
          <cell r="D345" t="str">
            <v>(350x250x10)</v>
          </cell>
          <cell r="E345">
            <v>29</v>
          </cell>
          <cell r="F345" t="str">
            <v>EA</v>
          </cell>
          <cell r="G345">
            <v>40000</v>
          </cell>
          <cell r="H345">
            <v>1160000</v>
          </cell>
        </row>
        <row r="346">
          <cell r="B346" t="str">
            <v>25)</v>
          </cell>
          <cell r="C346" t="str">
            <v>교각및교대보호공</v>
          </cell>
          <cell r="H346">
            <v>0</v>
          </cell>
        </row>
        <row r="347">
          <cell r="B347" t="str">
            <v>가.</v>
          </cell>
          <cell r="C347" t="str">
            <v>쇄굴방지용사석채움</v>
          </cell>
          <cell r="D347" t="str">
            <v>(60KG)</v>
          </cell>
          <cell r="E347">
            <v>8350</v>
          </cell>
          <cell r="F347" t="str">
            <v>M3</v>
          </cell>
          <cell r="G347">
            <v>21000</v>
          </cell>
          <cell r="H347">
            <v>175350000</v>
          </cell>
        </row>
        <row r="348">
          <cell r="B348" t="str">
            <v>나.</v>
          </cell>
          <cell r="C348" t="str">
            <v>교대보호블럭</v>
          </cell>
          <cell r="D348" t="str">
            <v>(육교용)</v>
          </cell>
          <cell r="E348">
            <v>4674</v>
          </cell>
          <cell r="F348" t="str">
            <v>M2</v>
          </cell>
          <cell r="G348">
            <v>21000</v>
          </cell>
          <cell r="H348">
            <v>98154000</v>
          </cell>
        </row>
        <row r="349">
          <cell r="B349" t="str">
            <v>다.</v>
          </cell>
          <cell r="C349" t="str">
            <v>교대보호블럭</v>
          </cell>
          <cell r="D349" t="str">
            <v>(하천용)</v>
          </cell>
          <cell r="E349">
            <v>1382</v>
          </cell>
          <cell r="F349" t="str">
            <v>M2</v>
          </cell>
          <cell r="G349">
            <v>24000</v>
          </cell>
          <cell r="H349">
            <v>33168000</v>
          </cell>
        </row>
        <row r="350">
          <cell r="B350" t="str">
            <v>26)</v>
          </cell>
          <cell r="C350" t="str">
            <v>T.B.M 설치</v>
          </cell>
          <cell r="E350">
            <v>22</v>
          </cell>
          <cell r="F350" t="str">
            <v>EA</v>
          </cell>
          <cell r="G350">
            <v>24000</v>
          </cell>
          <cell r="H350">
            <v>528000</v>
          </cell>
        </row>
        <row r="351">
          <cell r="B351" t="str">
            <v>27)</v>
          </cell>
          <cell r="C351" t="str">
            <v>잡석 채움</v>
          </cell>
          <cell r="E351">
            <v>28</v>
          </cell>
          <cell r="F351" t="str">
            <v>M3</v>
          </cell>
          <cell r="G351">
            <v>30000</v>
          </cell>
          <cell r="H351">
            <v>840000</v>
          </cell>
        </row>
        <row r="352">
          <cell r="B352" t="str">
            <v>28)</v>
          </cell>
          <cell r="C352" t="str">
            <v>부직포설치</v>
          </cell>
          <cell r="E352">
            <v>126</v>
          </cell>
          <cell r="F352" t="str">
            <v>M2</v>
          </cell>
          <cell r="G352">
            <v>2100</v>
          </cell>
          <cell r="H352">
            <v>264600</v>
          </cell>
        </row>
        <row r="353">
          <cell r="B353" t="str">
            <v>29)</v>
          </cell>
          <cell r="C353" t="str">
            <v>전선관설치</v>
          </cell>
          <cell r="H353">
            <v>0</v>
          </cell>
        </row>
        <row r="354">
          <cell r="B354" t="str">
            <v>가.</v>
          </cell>
          <cell r="C354" t="str">
            <v>전선관</v>
          </cell>
          <cell r="D354" t="str">
            <v>(강관φ150M/M)</v>
          </cell>
          <cell r="E354">
            <v>3974</v>
          </cell>
          <cell r="F354" t="str">
            <v>M</v>
          </cell>
          <cell r="G354">
            <v>9500</v>
          </cell>
          <cell r="H354">
            <v>37753000</v>
          </cell>
        </row>
        <row r="355">
          <cell r="B355" t="str">
            <v>나.</v>
          </cell>
          <cell r="C355" t="str">
            <v>전선관</v>
          </cell>
          <cell r="D355" t="str">
            <v>(ø=100 ㎜)</v>
          </cell>
          <cell r="E355">
            <v>326</v>
          </cell>
          <cell r="F355" t="str">
            <v>M</v>
          </cell>
          <cell r="G355">
            <v>2400</v>
          </cell>
          <cell r="H355">
            <v>782400</v>
          </cell>
        </row>
        <row r="356">
          <cell r="B356" t="str">
            <v>30)</v>
          </cell>
          <cell r="C356" t="str">
            <v>P.V.C PIPE</v>
          </cell>
          <cell r="D356" t="str">
            <v>(φ50M/M)</v>
          </cell>
          <cell r="E356">
            <v>544</v>
          </cell>
          <cell r="F356" t="str">
            <v>M</v>
          </cell>
          <cell r="G356">
            <v>950</v>
          </cell>
          <cell r="H356">
            <v>516800</v>
          </cell>
        </row>
        <row r="357">
          <cell r="B357" t="str">
            <v>31)</v>
          </cell>
          <cell r="C357" t="str">
            <v>P.V.C PIPE</v>
          </cell>
          <cell r="D357" t="str">
            <v>(φ 100M/M)</v>
          </cell>
          <cell r="E357">
            <v>128</v>
          </cell>
          <cell r="F357" t="str">
            <v>M</v>
          </cell>
          <cell r="G357">
            <v>2400</v>
          </cell>
          <cell r="H357">
            <v>307200</v>
          </cell>
        </row>
        <row r="358">
          <cell r="B358" t="str">
            <v>32)</v>
          </cell>
          <cell r="C358" t="str">
            <v>P.C BEAM교</v>
          </cell>
          <cell r="H358">
            <v>0</v>
          </cell>
        </row>
        <row r="359">
          <cell r="B359" t="str">
            <v>가.</v>
          </cell>
          <cell r="C359" t="str">
            <v>P.C빔 제작</v>
          </cell>
          <cell r="D359" t="str">
            <v>(L=30.00M)</v>
          </cell>
          <cell r="E359">
            <v>250</v>
          </cell>
          <cell r="F359" t="str">
            <v>본</v>
          </cell>
          <cell r="G359">
            <v>8000000</v>
          </cell>
          <cell r="H359">
            <v>2000000000</v>
          </cell>
        </row>
        <row r="360">
          <cell r="B360" t="str">
            <v>나.</v>
          </cell>
          <cell r="C360" t="str">
            <v>P.C빔 설치</v>
          </cell>
          <cell r="D360" t="str">
            <v>(L=30.00M)</v>
          </cell>
          <cell r="E360">
            <v>250</v>
          </cell>
          <cell r="F360" t="str">
            <v>본</v>
          </cell>
          <cell r="G360">
            <v>800000</v>
          </cell>
          <cell r="H360">
            <v>200000000</v>
          </cell>
        </row>
        <row r="361">
          <cell r="B361" t="str">
            <v>다.</v>
          </cell>
          <cell r="C361" t="str">
            <v>P.C BEAM 지지대</v>
          </cell>
          <cell r="E361">
            <v>1</v>
          </cell>
          <cell r="F361" t="str">
            <v>식</v>
          </cell>
          <cell r="G361">
            <v>3200000</v>
          </cell>
          <cell r="H361">
            <v>3200000</v>
          </cell>
        </row>
        <row r="362">
          <cell r="B362" t="str">
            <v>33)</v>
          </cell>
          <cell r="C362" t="str">
            <v>PRE-FLEX BEAM교</v>
          </cell>
          <cell r="H362">
            <v>0</v>
          </cell>
        </row>
        <row r="363">
          <cell r="B363" t="str">
            <v>가.</v>
          </cell>
          <cell r="C363" t="str">
            <v>PRE-FLEX BEAM제작</v>
          </cell>
          <cell r="H363">
            <v>0</v>
          </cell>
        </row>
        <row r="364">
          <cell r="B364" t="str">
            <v>a.</v>
          </cell>
          <cell r="C364" t="str">
            <v>PRE-FLEX BEAM 제작</v>
          </cell>
          <cell r="D364" t="str">
            <v>(L=30.00M,1.2M,근덕)</v>
          </cell>
          <cell r="E364">
            <v>6</v>
          </cell>
          <cell r="F364" t="str">
            <v>본</v>
          </cell>
          <cell r="G364">
            <v>26200000</v>
          </cell>
          <cell r="H364">
            <v>157200000</v>
          </cell>
        </row>
        <row r="365">
          <cell r="B365" t="str">
            <v>b.</v>
          </cell>
          <cell r="C365" t="str">
            <v>PRE-FLEX BEAM 제작</v>
          </cell>
          <cell r="D365" t="str">
            <v>(L=40.00M,1.5M,광태)</v>
          </cell>
          <cell r="E365">
            <v>10</v>
          </cell>
          <cell r="F365" t="str">
            <v>본</v>
          </cell>
          <cell r="G365">
            <v>40800000</v>
          </cell>
          <cell r="H365">
            <v>408000000</v>
          </cell>
        </row>
        <row r="366">
          <cell r="B366" t="str">
            <v>c.</v>
          </cell>
          <cell r="C366" t="str">
            <v>PRE-FLEX BEAM 제작</v>
          </cell>
          <cell r="D366" t="str">
            <v>(L=40.00M,1.5M,동2)</v>
          </cell>
          <cell r="E366">
            <v>10</v>
          </cell>
          <cell r="F366" t="str">
            <v>본</v>
          </cell>
          <cell r="G366">
            <v>41900000</v>
          </cell>
          <cell r="H366">
            <v>419000000</v>
          </cell>
        </row>
        <row r="367">
          <cell r="B367" t="str">
            <v>d.</v>
          </cell>
          <cell r="C367" t="str">
            <v>PRE-FLEX BEAM 제작</v>
          </cell>
          <cell r="D367" t="str">
            <v>(L=45.00M,1.7M,방2)</v>
          </cell>
          <cell r="E367">
            <v>10</v>
          </cell>
          <cell r="F367" t="str">
            <v>본</v>
          </cell>
          <cell r="G367">
            <v>52600000</v>
          </cell>
          <cell r="H367">
            <v>526000000</v>
          </cell>
        </row>
        <row r="368">
          <cell r="B368" t="str">
            <v>나.</v>
          </cell>
          <cell r="C368" t="str">
            <v>PRE-FLEX BEAM</v>
          </cell>
          <cell r="D368" t="str">
            <v>운반및가설</v>
          </cell>
          <cell r="H368">
            <v>0</v>
          </cell>
        </row>
        <row r="369">
          <cell r="B369" t="str">
            <v>a.</v>
          </cell>
          <cell r="C369" t="str">
            <v>P.F BEAM 운반및가설</v>
          </cell>
          <cell r="D369" t="str">
            <v>(L=30.00M,1.2M,근덕)</v>
          </cell>
          <cell r="E369">
            <v>6</v>
          </cell>
          <cell r="F369" t="str">
            <v>본</v>
          </cell>
          <cell r="G369">
            <v>7700000</v>
          </cell>
          <cell r="H369">
            <v>46200000</v>
          </cell>
        </row>
        <row r="370">
          <cell r="B370" t="str">
            <v>b.</v>
          </cell>
          <cell r="C370" t="str">
            <v>P.F BEAM 운반및가설</v>
          </cell>
          <cell r="D370" t="str">
            <v>(L=40.00M,1.5M,광태)</v>
          </cell>
          <cell r="E370">
            <v>10</v>
          </cell>
          <cell r="F370" t="str">
            <v>본</v>
          </cell>
          <cell r="G370">
            <v>12600000</v>
          </cell>
          <cell r="H370">
            <v>126000000</v>
          </cell>
        </row>
        <row r="371">
          <cell r="B371" t="str">
            <v>c.</v>
          </cell>
          <cell r="C371" t="str">
            <v>P.F BEAM 운반및가설</v>
          </cell>
          <cell r="D371" t="str">
            <v>(L=40.00M,1.5M,동2)</v>
          </cell>
          <cell r="E371">
            <v>10</v>
          </cell>
          <cell r="F371" t="str">
            <v>본</v>
          </cell>
          <cell r="G371">
            <v>13000000</v>
          </cell>
          <cell r="H371">
            <v>130000000</v>
          </cell>
        </row>
        <row r="372">
          <cell r="B372" t="str">
            <v>d.</v>
          </cell>
          <cell r="C372" t="str">
            <v>P.F BEAM 운반및가설</v>
          </cell>
          <cell r="D372" t="str">
            <v>(L=45.00M,1.7M,방2)</v>
          </cell>
          <cell r="E372">
            <v>10</v>
          </cell>
          <cell r="F372" t="str">
            <v>본</v>
          </cell>
          <cell r="G372">
            <v>16500000</v>
          </cell>
          <cell r="H372">
            <v>165000000</v>
          </cell>
        </row>
        <row r="373">
          <cell r="B373" t="str">
            <v>34)</v>
          </cell>
          <cell r="C373" t="str">
            <v>강교</v>
          </cell>
          <cell r="H373">
            <v>0</v>
          </cell>
        </row>
        <row r="374">
          <cell r="B374" t="str">
            <v>가.</v>
          </cell>
          <cell r="C374" t="str">
            <v>강교제작</v>
          </cell>
          <cell r="E374">
            <v>2884.598</v>
          </cell>
          <cell r="F374" t="str">
            <v>TON</v>
          </cell>
          <cell r="G374">
            <v>1400000</v>
          </cell>
          <cell r="H374">
            <v>4038437200</v>
          </cell>
        </row>
        <row r="375">
          <cell r="B375" t="str">
            <v>나.</v>
          </cell>
          <cell r="C375" t="str">
            <v>강교운반 및 가설</v>
          </cell>
          <cell r="E375">
            <v>2884.598</v>
          </cell>
          <cell r="F375" t="str">
            <v>TON</v>
          </cell>
          <cell r="G375">
            <v>200000</v>
          </cell>
          <cell r="H375">
            <v>576919600</v>
          </cell>
        </row>
        <row r="376">
          <cell r="B376" t="str">
            <v>35)</v>
          </cell>
          <cell r="C376" t="str">
            <v>강교도장</v>
          </cell>
          <cell r="H376">
            <v>0</v>
          </cell>
        </row>
        <row r="377">
          <cell r="B377" t="str">
            <v>가.</v>
          </cell>
          <cell r="C377" t="str">
            <v>강교내부도장</v>
          </cell>
          <cell r="D377" t="str">
            <v>(공장)</v>
          </cell>
          <cell r="E377">
            <v>27932</v>
          </cell>
          <cell r="F377" t="str">
            <v>M2</v>
          </cell>
          <cell r="G377">
            <v>10000</v>
          </cell>
          <cell r="H377">
            <v>279320000</v>
          </cell>
        </row>
        <row r="378">
          <cell r="B378" t="str">
            <v>나.</v>
          </cell>
          <cell r="C378" t="str">
            <v>강교외부도장</v>
          </cell>
          <cell r="D378" t="str">
            <v>(공장)</v>
          </cell>
          <cell r="E378">
            <v>17058</v>
          </cell>
          <cell r="F378" t="str">
            <v>M2</v>
          </cell>
          <cell r="G378">
            <v>9000</v>
          </cell>
          <cell r="H378">
            <v>153522000</v>
          </cell>
        </row>
        <row r="379">
          <cell r="B379" t="str">
            <v>다.</v>
          </cell>
          <cell r="C379" t="str">
            <v>강교외부포장면도장</v>
          </cell>
          <cell r="D379" t="str">
            <v>공장</v>
          </cell>
          <cell r="E379">
            <v>4513</v>
          </cell>
          <cell r="F379" t="str">
            <v>M2</v>
          </cell>
          <cell r="G379">
            <v>9000</v>
          </cell>
          <cell r="H379">
            <v>40617000</v>
          </cell>
        </row>
        <row r="380">
          <cell r="B380" t="str">
            <v>라.</v>
          </cell>
          <cell r="C380" t="str">
            <v>강교SPLICER도장</v>
          </cell>
          <cell r="D380" t="str">
            <v>공장</v>
          </cell>
          <cell r="E380">
            <v>2630</v>
          </cell>
          <cell r="F380" t="str">
            <v>M2</v>
          </cell>
          <cell r="G380">
            <v>7200</v>
          </cell>
          <cell r="H380">
            <v>18936000</v>
          </cell>
        </row>
        <row r="381">
          <cell r="B381" t="str">
            <v>마.</v>
          </cell>
          <cell r="C381" t="str">
            <v>강교내부볼트및</v>
          </cell>
          <cell r="D381" t="str">
            <v>SPLICER도장</v>
          </cell>
          <cell r="E381">
            <v>590</v>
          </cell>
          <cell r="F381" t="str">
            <v>M2</v>
          </cell>
          <cell r="G381">
            <v>11000</v>
          </cell>
          <cell r="H381">
            <v>6490000</v>
          </cell>
        </row>
        <row r="382">
          <cell r="B382" t="str">
            <v>바.</v>
          </cell>
          <cell r="C382" t="str">
            <v>강교외부볼트및SPLICE</v>
          </cell>
          <cell r="D382" t="str">
            <v>도장 (현장)</v>
          </cell>
          <cell r="E382">
            <v>589</v>
          </cell>
          <cell r="F382" t="str">
            <v>M2</v>
          </cell>
          <cell r="G382">
            <v>10000</v>
          </cell>
          <cell r="H382">
            <v>5890000</v>
          </cell>
        </row>
        <row r="383">
          <cell r="B383" t="str">
            <v>36)</v>
          </cell>
          <cell r="C383" t="str">
            <v>교각용표지판</v>
          </cell>
          <cell r="D383" t="str">
            <v>교량유지관리용</v>
          </cell>
          <cell r="E383">
            <v>54</v>
          </cell>
          <cell r="F383" t="str">
            <v>개소</v>
          </cell>
          <cell r="G383">
            <v>15000</v>
          </cell>
          <cell r="H383">
            <v>810000</v>
          </cell>
        </row>
        <row r="384">
          <cell r="B384" t="str">
            <v>37)</v>
          </cell>
          <cell r="C384" t="str">
            <v>BOX GIRDER</v>
          </cell>
          <cell r="D384" t="str">
            <v>교량유지관리용</v>
          </cell>
          <cell r="E384">
            <v>58</v>
          </cell>
          <cell r="F384" t="str">
            <v>개소</v>
          </cell>
          <cell r="G384">
            <v>46000</v>
          </cell>
          <cell r="H384">
            <v>2668000</v>
          </cell>
        </row>
        <row r="385">
          <cell r="B385" t="str">
            <v>38)</v>
          </cell>
          <cell r="C385" t="str">
            <v>낙하물 방지공</v>
          </cell>
          <cell r="E385">
            <v>489</v>
          </cell>
          <cell r="F385" t="str">
            <v>M2</v>
          </cell>
          <cell r="G385">
            <v>3000</v>
          </cell>
          <cell r="H385">
            <v>1467000</v>
          </cell>
        </row>
        <row r="386">
          <cell r="B386" t="str">
            <v>39)</v>
          </cell>
          <cell r="C386" t="str">
            <v>난간</v>
          </cell>
          <cell r="D386" t="str">
            <v>(교량용)</v>
          </cell>
          <cell r="E386">
            <v>472</v>
          </cell>
          <cell r="F386" t="str">
            <v>M</v>
          </cell>
          <cell r="G386">
            <v>100000</v>
          </cell>
          <cell r="H386">
            <v>47200000</v>
          </cell>
        </row>
        <row r="387">
          <cell r="B387" t="str">
            <v>40)</v>
          </cell>
          <cell r="C387" t="str">
            <v>가도 및 축도</v>
          </cell>
          <cell r="E387">
            <v>1</v>
          </cell>
          <cell r="F387" t="str">
            <v>식</v>
          </cell>
          <cell r="G387">
            <v>450000000</v>
          </cell>
          <cell r="H387">
            <v>450000000</v>
          </cell>
        </row>
        <row r="388">
          <cell r="B388" t="str">
            <v>41)</v>
          </cell>
          <cell r="C388" t="str">
            <v>안전점검시설</v>
          </cell>
          <cell r="H388">
            <v>0</v>
          </cell>
        </row>
        <row r="389">
          <cell r="B389" t="str">
            <v>가.</v>
          </cell>
          <cell r="C389" t="str">
            <v>안전점검통로</v>
          </cell>
          <cell r="D389" t="str">
            <v>(P.C BEAM용)</v>
          </cell>
          <cell r="E389">
            <v>40</v>
          </cell>
          <cell r="F389" t="str">
            <v>개소</v>
          </cell>
          <cell r="G389">
            <v>8000000</v>
          </cell>
          <cell r="H389">
            <v>320000000</v>
          </cell>
        </row>
        <row r="390">
          <cell r="B390" t="str">
            <v>나.</v>
          </cell>
          <cell r="C390" t="str">
            <v>안전점검통로</v>
          </cell>
          <cell r="D390" t="str">
            <v>(STEEL 용)</v>
          </cell>
          <cell r="E390">
            <v>10</v>
          </cell>
          <cell r="F390" t="str">
            <v>개소</v>
          </cell>
          <cell r="G390">
            <v>8000000</v>
          </cell>
          <cell r="H390">
            <v>80000000</v>
          </cell>
        </row>
        <row r="391">
          <cell r="B391" t="str">
            <v>42)</v>
          </cell>
          <cell r="C391" t="str">
            <v>콘크리트생산</v>
          </cell>
          <cell r="H391">
            <v>0</v>
          </cell>
        </row>
        <row r="392">
          <cell r="B392" t="str">
            <v>가.</v>
          </cell>
          <cell r="C392" t="str">
            <v>콘크리트생산</v>
          </cell>
          <cell r="D392" t="str">
            <v>PC 19-400-15</v>
          </cell>
          <cell r="E392">
            <v>6479</v>
          </cell>
          <cell r="F392" t="str">
            <v>M3</v>
          </cell>
          <cell r="G392">
            <v>7500</v>
          </cell>
          <cell r="H392">
            <v>48592500</v>
          </cell>
        </row>
        <row r="393">
          <cell r="B393" t="str">
            <v>나.</v>
          </cell>
          <cell r="C393" t="str">
            <v>콘크리트생산</v>
          </cell>
          <cell r="D393" t="str">
            <v>25-270-15</v>
          </cell>
          <cell r="E393">
            <v>14750</v>
          </cell>
          <cell r="F393" t="str">
            <v>M3</v>
          </cell>
          <cell r="G393">
            <v>5000</v>
          </cell>
          <cell r="H393">
            <v>73750000</v>
          </cell>
        </row>
        <row r="394">
          <cell r="B394" t="str">
            <v>다.</v>
          </cell>
          <cell r="C394" t="str">
            <v>콘크리트생산</v>
          </cell>
          <cell r="D394" t="str">
            <v>32-240-15</v>
          </cell>
          <cell r="E394">
            <v>35543</v>
          </cell>
          <cell r="F394" t="str">
            <v>M3</v>
          </cell>
          <cell r="G394">
            <v>5000</v>
          </cell>
          <cell r="H394">
            <v>177715000</v>
          </cell>
        </row>
        <row r="395">
          <cell r="B395" t="str">
            <v>43)</v>
          </cell>
          <cell r="C395" t="str">
            <v>콘크리트운반</v>
          </cell>
          <cell r="D395" t="str">
            <v>(B/P-현장)</v>
          </cell>
          <cell r="E395">
            <v>57342</v>
          </cell>
          <cell r="F395" t="str">
            <v>M3</v>
          </cell>
          <cell r="G395">
            <v>3500</v>
          </cell>
          <cell r="H395">
            <v>200697000</v>
          </cell>
        </row>
        <row r="396">
          <cell r="B396" t="str">
            <v>3.2</v>
          </cell>
          <cell r="C396" t="str">
            <v>옹 벽 공</v>
          </cell>
          <cell r="H396">
            <v>0</v>
          </cell>
        </row>
        <row r="397">
          <cell r="B397" t="str">
            <v>1)</v>
          </cell>
          <cell r="C397" t="str">
            <v>구조물터파기</v>
          </cell>
          <cell r="H397">
            <v>0</v>
          </cell>
        </row>
        <row r="398">
          <cell r="B398" t="str">
            <v>가.</v>
          </cell>
          <cell r="C398" t="str">
            <v>구조물터파기</v>
          </cell>
          <cell r="D398" t="str">
            <v>(육상토사0∼4m)</v>
          </cell>
          <cell r="E398">
            <v>4197</v>
          </cell>
          <cell r="F398" t="str">
            <v>M3</v>
          </cell>
          <cell r="G398">
            <v>3200</v>
          </cell>
          <cell r="H398">
            <v>13430400</v>
          </cell>
        </row>
        <row r="399">
          <cell r="B399" t="str">
            <v>2)</v>
          </cell>
          <cell r="C399" t="str">
            <v>되메우기 및 다짐공</v>
          </cell>
          <cell r="D399" t="str">
            <v>(인력10％+기계90％)</v>
          </cell>
          <cell r="E399">
            <v>2642</v>
          </cell>
          <cell r="F399" t="str">
            <v>M3</v>
          </cell>
          <cell r="G399">
            <v>2000</v>
          </cell>
          <cell r="H399">
            <v>5284000</v>
          </cell>
        </row>
        <row r="400">
          <cell r="B400" t="str">
            <v>3)</v>
          </cell>
          <cell r="C400" t="str">
            <v>거푸집공</v>
          </cell>
          <cell r="H400">
            <v>0</v>
          </cell>
        </row>
        <row r="401">
          <cell r="B401" t="str">
            <v>가.</v>
          </cell>
          <cell r="C401" t="str">
            <v>합판거푸집</v>
          </cell>
          <cell r="D401" t="str">
            <v>(3회)</v>
          </cell>
          <cell r="E401">
            <v>5764</v>
          </cell>
          <cell r="F401" t="str">
            <v>M2</v>
          </cell>
          <cell r="G401">
            <v>17000</v>
          </cell>
          <cell r="H401">
            <v>97988000</v>
          </cell>
        </row>
        <row r="402">
          <cell r="B402" t="str">
            <v>나.</v>
          </cell>
          <cell r="C402" t="str">
            <v>합판거푸집</v>
          </cell>
          <cell r="D402" t="str">
            <v>(6회)</v>
          </cell>
          <cell r="E402">
            <v>106</v>
          </cell>
          <cell r="F402" t="str">
            <v>M2</v>
          </cell>
          <cell r="G402">
            <v>11900</v>
          </cell>
          <cell r="H402">
            <v>1261400</v>
          </cell>
        </row>
        <row r="403">
          <cell r="B403" t="str">
            <v>4)</v>
          </cell>
          <cell r="C403" t="str">
            <v>비계공</v>
          </cell>
          <cell r="D403" t="str">
            <v>(옹벽)</v>
          </cell>
          <cell r="E403">
            <v>1</v>
          </cell>
          <cell r="F403" t="str">
            <v>식</v>
          </cell>
          <cell r="G403">
            <v>32000000</v>
          </cell>
          <cell r="H403">
            <v>32000000</v>
          </cell>
        </row>
        <row r="404">
          <cell r="B404" t="str">
            <v>5)</v>
          </cell>
          <cell r="C404" t="str">
            <v>철근가공조립</v>
          </cell>
          <cell r="D404" t="str">
            <v>(복잡)</v>
          </cell>
          <cell r="E404">
            <v>293.05799999999999</v>
          </cell>
          <cell r="F404" t="str">
            <v>TON</v>
          </cell>
          <cell r="G404">
            <v>390000</v>
          </cell>
          <cell r="H404">
            <v>114292620</v>
          </cell>
        </row>
        <row r="405">
          <cell r="B405" t="str">
            <v>6)</v>
          </cell>
          <cell r="C405" t="str">
            <v>콘크리트타설</v>
          </cell>
          <cell r="H405">
            <v>0</v>
          </cell>
        </row>
        <row r="406">
          <cell r="B406" t="str">
            <v>가.</v>
          </cell>
          <cell r="C406" t="str">
            <v>콘크리트타설</v>
          </cell>
          <cell r="D406" t="str">
            <v>(펌프카타설,0~15m)</v>
          </cell>
          <cell r="E406">
            <v>2381</v>
          </cell>
          <cell r="F406" t="str">
            <v>M3</v>
          </cell>
          <cell r="G406">
            <v>9000</v>
          </cell>
          <cell r="H406">
            <v>21429000</v>
          </cell>
        </row>
        <row r="407">
          <cell r="B407" t="str">
            <v>나.</v>
          </cell>
          <cell r="C407" t="str">
            <v>콘크리트타설</v>
          </cell>
          <cell r="D407" t="str">
            <v>(무근,진동기제외)</v>
          </cell>
          <cell r="E407">
            <v>210</v>
          </cell>
          <cell r="F407" t="str">
            <v>M3</v>
          </cell>
          <cell r="G407">
            <v>17000</v>
          </cell>
          <cell r="H407">
            <v>3570000</v>
          </cell>
        </row>
        <row r="408">
          <cell r="B408" t="str">
            <v>7)</v>
          </cell>
          <cell r="C408" t="str">
            <v>P.V.C PIPE</v>
          </cell>
          <cell r="D408" t="str">
            <v>(φ 100M/M)</v>
          </cell>
          <cell r="E408">
            <v>576</v>
          </cell>
          <cell r="F408" t="str">
            <v>M</v>
          </cell>
          <cell r="G408">
            <v>2400</v>
          </cell>
          <cell r="H408">
            <v>1382400</v>
          </cell>
        </row>
        <row r="409">
          <cell r="B409" t="str">
            <v>8)</v>
          </cell>
          <cell r="C409" t="str">
            <v>스치로폴</v>
          </cell>
          <cell r="D409" t="str">
            <v>(T=20m/m)</v>
          </cell>
          <cell r="E409">
            <v>111</v>
          </cell>
          <cell r="F409" t="str">
            <v>M2</v>
          </cell>
          <cell r="G409">
            <v>1800</v>
          </cell>
          <cell r="H409">
            <v>199800</v>
          </cell>
        </row>
        <row r="410">
          <cell r="B410" t="str">
            <v>9)</v>
          </cell>
          <cell r="C410" t="str">
            <v>다웰바설치</v>
          </cell>
          <cell r="D410" t="str">
            <v>(φ 25x600)</v>
          </cell>
          <cell r="E410">
            <v>312</v>
          </cell>
          <cell r="F410" t="str">
            <v>EA</v>
          </cell>
          <cell r="G410">
            <v>3500</v>
          </cell>
          <cell r="H410">
            <v>1092000</v>
          </cell>
        </row>
        <row r="411">
          <cell r="B411" t="str">
            <v>10)</v>
          </cell>
          <cell r="C411" t="str">
            <v>실런트</v>
          </cell>
          <cell r="D411" t="str">
            <v>(비중 1.40)</v>
          </cell>
          <cell r="E411">
            <v>271</v>
          </cell>
          <cell r="F411" t="str">
            <v>M</v>
          </cell>
          <cell r="G411">
            <v>4500</v>
          </cell>
          <cell r="H411">
            <v>1219500</v>
          </cell>
        </row>
        <row r="412">
          <cell r="B412" t="str">
            <v>11)</v>
          </cell>
          <cell r="C412" t="str">
            <v>부직포설치</v>
          </cell>
          <cell r="E412">
            <v>859</v>
          </cell>
          <cell r="F412" t="str">
            <v>M2</v>
          </cell>
          <cell r="G412">
            <v>2100</v>
          </cell>
          <cell r="H412">
            <v>1803900</v>
          </cell>
        </row>
        <row r="413">
          <cell r="B413" t="str">
            <v>12)</v>
          </cell>
          <cell r="C413" t="str">
            <v>기초 잡석깔기</v>
          </cell>
          <cell r="E413">
            <v>191</v>
          </cell>
          <cell r="F413" t="str">
            <v>M3</v>
          </cell>
          <cell r="G413">
            <v>28000</v>
          </cell>
          <cell r="H413">
            <v>5348000</v>
          </cell>
        </row>
        <row r="414">
          <cell r="B414" t="str">
            <v>13)</v>
          </cell>
          <cell r="C414" t="str">
            <v>콘크리트생산및운반</v>
          </cell>
          <cell r="H414">
            <v>0</v>
          </cell>
        </row>
        <row r="415">
          <cell r="B415" t="str">
            <v>가.</v>
          </cell>
          <cell r="C415" t="str">
            <v>콘크리트생산</v>
          </cell>
          <cell r="D415" t="str">
            <v>32-240-15</v>
          </cell>
          <cell r="E415">
            <v>2381</v>
          </cell>
          <cell r="F415" t="str">
            <v>M3</v>
          </cell>
          <cell r="G415">
            <v>5000</v>
          </cell>
          <cell r="H415">
            <v>11905000</v>
          </cell>
        </row>
        <row r="416">
          <cell r="B416" t="str">
            <v>나.</v>
          </cell>
          <cell r="C416" t="str">
            <v>콘크리트운반</v>
          </cell>
          <cell r="D416" t="str">
            <v>(B/P-현장)</v>
          </cell>
          <cell r="E416">
            <v>2405</v>
          </cell>
          <cell r="F416" t="str">
            <v>M3</v>
          </cell>
          <cell r="G416">
            <v>3500</v>
          </cell>
          <cell r="H416">
            <v>8417500</v>
          </cell>
        </row>
        <row r="417">
          <cell r="B417" t="str">
            <v>4.</v>
          </cell>
          <cell r="C417" t="str">
            <v>터널공</v>
          </cell>
          <cell r="H417">
            <v>11753390470</v>
          </cell>
        </row>
        <row r="418">
          <cell r="B418" t="str">
            <v>1)</v>
          </cell>
          <cell r="C418" t="str">
            <v>굴  착</v>
          </cell>
          <cell r="H418">
            <v>0</v>
          </cell>
        </row>
        <row r="419">
          <cell r="B419" t="str">
            <v>가.</v>
          </cell>
          <cell r="C419" t="str">
            <v>전단면굴착</v>
          </cell>
          <cell r="D419" t="str">
            <v>(TYPE - Ⅱ)</v>
          </cell>
          <cell r="E419">
            <v>3185</v>
          </cell>
          <cell r="F419" t="str">
            <v>M3</v>
          </cell>
          <cell r="G419">
            <v>20500</v>
          </cell>
          <cell r="H419">
            <v>65292500</v>
          </cell>
        </row>
        <row r="420">
          <cell r="B420" t="str">
            <v>나.</v>
          </cell>
          <cell r="C420" t="str">
            <v>반단면굴착</v>
          </cell>
          <cell r="D420" t="str">
            <v>(TYPE - Ⅲ,상부)</v>
          </cell>
          <cell r="E420">
            <v>24083</v>
          </cell>
          <cell r="F420" t="str">
            <v>M3</v>
          </cell>
          <cell r="G420">
            <v>27500</v>
          </cell>
          <cell r="H420">
            <v>662282500</v>
          </cell>
        </row>
        <row r="421">
          <cell r="B421" t="str">
            <v>다.</v>
          </cell>
          <cell r="C421" t="str">
            <v>반단면굴착</v>
          </cell>
          <cell r="D421" t="str">
            <v>(TYPE - Ⅲ,하부)</v>
          </cell>
          <cell r="E421">
            <v>15921</v>
          </cell>
          <cell r="F421" t="str">
            <v>M3</v>
          </cell>
          <cell r="G421">
            <v>21500</v>
          </cell>
          <cell r="H421">
            <v>342301500</v>
          </cell>
        </row>
        <row r="422">
          <cell r="B422" t="str">
            <v>라.</v>
          </cell>
          <cell r="C422" t="str">
            <v>반단면굴착</v>
          </cell>
          <cell r="D422" t="str">
            <v>(TYPE - Ⅳ,상부)</v>
          </cell>
          <cell r="E422">
            <v>8916</v>
          </cell>
          <cell r="F422" t="str">
            <v>M3</v>
          </cell>
          <cell r="G422">
            <v>27500</v>
          </cell>
          <cell r="H422">
            <v>245190000</v>
          </cell>
        </row>
        <row r="423">
          <cell r="B423" t="str">
            <v>마.</v>
          </cell>
          <cell r="C423" t="str">
            <v>반단면굴착</v>
          </cell>
          <cell r="D423" t="str">
            <v>(TYPE - Ⅳ,하부)</v>
          </cell>
          <cell r="E423">
            <v>5846</v>
          </cell>
          <cell r="F423" t="str">
            <v>M3</v>
          </cell>
          <cell r="G423">
            <v>21000</v>
          </cell>
          <cell r="H423">
            <v>122766000</v>
          </cell>
        </row>
        <row r="424">
          <cell r="B424" t="str">
            <v>바.</v>
          </cell>
          <cell r="C424" t="str">
            <v>반단면굴착</v>
          </cell>
          <cell r="D424" t="str">
            <v>(TYPE - Ⅴ,상부)</v>
          </cell>
          <cell r="E424">
            <v>9746</v>
          </cell>
          <cell r="F424" t="str">
            <v>M3</v>
          </cell>
          <cell r="G424">
            <v>29500</v>
          </cell>
          <cell r="H424">
            <v>287507000</v>
          </cell>
        </row>
        <row r="425">
          <cell r="B425" t="str">
            <v>사.</v>
          </cell>
          <cell r="C425" t="str">
            <v>반단면굴착</v>
          </cell>
          <cell r="D425" t="str">
            <v>(TYPE - Ⅴ,하부)</v>
          </cell>
          <cell r="E425">
            <v>6227</v>
          </cell>
          <cell r="F425" t="str">
            <v>M3</v>
          </cell>
          <cell r="G425">
            <v>28000</v>
          </cell>
          <cell r="H425">
            <v>174356000</v>
          </cell>
        </row>
        <row r="426">
          <cell r="B426" t="str">
            <v>아.</v>
          </cell>
          <cell r="C426" t="str">
            <v>반단면굴착</v>
          </cell>
          <cell r="D426" t="str">
            <v>(TYPE - Ⅵ,상부좌)</v>
          </cell>
          <cell r="E426">
            <v>5705</v>
          </cell>
          <cell r="F426" t="str">
            <v>M3</v>
          </cell>
          <cell r="G426">
            <v>38000</v>
          </cell>
          <cell r="H426">
            <v>216790000</v>
          </cell>
        </row>
        <row r="427">
          <cell r="B427" t="str">
            <v>자.</v>
          </cell>
          <cell r="C427" t="str">
            <v>반단면굴착</v>
          </cell>
          <cell r="D427" t="str">
            <v>(TYPE - Ⅵ,상부우)</v>
          </cell>
          <cell r="E427">
            <v>3527</v>
          </cell>
          <cell r="F427" t="str">
            <v>M3</v>
          </cell>
          <cell r="G427">
            <v>53000</v>
          </cell>
          <cell r="H427">
            <v>186931000</v>
          </cell>
        </row>
        <row r="428">
          <cell r="B428" t="str">
            <v>차.</v>
          </cell>
          <cell r="C428" t="str">
            <v>반단면굴착</v>
          </cell>
          <cell r="D428" t="str">
            <v>(TYPE - Ⅵ,하부)</v>
          </cell>
          <cell r="E428">
            <v>5899</v>
          </cell>
          <cell r="F428" t="str">
            <v>M3</v>
          </cell>
          <cell r="G428">
            <v>28500</v>
          </cell>
          <cell r="H428">
            <v>168121500</v>
          </cell>
        </row>
        <row r="429">
          <cell r="B429" t="str">
            <v>2)</v>
          </cell>
          <cell r="C429" t="str">
            <v>버럭처리</v>
          </cell>
          <cell r="H429">
            <v>0</v>
          </cell>
        </row>
        <row r="430">
          <cell r="B430" t="str">
            <v>가.</v>
          </cell>
          <cell r="C430" t="str">
            <v>버럭처리</v>
          </cell>
          <cell r="D430" t="str">
            <v>(TYPE - Ⅱ)</v>
          </cell>
          <cell r="E430">
            <v>3377</v>
          </cell>
          <cell r="F430" t="str">
            <v>M3</v>
          </cell>
          <cell r="G430">
            <v>7000</v>
          </cell>
          <cell r="H430">
            <v>23639000</v>
          </cell>
        </row>
        <row r="431">
          <cell r="B431" t="str">
            <v>나.</v>
          </cell>
          <cell r="C431" t="str">
            <v>버럭처리</v>
          </cell>
          <cell r="D431" t="str">
            <v>(TYPE - Ⅲ,상부)</v>
          </cell>
          <cell r="E431">
            <v>25851</v>
          </cell>
          <cell r="F431" t="str">
            <v>M3</v>
          </cell>
          <cell r="G431">
            <v>8100</v>
          </cell>
          <cell r="H431">
            <v>209393100</v>
          </cell>
        </row>
        <row r="432">
          <cell r="B432" t="str">
            <v>다.</v>
          </cell>
          <cell r="C432" t="str">
            <v>버럭처리</v>
          </cell>
          <cell r="D432" t="str">
            <v>(TYPE - Ⅲ,하부)</v>
          </cell>
          <cell r="E432">
            <v>16542</v>
          </cell>
          <cell r="F432" t="str">
            <v>M3</v>
          </cell>
          <cell r="G432">
            <v>7300</v>
          </cell>
          <cell r="H432">
            <v>120756600</v>
          </cell>
        </row>
        <row r="433">
          <cell r="B433" t="str">
            <v>라.</v>
          </cell>
          <cell r="C433" t="str">
            <v>버럭처리</v>
          </cell>
          <cell r="D433" t="str">
            <v>(TYPE - Ⅳ,상부)</v>
          </cell>
          <cell r="E433">
            <v>9564</v>
          </cell>
          <cell r="F433" t="str">
            <v>M3</v>
          </cell>
          <cell r="G433">
            <v>8300</v>
          </cell>
          <cell r="H433">
            <v>79381200</v>
          </cell>
        </row>
        <row r="434">
          <cell r="B434" t="str">
            <v>마.</v>
          </cell>
          <cell r="C434" t="str">
            <v>버럭처리</v>
          </cell>
          <cell r="D434" t="str">
            <v>(TYPE - Ⅳ,하부)</v>
          </cell>
          <cell r="E434">
            <v>6071</v>
          </cell>
          <cell r="F434" t="str">
            <v>M3</v>
          </cell>
          <cell r="G434">
            <v>7400</v>
          </cell>
          <cell r="H434">
            <v>44925400</v>
          </cell>
        </row>
        <row r="435">
          <cell r="B435" t="str">
            <v>바.</v>
          </cell>
          <cell r="C435" t="str">
            <v>버럭처리</v>
          </cell>
          <cell r="D435" t="str">
            <v>(TYPE - Ⅴ,상부)</v>
          </cell>
          <cell r="E435">
            <v>10442</v>
          </cell>
          <cell r="F435" t="str">
            <v>M3</v>
          </cell>
          <cell r="G435">
            <v>8800</v>
          </cell>
          <cell r="H435">
            <v>91889600</v>
          </cell>
        </row>
        <row r="436">
          <cell r="B436" t="str">
            <v>사.</v>
          </cell>
          <cell r="C436" t="str">
            <v>버럭처리</v>
          </cell>
          <cell r="D436" t="str">
            <v>(TYPE - Ⅴ,하부)</v>
          </cell>
          <cell r="E436">
            <v>6467</v>
          </cell>
          <cell r="F436" t="str">
            <v>M3</v>
          </cell>
          <cell r="G436">
            <v>8600</v>
          </cell>
          <cell r="H436">
            <v>55616200</v>
          </cell>
        </row>
        <row r="437">
          <cell r="B437" t="str">
            <v>아.</v>
          </cell>
          <cell r="C437" t="str">
            <v>버럭처리</v>
          </cell>
          <cell r="D437" t="str">
            <v>(TYPE - Ⅵ,상부좌)</v>
          </cell>
          <cell r="E437">
            <v>6035</v>
          </cell>
          <cell r="F437" t="str">
            <v>M3</v>
          </cell>
          <cell r="G437">
            <v>10500</v>
          </cell>
          <cell r="H437">
            <v>63367500</v>
          </cell>
        </row>
        <row r="438">
          <cell r="B438" t="str">
            <v>자.</v>
          </cell>
          <cell r="C438" t="str">
            <v>버럭처리</v>
          </cell>
          <cell r="D438" t="str">
            <v>(TYPE - Ⅵ,상부우)</v>
          </cell>
          <cell r="E438">
            <v>3853</v>
          </cell>
          <cell r="F438" t="str">
            <v>M3</v>
          </cell>
          <cell r="G438">
            <v>13500</v>
          </cell>
          <cell r="H438">
            <v>52015500</v>
          </cell>
        </row>
        <row r="439">
          <cell r="B439" t="str">
            <v>차.</v>
          </cell>
          <cell r="C439" t="str">
            <v>버럭처리</v>
          </cell>
          <cell r="D439" t="str">
            <v>(TYPE - Ⅵ,하부)</v>
          </cell>
          <cell r="E439">
            <v>3127</v>
          </cell>
          <cell r="F439" t="str">
            <v>M3</v>
          </cell>
          <cell r="G439">
            <v>9000</v>
          </cell>
          <cell r="H439">
            <v>28143000</v>
          </cell>
        </row>
        <row r="440">
          <cell r="B440" t="str">
            <v>카.</v>
          </cell>
          <cell r="C440" t="str">
            <v>숏크리트 버럭처리</v>
          </cell>
          <cell r="E440">
            <v>1166</v>
          </cell>
          <cell r="F440" t="str">
            <v>M3</v>
          </cell>
          <cell r="G440">
            <v>7300</v>
          </cell>
          <cell r="H440">
            <v>8511800</v>
          </cell>
        </row>
        <row r="441">
          <cell r="B441" t="str">
            <v>3)</v>
          </cell>
          <cell r="C441" t="str">
            <v>강지보공</v>
          </cell>
          <cell r="H441">
            <v>0</v>
          </cell>
        </row>
        <row r="442">
          <cell r="B442" t="str">
            <v>가.</v>
          </cell>
          <cell r="C442" t="str">
            <v>강지보공</v>
          </cell>
          <cell r="D442" t="str">
            <v>(TYPE - Ⅲ)</v>
          </cell>
          <cell r="E442">
            <v>330</v>
          </cell>
          <cell r="F442" t="str">
            <v>조</v>
          </cell>
          <cell r="G442">
            <v>900000</v>
          </cell>
          <cell r="H442">
            <v>297000000</v>
          </cell>
        </row>
        <row r="443">
          <cell r="B443" t="str">
            <v>나.</v>
          </cell>
          <cell r="C443" t="str">
            <v>강지보공</v>
          </cell>
          <cell r="D443" t="str">
            <v>(TYPE - Ⅳ)</v>
          </cell>
          <cell r="E443">
            <v>149</v>
          </cell>
          <cell r="F443" t="str">
            <v>조</v>
          </cell>
          <cell r="G443">
            <v>880000</v>
          </cell>
          <cell r="H443">
            <v>131120000</v>
          </cell>
        </row>
        <row r="444">
          <cell r="B444" t="str">
            <v>다.</v>
          </cell>
          <cell r="C444" t="str">
            <v>강지보공</v>
          </cell>
          <cell r="D444" t="str">
            <v>(TYPE - Ⅴ)</v>
          </cell>
          <cell r="E444">
            <v>190</v>
          </cell>
          <cell r="F444" t="str">
            <v>조</v>
          </cell>
          <cell r="G444">
            <v>1200000</v>
          </cell>
          <cell r="H444">
            <v>228000000</v>
          </cell>
        </row>
        <row r="445">
          <cell r="B445" t="str">
            <v>라.</v>
          </cell>
          <cell r="C445" t="str">
            <v>강지보공</v>
          </cell>
          <cell r="D445" t="str">
            <v>(TYPE - Ⅵ)</v>
          </cell>
          <cell r="E445">
            <v>360</v>
          </cell>
          <cell r="F445" t="str">
            <v>조</v>
          </cell>
          <cell r="G445">
            <v>1140000</v>
          </cell>
          <cell r="H445">
            <v>410400000</v>
          </cell>
        </row>
        <row r="446">
          <cell r="B446" t="str">
            <v>마.</v>
          </cell>
          <cell r="C446" t="str">
            <v>강지보공</v>
          </cell>
          <cell r="D446" t="str">
            <v>(갱구부)</v>
          </cell>
          <cell r="E446">
            <v>44</v>
          </cell>
          <cell r="F446" t="str">
            <v>조</v>
          </cell>
          <cell r="G446">
            <v>1140000</v>
          </cell>
          <cell r="H446">
            <v>50160000</v>
          </cell>
        </row>
        <row r="447">
          <cell r="B447" t="str">
            <v>바.</v>
          </cell>
          <cell r="C447" t="str">
            <v>와이어매쉬 설치</v>
          </cell>
          <cell r="D447" t="str">
            <v>#4.8-100x100</v>
          </cell>
          <cell r="E447">
            <v>52083</v>
          </cell>
          <cell r="F447" t="str">
            <v>M2</v>
          </cell>
          <cell r="G447">
            <v>3800</v>
          </cell>
          <cell r="H447">
            <v>197915400</v>
          </cell>
        </row>
        <row r="448">
          <cell r="B448" t="str">
            <v>4)</v>
          </cell>
          <cell r="C448" t="str">
            <v>숏크리트공</v>
          </cell>
          <cell r="H448">
            <v>0</v>
          </cell>
        </row>
        <row r="449">
          <cell r="B449" t="str">
            <v>가.</v>
          </cell>
          <cell r="C449" t="str">
            <v>숏크리트공</v>
          </cell>
          <cell r="D449" t="str">
            <v>(TYPE - Ⅱ)</v>
          </cell>
          <cell r="E449">
            <v>221</v>
          </cell>
          <cell r="F449" t="str">
            <v>M3</v>
          </cell>
          <cell r="G449">
            <v>270000</v>
          </cell>
          <cell r="H449">
            <v>59670000</v>
          </cell>
        </row>
        <row r="450">
          <cell r="B450" t="str">
            <v>나.</v>
          </cell>
          <cell r="C450" t="str">
            <v>숏크리트공</v>
          </cell>
          <cell r="D450" t="str">
            <v>(TYPE - Ⅲ)</v>
          </cell>
          <cell r="E450">
            <v>3433</v>
          </cell>
          <cell r="F450" t="str">
            <v>M3</v>
          </cell>
          <cell r="G450">
            <v>190000</v>
          </cell>
          <cell r="H450">
            <v>652270000</v>
          </cell>
        </row>
        <row r="451">
          <cell r="B451" t="str">
            <v>다.</v>
          </cell>
          <cell r="C451" t="str">
            <v>숏크리트공</v>
          </cell>
          <cell r="D451" t="str">
            <v>(TYPE - Ⅳ)</v>
          </cell>
          <cell r="E451">
            <v>1504</v>
          </cell>
          <cell r="F451" t="str">
            <v>M3</v>
          </cell>
          <cell r="G451">
            <v>320000</v>
          </cell>
          <cell r="H451">
            <v>481280000</v>
          </cell>
        </row>
        <row r="452">
          <cell r="B452" t="str">
            <v>라.</v>
          </cell>
          <cell r="C452" t="str">
            <v>숏크리트공</v>
          </cell>
          <cell r="D452" t="str">
            <v>(TYPE - Ⅴ)</v>
          </cell>
          <cell r="E452">
            <v>1612</v>
          </cell>
          <cell r="F452" t="str">
            <v>M3</v>
          </cell>
          <cell r="G452">
            <v>350000</v>
          </cell>
          <cell r="H452">
            <v>564200000</v>
          </cell>
        </row>
        <row r="453">
          <cell r="B453" t="str">
            <v>마.</v>
          </cell>
          <cell r="C453" t="str">
            <v>숏크리트공</v>
          </cell>
          <cell r="D453" t="str">
            <v>(TYPE - Ⅵ)</v>
          </cell>
          <cell r="E453">
            <v>1527</v>
          </cell>
          <cell r="F453" t="str">
            <v>M3</v>
          </cell>
          <cell r="G453">
            <v>430000</v>
          </cell>
          <cell r="H453">
            <v>656610000</v>
          </cell>
        </row>
        <row r="454">
          <cell r="B454" t="str">
            <v>바.</v>
          </cell>
          <cell r="C454" t="str">
            <v>숏크리트공</v>
          </cell>
          <cell r="D454" t="str">
            <v>(갱구부)</v>
          </cell>
          <cell r="E454">
            <v>258</v>
          </cell>
          <cell r="F454" t="str">
            <v>M3</v>
          </cell>
          <cell r="G454">
            <v>68000</v>
          </cell>
          <cell r="H454">
            <v>17544000</v>
          </cell>
        </row>
        <row r="455">
          <cell r="B455" t="str">
            <v>5)</v>
          </cell>
          <cell r="C455" t="str">
            <v>ROCK BOLT공</v>
          </cell>
          <cell r="H455">
            <v>0</v>
          </cell>
        </row>
        <row r="456">
          <cell r="B456" t="str">
            <v>가.</v>
          </cell>
          <cell r="C456" t="str">
            <v>ROCK BOLT</v>
          </cell>
          <cell r="D456" t="str">
            <v>(TYPE - Ⅱ,상부)</v>
          </cell>
          <cell r="E456">
            <v>170</v>
          </cell>
          <cell r="F456" t="str">
            <v>개</v>
          </cell>
          <cell r="G456">
            <v>165000</v>
          </cell>
          <cell r="H456">
            <v>28050000</v>
          </cell>
        </row>
        <row r="457">
          <cell r="B457" t="str">
            <v>나.</v>
          </cell>
          <cell r="C457" t="str">
            <v>ROCK BOLT</v>
          </cell>
          <cell r="D457" t="str">
            <v>(TYPE - Ⅱ,측벽)</v>
          </cell>
          <cell r="E457">
            <v>60</v>
          </cell>
          <cell r="F457" t="str">
            <v>개</v>
          </cell>
          <cell r="G457">
            <v>150000</v>
          </cell>
          <cell r="H457">
            <v>9000000</v>
          </cell>
        </row>
        <row r="458">
          <cell r="B458" t="str">
            <v>다.</v>
          </cell>
          <cell r="C458" t="str">
            <v>ROCK BOLT</v>
          </cell>
          <cell r="D458" t="str">
            <v>(TYPE - Ⅲ,상부)</v>
          </cell>
          <cell r="E458">
            <v>2805</v>
          </cell>
          <cell r="F458" t="str">
            <v>개</v>
          </cell>
          <cell r="G458">
            <v>105000</v>
          </cell>
          <cell r="H458">
            <v>294525000</v>
          </cell>
        </row>
        <row r="459">
          <cell r="B459" t="str">
            <v>라.</v>
          </cell>
          <cell r="C459" t="str">
            <v>ROCK BOLT</v>
          </cell>
          <cell r="D459" t="str">
            <v>(TYPE - Ⅲ,측벽)</v>
          </cell>
          <cell r="E459">
            <v>2310</v>
          </cell>
          <cell r="F459" t="str">
            <v>개</v>
          </cell>
          <cell r="G459">
            <v>90000</v>
          </cell>
          <cell r="H459">
            <v>207900000</v>
          </cell>
        </row>
        <row r="460">
          <cell r="B460" t="str">
            <v>마.</v>
          </cell>
          <cell r="C460" t="str">
            <v>ROCK BOLT</v>
          </cell>
          <cell r="D460" t="str">
            <v>(TYPE - Ⅳ,상부)</v>
          </cell>
          <cell r="E460">
            <v>1274</v>
          </cell>
          <cell r="F460" t="str">
            <v>개</v>
          </cell>
          <cell r="G460">
            <v>95000</v>
          </cell>
          <cell r="H460">
            <v>121030000</v>
          </cell>
        </row>
        <row r="461">
          <cell r="B461" t="str">
            <v>바.</v>
          </cell>
          <cell r="C461" t="str">
            <v>ROCK BOLT</v>
          </cell>
          <cell r="D461" t="str">
            <v>(TYPE - Ⅳ,측벽)</v>
          </cell>
          <cell r="E461">
            <v>1049</v>
          </cell>
          <cell r="F461" t="str">
            <v>개</v>
          </cell>
          <cell r="G461">
            <v>77000</v>
          </cell>
          <cell r="H461">
            <v>80773000</v>
          </cell>
        </row>
        <row r="462">
          <cell r="B462" t="str">
            <v>사.</v>
          </cell>
          <cell r="C462" t="str">
            <v>ROCK BOLT</v>
          </cell>
          <cell r="D462" t="str">
            <v>(TYPE - Ⅴ,상부)</v>
          </cell>
          <cell r="E462">
            <v>1615</v>
          </cell>
          <cell r="F462" t="str">
            <v>개</v>
          </cell>
          <cell r="G462">
            <v>86000</v>
          </cell>
          <cell r="H462">
            <v>138890000</v>
          </cell>
        </row>
        <row r="463">
          <cell r="B463" t="str">
            <v>아.</v>
          </cell>
          <cell r="C463" t="str">
            <v>ROCK BOLT</v>
          </cell>
          <cell r="D463" t="str">
            <v>(TYPE - Ⅴ,측벽)</v>
          </cell>
          <cell r="E463">
            <v>1330</v>
          </cell>
          <cell r="F463" t="str">
            <v>개</v>
          </cell>
          <cell r="G463">
            <v>150000</v>
          </cell>
          <cell r="H463">
            <v>199500000</v>
          </cell>
        </row>
        <row r="464">
          <cell r="B464" t="str">
            <v>자.</v>
          </cell>
          <cell r="C464" t="str">
            <v>ROCK BOLT</v>
          </cell>
          <cell r="D464" t="str">
            <v>(TYPE - Ⅵ,상부좌)</v>
          </cell>
          <cell r="E464">
            <v>900</v>
          </cell>
          <cell r="F464" t="str">
            <v>개</v>
          </cell>
          <cell r="G464">
            <v>105000</v>
          </cell>
          <cell r="H464">
            <v>94500000</v>
          </cell>
        </row>
        <row r="465">
          <cell r="B465" t="str">
            <v>차.</v>
          </cell>
          <cell r="C465" t="str">
            <v>ROCK BOLT</v>
          </cell>
          <cell r="D465" t="str">
            <v>(TYPE - Ⅵ,상부우)</v>
          </cell>
          <cell r="E465">
            <v>630</v>
          </cell>
          <cell r="F465" t="str">
            <v>개</v>
          </cell>
          <cell r="G465">
            <v>130000</v>
          </cell>
          <cell r="H465">
            <v>81900000</v>
          </cell>
        </row>
        <row r="466">
          <cell r="B466" t="str">
            <v>카.</v>
          </cell>
          <cell r="C466" t="str">
            <v>ROCK BOLT</v>
          </cell>
          <cell r="D466" t="str">
            <v>(TYPE - Ⅵ,측벽)</v>
          </cell>
          <cell r="E466">
            <v>1260</v>
          </cell>
          <cell r="F466" t="str">
            <v>개</v>
          </cell>
          <cell r="G466">
            <v>82000</v>
          </cell>
          <cell r="H466">
            <v>103320000</v>
          </cell>
        </row>
        <row r="467">
          <cell r="B467" t="str">
            <v>타.</v>
          </cell>
          <cell r="C467" t="str">
            <v>갱구부</v>
          </cell>
          <cell r="E467">
            <v>323</v>
          </cell>
          <cell r="F467" t="str">
            <v>개</v>
          </cell>
          <cell r="G467">
            <v>32000</v>
          </cell>
          <cell r="H467">
            <v>10336000</v>
          </cell>
        </row>
        <row r="468">
          <cell r="B468" t="str">
            <v>파.</v>
          </cell>
          <cell r="C468" t="str">
            <v>FORE FILING</v>
          </cell>
          <cell r="D468" t="str">
            <v>(L=2.5M)</v>
          </cell>
          <cell r="E468">
            <v>5130</v>
          </cell>
          <cell r="F468" t="str">
            <v>개</v>
          </cell>
          <cell r="G468">
            <v>22000</v>
          </cell>
          <cell r="H468">
            <v>112860000</v>
          </cell>
        </row>
        <row r="469">
          <cell r="B469" t="str">
            <v>하.</v>
          </cell>
          <cell r="C469" t="str">
            <v>FORE FILING</v>
          </cell>
          <cell r="D469" t="str">
            <v>(L=3.0M)</v>
          </cell>
          <cell r="E469">
            <v>4050</v>
          </cell>
          <cell r="F469" t="str">
            <v>개</v>
          </cell>
          <cell r="G469">
            <v>25000</v>
          </cell>
          <cell r="H469">
            <v>101250000</v>
          </cell>
        </row>
        <row r="470">
          <cell r="B470" t="str">
            <v>거.</v>
          </cell>
          <cell r="C470" t="str">
            <v>PRE GROUTING</v>
          </cell>
          <cell r="D470" t="str">
            <v>(L=9.0M)</v>
          </cell>
          <cell r="E470">
            <v>31</v>
          </cell>
          <cell r="F470" t="str">
            <v>SET</v>
          </cell>
          <cell r="G470">
            <v>1000000</v>
          </cell>
          <cell r="H470">
            <v>31000000</v>
          </cell>
        </row>
        <row r="471">
          <cell r="B471" t="str">
            <v>너.</v>
          </cell>
          <cell r="C471" t="str">
            <v>강관다단그라우팅</v>
          </cell>
          <cell r="D471" t="str">
            <v>(φ50.8, L=16.0M)</v>
          </cell>
          <cell r="E471">
            <v>414</v>
          </cell>
          <cell r="F471" t="str">
            <v>공</v>
          </cell>
          <cell r="G471">
            <v>1150000</v>
          </cell>
          <cell r="H471">
            <v>476100000</v>
          </cell>
        </row>
        <row r="472">
          <cell r="B472" t="str">
            <v>6)</v>
          </cell>
          <cell r="C472" t="str">
            <v>방수공</v>
          </cell>
          <cell r="H472">
            <v>0</v>
          </cell>
        </row>
        <row r="473">
          <cell r="B473" t="str">
            <v>가.</v>
          </cell>
          <cell r="C473" t="str">
            <v>필터콘크리트</v>
          </cell>
          <cell r="E473">
            <v>18</v>
          </cell>
          <cell r="F473" t="str">
            <v>M3</v>
          </cell>
          <cell r="G473">
            <v>38000</v>
          </cell>
          <cell r="H473">
            <v>684000</v>
          </cell>
        </row>
        <row r="474">
          <cell r="B474" t="str">
            <v>나.</v>
          </cell>
          <cell r="C474" t="str">
            <v>P.V.C PIPE</v>
          </cell>
          <cell r="D474" t="str">
            <v>(φ 100M/M)</v>
          </cell>
          <cell r="E474">
            <v>141</v>
          </cell>
          <cell r="F474" t="str">
            <v>M</v>
          </cell>
          <cell r="G474">
            <v>2400</v>
          </cell>
          <cell r="H474">
            <v>338400</v>
          </cell>
        </row>
        <row r="475">
          <cell r="B475" t="str">
            <v>다.</v>
          </cell>
          <cell r="C475" t="str">
            <v>P.V.C PIPE</v>
          </cell>
          <cell r="D475" t="str">
            <v>(φ 150M/M)</v>
          </cell>
          <cell r="E475">
            <v>212</v>
          </cell>
          <cell r="F475" t="str">
            <v>M</v>
          </cell>
          <cell r="G475">
            <v>9100</v>
          </cell>
          <cell r="H475">
            <v>1929200</v>
          </cell>
        </row>
        <row r="476">
          <cell r="B476" t="str">
            <v>라.</v>
          </cell>
          <cell r="C476" t="str">
            <v>방수막</v>
          </cell>
          <cell r="E476">
            <v>25939</v>
          </cell>
          <cell r="F476" t="str">
            <v>M2</v>
          </cell>
          <cell r="G476">
            <v>13500</v>
          </cell>
          <cell r="H476">
            <v>350176500</v>
          </cell>
        </row>
        <row r="477">
          <cell r="B477" t="str">
            <v>마.</v>
          </cell>
          <cell r="C477" t="str">
            <v>부직포설치</v>
          </cell>
          <cell r="E477">
            <v>41693</v>
          </cell>
          <cell r="F477" t="str">
            <v>M2</v>
          </cell>
          <cell r="G477">
            <v>2100</v>
          </cell>
          <cell r="H477">
            <v>87555300</v>
          </cell>
        </row>
        <row r="478">
          <cell r="B478" t="str">
            <v>7)</v>
          </cell>
          <cell r="C478" t="str">
            <v>배수공</v>
          </cell>
          <cell r="H478">
            <v>0</v>
          </cell>
        </row>
        <row r="479">
          <cell r="B479" t="str">
            <v>가.</v>
          </cell>
          <cell r="C479" t="str">
            <v>유공관설치</v>
          </cell>
          <cell r="D479" t="str">
            <v>(φ150M/M)</v>
          </cell>
          <cell r="E479">
            <v>2270</v>
          </cell>
          <cell r="F479" t="str">
            <v>M</v>
          </cell>
          <cell r="G479">
            <v>2100</v>
          </cell>
          <cell r="H479">
            <v>4767000</v>
          </cell>
        </row>
        <row r="480">
          <cell r="B480" t="str">
            <v>나.</v>
          </cell>
          <cell r="C480" t="str">
            <v>유공관설치</v>
          </cell>
          <cell r="D480" t="str">
            <v>(φ250M/M)</v>
          </cell>
          <cell r="E480">
            <v>2270</v>
          </cell>
          <cell r="F480" t="str">
            <v>M</v>
          </cell>
          <cell r="G480">
            <v>3800</v>
          </cell>
          <cell r="H480">
            <v>8626000</v>
          </cell>
        </row>
        <row r="481">
          <cell r="B481" t="str">
            <v>다.</v>
          </cell>
          <cell r="C481" t="str">
            <v>배수관설치</v>
          </cell>
          <cell r="D481" t="str">
            <v>(φ400M/M)</v>
          </cell>
          <cell r="E481">
            <v>2270</v>
          </cell>
          <cell r="F481" t="str">
            <v>M</v>
          </cell>
          <cell r="G481">
            <v>75000</v>
          </cell>
          <cell r="H481">
            <v>170250000</v>
          </cell>
        </row>
        <row r="482">
          <cell r="B482" t="str">
            <v>라.</v>
          </cell>
          <cell r="C482" t="str">
            <v>잡석깔기</v>
          </cell>
          <cell r="D482" t="str">
            <v>(발파암유용)</v>
          </cell>
          <cell r="E482">
            <v>1229</v>
          </cell>
          <cell r="F482" t="str">
            <v>M</v>
          </cell>
          <cell r="G482">
            <v>14000</v>
          </cell>
          <cell r="H482">
            <v>17206000</v>
          </cell>
        </row>
        <row r="483">
          <cell r="B483" t="str">
            <v>마.</v>
          </cell>
          <cell r="C483" t="str">
            <v>거푸집</v>
          </cell>
          <cell r="D483" t="str">
            <v>(합판3회 0-7M)</v>
          </cell>
          <cell r="E483">
            <v>4452</v>
          </cell>
          <cell r="F483" t="str">
            <v>M2</v>
          </cell>
          <cell r="G483">
            <v>17000</v>
          </cell>
          <cell r="H483">
            <v>75684000</v>
          </cell>
        </row>
        <row r="484">
          <cell r="B484" t="str">
            <v>바.</v>
          </cell>
          <cell r="C484" t="str">
            <v>철근가공조립</v>
          </cell>
          <cell r="D484" t="str">
            <v>(간단)</v>
          </cell>
          <cell r="E484">
            <v>226.69200000000001</v>
          </cell>
          <cell r="F484" t="str">
            <v>TON</v>
          </cell>
          <cell r="G484">
            <v>230000</v>
          </cell>
          <cell r="H484">
            <v>52139160</v>
          </cell>
        </row>
        <row r="485">
          <cell r="B485" t="str">
            <v>사.</v>
          </cell>
          <cell r="C485" t="str">
            <v>콘크리트타설</v>
          </cell>
          <cell r="D485" t="str">
            <v>(철근,진동기제외)</v>
          </cell>
          <cell r="E485">
            <v>2907</v>
          </cell>
          <cell r="F485" t="str">
            <v>M3</v>
          </cell>
          <cell r="G485">
            <v>18000</v>
          </cell>
          <cell r="H485">
            <v>52326000</v>
          </cell>
        </row>
        <row r="486">
          <cell r="B486" t="str">
            <v>아.</v>
          </cell>
          <cell r="C486" t="str">
            <v>STEEL GRATING</v>
          </cell>
          <cell r="D486" t="str">
            <v>(540*495*75)</v>
          </cell>
          <cell r="E486">
            <v>90</v>
          </cell>
          <cell r="F486" t="str">
            <v>EA</v>
          </cell>
          <cell r="G486">
            <v>38000</v>
          </cell>
          <cell r="H486">
            <v>3420000</v>
          </cell>
        </row>
        <row r="487">
          <cell r="B487" t="str">
            <v>자.</v>
          </cell>
          <cell r="C487" t="str">
            <v>뚜껑제작설치</v>
          </cell>
          <cell r="D487" t="str">
            <v>(공동구 뚜껑)</v>
          </cell>
          <cell r="E487">
            <v>4540</v>
          </cell>
          <cell r="F487" t="str">
            <v>EA</v>
          </cell>
          <cell r="G487">
            <v>6500</v>
          </cell>
          <cell r="H487">
            <v>29510000</v>
          </cell>
        </row>
        <row r="488">
          <cell r="B488" t="str">
            <v>차.</v>
          </cell>
          <cell r="C488" t="str">
            <v>비닐 깔기</v>
          </cell>
          <cell r="E488">
            <v>13247</v>
          </cell>
          <cell r="F488" t="str">
            <v>M2</v>
          </cell>
          <cell r="G488">
            <v>400</v>
          </cell>
          <cell r="H488">
            <v>5298800</v>
          </cell>
        </row>
        <row r="489">
          <cell r="B489" t="str">
            <v>8)</v>
          </cell>
          <cell r="C489" t="str">
            <v>라이닝콘크리트</v>
          </cell>
          <cell r="H489">
            <v>0</v>
          </cell>
        </row>
        <row r="490">
          <cell r="B490" t="str">
            <v>가.</v>
          </cell>
          <cell r="C490" t="str">
            <v>콘크리트타설</v>
          </cell>
          <cell r="D490" t="str">
            <v>(펌프카타설,무근)</v>
          </cell>
          <cell r="E490">
            <v>6431</v>
          </cell>
          <cell r="F490" t="str">
            <v>M3</v>
          </cell>
          <cell r="G490">
            <v>8500</v>
          </cell>
          <cell r="H490">
            <v>54663500</v>
          </cell>
        </row>
        <row r="491">
          <cell r="B491" t="str">
            <v>나.</v>
          </cell>
          <cell r="C491" t="str">
            <v>콘크리트타설</v>
          </cell>
          <cell r="D491" t="str">
            <v>(펌프카타설,0~15m)</v>
          </cell>
          <cell r="E491">
            <v>3991</v>
          </cell>
          <cell r="F491" t="str">
            <v>M3</v>
          </cell>
          <cell r="G491">
            <v>9000</v>
          </cell>
          <cell r="H491">
            <v>35919000</v>
          </cell>
        </row>
        <row r="492">
          <cell r="B492" t="str">
            <v>다.</v>
          </cell>
          <cell r="C492" t="str">
            <v>철근가공조립</v>
          </cell>
          <cell r="D492" t="str">
            <v>(복잡)</v>
          </cell>
          <cell r="E492">
            <v>491.1</v>
          </cell>
          <cell r="F492" t="str">
            <v>TON</v>
          </cell>
          <cell r="G492">
            <v>390000</v>
          </cell>
          <cell r="H492">
            <v>191529000</v>
          </cell>
        </row>
        <row r="493">
          <cell r="B493" t="str">
            <v>라.</v>
          </cell>
          <cell r="C493" t="str">
            <v>강재동바리공 및 거푸</v>
          </cell>
          <cell r="D493" t="str">
            <v>집</v>
          </cell>
          <cell r="E493">
            <v>2</v>
          </cell>
          <cell r="F493" t="str">
            <v>SET</v>
          </cell>
          <cell r="G493">
            <v>120000000</v>
          </cell>
          <cell r="H493">
            <v>240000000</v>
          </cell>
        </row>
        <row r="494">
          <cell r="B494" t="str">
            <v>마.</v>
          </cell>
          <cell r="C494" t="str">
            <v>강재거푸집이동및거치</v>
          </cell>
          <cell r="E494">
            <v>2</v>
          </cell>
          <cell r="F494" t="str">
            <v>SET</v>
          </cell>
          <cell r="G494">
            <v>53000000</v>
          </cell>
          <cell r="H494">
            <v>106000000</v>
          </cell>
        </row>
        <row r="495">
          <cell r="B495" t="str">
            <v>바.</v>
          </cell>
          <cell r="C495" t="str">
            <v>라이닝 콘크리트</v>
          </cell>
          <cell r="D495" t="str">
            <v>(신축이음)</v>
          </cell>
          <cell r="E495">
            <v>831</v>
          </cell>
          <cell r="F495" t="str">
            <v>M</v>
          </cell>
          <cell r="G495">
            <v>8600</v>
          </cell>
          <cell r="H495">
            <v>7146600</v>
          </cell>
        </row>
        <row r="496">
          <cell r="B496" t="str">
            <v>9)</v>
          </cell>
          <cell r="C496" t="str">
            <v>개착터널</v>
          </cell>
          <cell r="H496">
            <v>0</v>
          </cell>
        </row>
        <row r="497">
          <cell r="B497" t="str">
            <v>가.</v>
          </cell>
          <cell r="C497" t="str">
            <v>거푸집</v>
          </cell>
          <cell r="D497" t="str">
            <v>(원형3회)</v>
          </cell>
          <cell r="E497">
            <v>1953</v>
          </cell>
          <cell r="F497" t="str">
            <v>M2</v>
          </cell>
          <cell r="G497">
            <v>44400</v>
          </cell>
          <cell r="H497">
            <v>86713200</v>
          </cell>
        </row>
        <row r="498">
          <cell r="B498" t="str">
            <v>나.</v>
          </cell>
          <cell r="C498" t="str">
            <v>강관동바리</v>
          </cell>
          <cell r="D498" t="str">
            <v>(개착터널용)</v>
          </cell>
          <cell r="E498">
            <v>1</v>
          </cell>
          <cell r="F498" t="str">
            <v>식</v>
          </cell>
          <cell r="G498">
            <v>50000000</v>
          </cell>
          <cell r="H498">
            <v>50000000</v>
          </cell>
        </row>
        <row r="499">
          <cell r="B499" t="str">
            <v>다.</v>
          </cell>
          <cell r="C499" t="str">
            <v>비계공</v>
          </cell>
          <cell r="D499" t="str">
            <v>(개착터널용)</v>
          </cell>
          <cell r="E499">
            <v>1</v>
          </cell>
          <cell r="F499" t="str">
            <v>식</v>
          </cell>
          <cell r="G499">
            <v>5800000</v>
          </cell>
          <cell r="H499">
            <v>5800000</v>
          </cell>
        </row>
        <row r="500">
          <cell r="B500" t="str">
            <v>라.</v>
          </cell>
          <cell r="C500" t="str">
            <v>벽돌쌓기</v>
          </cell>
          <cell r="D500" t="str">
            <v>( 0.5 B )</v>
          </cell>
          <cell r="E500">
            <v>967</v>
          </cell>
          <cell r="F500" t="str">
            <v>M2</v>
          </cell>
          <cell r="G500">
            <v>13500</v>
          </cell>
          <cell r="H500">
            <v>13054500</v>
          </cell>
        </row>
        <row r="501">
          <cell r="B501" t="str">
            <v>마.</v>
          </cell>
          <cell r="C501" t="str">
            <v>철근가공조립</v>
          </cell>
          <cell r="D501" t="str">
            <v>(복잡)</v>
          </cell>
          <cell r="E501">
            <v>119.56</v>
          </cell>
          <cell r="F501" t="str">
            <v>TON</v>
          </cell>
          <cell r="G501">
            <v>390000</v>
          </cell>
          <cell r="H501">
            <v>46628400</v>
          </cell>
        </row>
        <row r="502">
          <cell r="B502" t="str">
            <v>바.</v>
          </cell>
          <cell r="C502" t="str">
            <v>콘크리트타설</v>
          </cell>
          <cell r="D502" t="str">
            <v>(펌프카타설,0~15m)</v>
          </cell>
          <cell r="E502">
            <v>1105</v>
          </cell>
          <cell r="F502" t="str">
            <v>M3</v>
          </cell>
          <cell r="G502">
            <v>9000</v>
          </cell>
          <cell r="H502">
            <v>9945000</v>
          </cell>
        </row>
        <row r="503">
          <cell r="B503" t="str">
            <v>사.</v>
          </cell>
          <cell r="C503" t="str">
            <v>콘크리트타설</v>
          </cell>
          <cell r="D503" t="str">
            <v>(무근,진동기포함)</v>
          </cell>
          <cell r="E503">
            <v>20</v>
          </cell>
          <cell r="F503" t="str">
            <v>M3</v>
          </cell>
          <cell r="G503">
            <v>17000</v>
          </cell>
          <cell r="H503">
            <v>340000</v>
          </cell>
        </row>
        <row r="504">
          <cell r="B504" t="str">
            <v>아.</v>
          </cell>
          <cell r="C504" t="str">
            <v>시공이음</v>
          </cell>
          <cell r="D504" t="str">
            <v>(지수판)</v>
          </cell>
          <cell r="E504">
            <v>5</v>
          </cell>
          <cell r="F504" t="str">
            <v>M</v>
          </cell>
          <cell r="G504">
            <v>9500</v>
          </cell>
          <cell r="H504">
            <v>47500</v>
          </cell>
        </row>
        <row r="505">
          <cell r="B505" t="str">
            <v>자.</v>
          </cell>
          <cell r="C505" t="str">
            <v>신축이음</v>
          </cell>
          <cell r="D505" t="str">
            <v>(실런트)</v>
          </cell>
          <cell r="E505">
            <v>1</v>
          </cell>
          <cell r="F505" t="str">
            <v>M</v>
          </cell>
          <cell r="G505">
            <v>4500</v>
          </cell>
          <cell r="H505">
            <v>4500</v>
          </cell>
        </row>
        <row r="506">
          <cell r="B506" t="str">
            <v>차</v>
          </cell>
          <cell r="C506" t="str">
            <v>보호몰탈</v>
          </cell>
          <cell r="D506" t="str">
            <v>(T=5M/M)</v>
          </cell>
          <cell r="E506">
            <v>5</v>
          </cell>
          <cell r="F506" t="str">
            <v>M2</v>
          </cell>
          <cell r="G506">
            <v>5000</v>
          </cell>
          <cell r="H506">
            <v>25000</v>
          </cell>
        </row>
        <row r="507">
          <cell r="B507" t="str">
            <v>10)</v>
          </cell>
          <cell r="C507" t="str">
            <v>면벽 및 옹벽</v>
          </cell>
          <cell r="H507">
            <v>0</v>
          </cell>
        </row>
        <row r="508">
          <cell r="B508" t="str">
            <v>가.</v>
          </cell>
          <cell r="C508" t="str">
            <v>구조물터파기</v>
          </cell>
          <cell r="D508" t="str">
            <v>(육상풍화암0∼4m)</v>
          </cell>
          <cell r="E508">
            <v>99</v>
          </cell>
          <cell r="F508" t="str">
            <v>M3</v>
          </cell>
          <cell r="G508">
            <v>55000</v>
          </cell>
          <cell r="H508">
            <v>5445000</v>
          </cell>
        </row>
        <row r="509">
          <cell r="B509" t="str">
            <v>나.</v>
          </cell>
          <cell r="C509" t="str">
            <v>구조물터파기</v>
          </cell>
          <cell r="D509" t="str">
            <v>(육상발파암0∼4m)</v>
          </cell>
          <cell r="E509">
            <v>180</v>
          </cell>
          <cell r="F509" t="str">
            <v>M3</v>
          </cell>
          <cell r="G509">
            <v>100000</v>
          </cell>
          <cell r="H509">
            <v>18000000</v>
          </cell>
        </row>
        <row r="510">
          <cell r="B510" t="str">
            <v>다.</v>
          </cell>
          <cell r="C510" t="str">
            <v>되메우기 및 다짐공</v>
          </cell>
          <cell r="D510" t="str">
            <v>(인력10％+기계90％)</v>
          </cell>
          <cell r="E510">
            <v>52</v>
          </cell>
          <cell r="F510" t="str">
            <v>M3</v>
          </cell>
          <cell r="G510">
            <v>2000</v>
          </cell>
          <cell r="H510">
            <v>104000</v>
          </cell>
        </row>
        <row r="511">
          <cell r="B511" t="str">
            <v>라.</v>
          </cell>
          <cell r="C511" t="str">
            <v>무늬거푸집</v>
          </cell>
          <cell r="D511" t="str">
            <v>(0-7M)</v>
          </cell>
          <cell r="E511">
            <v>911</v>
          </cell>
          <cell r="F511" t="str">
            <v>M2</v>
          </cell>
          <cell r="G511">
            <v>22400</v>
          </cell>
          <cell r="H511">
            <v>20406400</v>
          </cell>
        </row>
        <row r="512">
          <cell r="B512" t="str">
            <v>마.</v>
          </cell>
          <cell r="C512" t="str">
            <v>거푸집</v>
          </cell>
          <cell r="D512" t="str">
            <v>(원형3회)</v>
          </cell>
          <cell r="E512">
            <v>99</v>
          </cell>
          <cell r="F512" t="str">
            <v>M2</v>
          </cell>
          <cell r="G512">
            <v>44400</v>
          </cell>
          <cell r="H512">
            <v>4395600</v>
          </cell>
        </row>
        <row r="513">
          <cell r="B513" t="str">
            <v>바.</v>
          </cell>
          <cell r="C513" t="str">
            <v>거푸집</v>
          </cell>
          <cell r="D513" t="str">
            <v>(합판3회 0-7M)</v>
          </cell>
          <cell r="E513">
            <v>806</v>
          </cell>
          <cell r="F513" t="str">
            <v>M2</v>
          </cell>
          <cell r="G513">
            <v>17000</v>
          </cell>
          <cell r="H513">
            <v>13702000</v>
          </cell>
        </row>
        <row r="514">
          <cell r="B514" t="str">
            <v>사.</v>
          </cell>
          <cell r="C514" t="str">
            <v>합판거푸집</v>
          </cell>
          <cell r="D514" t="str">
            <v>(6회)</v>
          </cell>
          <cell r="E514">
            <v>7</v>
          </cell>
          <cell r="F514" t="str">
            <v>M2</v>
          </cell>
          <cell r="G514">
            <v>11900</v>
          </cell>
          <cell r="H514">
            <v>83300</v>
          </cell>
        </row>
        <row r="515">
          <cell r="B515" t="str">
            <v>아.</v>
          </cell>
          <cell r="C515" t="str">
            <v>강관동바리</v>
          </cell>
          <cell r="D515" t="str">
            <v>(터널면벽용)</v>
          </cell>
          <cell r="E515">
            <v>1</v>
          </cell>
          <cell r="F515" t="str">
            <v>식</v>
          </cell>
          <cell r="G515">
            <v>4200000</v>
          </cell>
          <cell r="H515">
            <v>4200000</v>
          </cell>
        </row>
        <row r="516">
          <cell r="B516" t="str">
            <v>자.</v>
          </cell>
          <cell r="C516" t="str">
            <v>비계공</v>
          </cell>
          <cell r="D516" t="str">
            <v>(터널면벽용)</v>
          </cell>
          <cell r="E516">
            <v>1</v>
          </cell>
          <cell r="F516" t="str">
            <v>식</v>
          </cell>
          <cell r="G516">
            <v>8500000</v>
          </cell>
          <cell r="H516">
            <v>8500000</v>
          </cell>
        </row>
        <row r="517">
          <cell r="B517" t="str">
            <v>차.</v>
          </cell>
          <cell r="C517" t="str">
            <v>철근가공조립</v>
          </cell>
          <cell r="D517" t="str">
            <v>(간단)</v>
          </cell>
          <cell r="E517">
            <v>0.107</v>
          </cell>
          <cell r="F517" t="str">
            <v>TON</v>
          </cell>
          <cell r="G517">
            <v>230000</v>
          </cell>
          <cell r="H517">
            <v>24610</v>
          </cell>
        </row>
        <row r="518">
          <cell r="B518" t="str">
            <v>카.</v>
          </cell>
          <cell r="C518" t="str">
            <v>콘크리트타설</v>
          </cell>
          <cell r="D518" t="str">
            <v>(펌프카타설,무근)</v>
          </cell>
          <cell r="E518">
            <v>512</v>
          </cell>
          <cell r="F518" t="str">
            <v>M3</v>
          </cell>
          <cell r="G518">
            <v>8500</v>
          </cell>
          <cell r="H518">
            <v>4352000</v>
          </cell>
        </row>
        <row r="519">
          <cell r="B519" t="str">
            <v>타.</v>
          </cell>
          <cell r="C519" t="str">
            <v>콘크리트타설</v>
          </cell>
          <cell r="D519" t="str">
            <v>(무근,진동기제외)</v>
          </cell>
          <cell r="E519">
            <v>18</v>
          </cell>
          <cell r="F519" t="str">
            <v>M3</v>
          </cell>
          <cell r="G519">
            <v>17000</v>
          </cell>
          <cell r="H519">
            <v>306000</v>
          </cell>
        </row>
        <row r="520">
          <cell r="B520" t="str">
            <v>11)</v>
          </cell>
          <cell r="C520" t="str">
            <v>부대공</v>
          </cell>
          <cell r="H520">
            <v>0</v>
          </cell>
        </row>
        <row r="521">
          <cell r="B521" t="str">
            <v>가.</v>
          </cell>
          <cell r="C521" t="str">
            <v>터널내부타일붙임</v>
          </cell>
          <cell r="D521" t="str">
            <v>(하부)</v>
          </cell>
          <cell r="E521">
            <v>10407</v>
          </cell>
          <cell r="F521" t="str">
            <v>M2</v>
          </cell>
          <cell r="G521">
            <v>31000</v>
          </cell>
          <cell r="H521">
            <v>322617000</v>
          </cell>
        </row>
        <row r="522">
          <cell r="B522" t="str">
            <v>나.</v>
          </cell>
          <cell r="C522" t="str">
            <v>터널내물푸기</v>
          </cell>
          <cell r="E522">
            <v>1</v>
          </cell>
          <cell r="F522" t="str">
            <v>식</v>
          </cell>
          <cell r="G522">
            <v>13000000</v>
          </cell>
          <cell r="H522">
            <v>13000000</v>
          </cell>
        </row>
        <row r="523">
          <cell r="B523" t="str">
            <v>다.</v>
          </cell>
          <cell r="C523" t="str">
            <v>갱문 가시설</v>
          </cell>
          <cell r="E523">
            <v>4</v>
          </cell>
          <cell r="F523" t="str">
            <v>개소</v>
          </cell>
          <cell r="G523">
            <v>9500000</v>
          </cell>
          <cell r="H523">
            <v>38000000</v>
          </cell>
        </row>
        <row r="524">
          <cell r="B524" t="str">
            <v>라.</v>
          </cell>
          <cell r="C524" t="str">
            <v>난간용강재파이프</v>
          </cell>
          <cell r="D524" t="str">
            <v>(갱문및옹벽)</v>
          </cell>
          <cell r="E524">
            <v>96</v>
          </cell>
          <cell r="F524" t="str">
            <v>M</v>
          </cell>
          <cell r="G524">
            <v>1200</v>
          </cell>
          <cell r="H524">
            <v>115200</v>
          </cell>
        </row>
        <row r="525">
          <cell r="B525" t="str">
            <v>마.</v>
          </cell>
          <cell r="C525" t="str">
            <v>터널명판및안내판</v>
          </cell>
          <cell r="E525">
            <v>4</v>
          </cell>
          <cell r="F525" t="str">
            <v>EA</v>
          </cell>
          <cell r="G525">
            <v>450000</v>
          </cell>
          <cell r="H525">
            <v>1800000</v>
          </cell>
        </row>
        <row r="526">
          <cell r="B526" t="str">
            <v>12)</v>
          </cell>
          <cell r="C526" t="str">
            <v>계측비</v>
          </cell>
          <cell r="H526">
            <v>0</v>
          </cell>
        </row>
        <row r="527">
          <cell r="B527" t="str">
            <v>가.</v>
          </cell>
          <cell r="C527" t="str">
            <v>내공 변위 측정용기기</v>
          </cell>
          <cell r="D527" t="str">
            <v>설치</v>
          </cell>
          <cell r="E527">
            <v>162</v>
          </cell>
          <cell r="F527" t="str">
            <v>SET</v>
          </cell>
          <cell r="G527">
            <v>8000</v>
          </cell>
          <cell r="H527">
            <v>1296000</v>
          </cell>
        </row>
        <row r="528">
          <cell r="B528" t="str">
            <v>나.</v>
          </cell>
          <cell r="C528" t="str">
            <v>지중변위 측정용 기기</v>
          </cell>
          <cell r="D528" t="str">
            <v>설치</v>
          </cell>
          <cell r="E528">
            <v>81</v>
          </cell>
          <cell r="F528" t="str">
            <v>SET</v>
          </cell>
          <cell r="G528">
            <v>430000</v>
          </cell>
          <cell r="H528">
            <v>34830000</v>
          </cell>
        </row>
        <row r="529">
          <cell r="B529" t="str">
            <v>다.</v>
          </cell>
          <cell r="C529" t="str">
            <v>천단침하 측정용 기기</v>
          </cell>
          <cell r="D529" t="str">
            <v>설치</v>
          </cell>
          <cell r="E529">
            <v>60</v>
          </cell>
          <cell r="F529" t="str">
            <v>SET</v>
          </cell>
          <cell r="G529">
            <v>8000</v>
          </cell>
          <cell r="H529">
            <v>480000</v>
          </cell>
        </row>
        <row r="530">
          <cell r="B530" t="str">
            <v>라.</v>
          </cell>
          <cell r="C530" t="str">
            <v>숏크리트 응력 측정용</v>
          </cell>
          <cell r="D530" t="str">
            <v>기기설치</v>
          </cell>
          <cell r="E530">
            <v>60</v>
          </cell>
          <cell r="F530" t="str">
            <v>SET</v>
          </cell>
          <cell r="G530">
            <v>700000</v>
          </cell>
          <cell r="H530">
            <v>42000000</v>
          </cell>
        </row>
        <row r="531">
          <cell r="B531" t="str">
            <v>마.</v>
          </cell>
          <cell r="C531" t="str">
            <v>ROCK BOLT 축력측정용</v>
          </cell>
          <cell r="D531" t="str">
            <v>기기설치</v>
          </cell>
          <cell r="E531">
            <v>60</v>
          </cell>
          <cell r="F531" t="str">
            <v>SET</v>
          </cell>
          <cell r="G531">
            <v>430000</v>
          </cell>
          <cell r="H531">
            <v>25800000</v>
          </cell>
        </row>
        <row r="532">
          <cell r="B532" t="str">
            <v>바.</v>
          </cell>
          <cell r="C532" t="str">
            <v>계측관리비</v>
          </cell>
          <cell r="E532">
            <v>1</v>
          </cell>
          <cell r="F532" t="str">
            <v>식</v>
          </cell>
          <cell r="G532">
            <v>135000000</v>
          </cell>
          <cell r="H532">
            <v>135000000</v>
          </cell>
        </row>
        <row r="533">
          <cell r="B533" t="str">
            <v>13)</v>
          </cell>
          <cell r="C533" t="str">
            <v>현장관리공</v>
          </cell>
          <cell r="H533">
            <v>0</v>
          </cell>
        </row>
        <row r="534">
          <cell r="B534" t="str">
            <v>가.</v>
          </cell>
          <cell r="C534" t="str">
            <v>임시환기시설</v>
          </cell>
          <cell r="E534">
            <v>1</v>
          </cell>
          <cell r="F534" t="str">
            <v>식</v>
          </cell>
          <cell r="G534">
            <v>25000000</v>
          </cell>
          <cell r="H534">
            <v>25000000</v>
          </cell>
        </row>
        <row r="535">
          <cell r="B535" t="str">
            <v>나.</v>
          </cell>
          <cell r="C535" t="str">
            <v>임시전기시설</v>
          </cell>
          <cell r="E535">
            <v>1</v>
          </cell>
          <cell r="F535" t="str">
            <v>식</v>
          </cell>
          <cell r="G535">
            <v>4300000</v>
          </cell>
          <cell r="H535">
            <v>4300000</v>
          </cell>
        </row>
        <row r="536">
          <cell r="B536" t="str">
            <v>다.</v>
          </cell>
          <cell r="C536" t="str">
            <v>작업용 비계</v>
          </cell>
          <cell r="D536" t="str">
            <v>(터널용)</v>
          </cell>
          <cell r="E536">
            <v>1</v>
          </cell>
          <cell r="F536" t="str">
            <v>식</v>
          </cell>
          <cell r="G536">
            <v>2100000</v>
          </cell>
          <cell r="H536">
            <v>2100000</v>
          </cell>
        </row>
        <row r="537">
          <cell r="B537" t="str">
            <v>라.</v>
          </cell>
          <cell r="C537" t="str">
            <v>대차</v>
          </cell>
          <cell r="E537">
            <v>1</v>
          </cell>
          <cell r="F537" t="str">
            <v>식</v>
          </cell>
          <cell r="G537">
            <v>105000000</v>
          </cell>
          <cell r="H537">
            <v>105000000</v>
          </cell>
        </row>
        <row r="538">
          <cell r="B538" t="str">
            <v>14)</v>
          </cell>
          <cell r="C538" t="str">
            <v>콘크리트생산및구입</v>
          </cell>
          <cell r="H538">
            <v>0</v>
          </cell>
        </row>
        <row r="539">
          <cell r="B539" t="str">
            <v>가.</v>
          </cell>
          <cell r="C539" t="str">
            <v>콘크리트생산</v>
          </cell>
          <cell r="D539" t="str">
            <v>32-240-15</v>
          </cell>
          <cell r="E539">
            <v>15059</v>
          </cell>
          <cell r="F539" t="str">
            <v>M3</v>
          </cell>
          <cell r="G539">
            <v>5000</v>
          </cell>
          <cell r="H539">
            <v>75295000</v>
          </cell>
        </row>
        <row r="540">
          <cell r="B540" t="str">
            <v>나.</v>
          </cell>
          <cell r="C540" t="str">
            <v>콘크리트운반</v>
          </cell>
          <cell r="D540" t="str">
            <v>(B/P-현장)</v>
          </cell>
          <cell r="E540">
            <v>15209</v>
          </cell>
          <cell r="F540" t="str">
            <v>M3</v>
          </cell>
          <cell r="G540">
            <v>3500</v>
          </cell>
          <cell r="H540">
            <v>53231500</v>
          </cell>
        </row>
        <row r="541">
          <cell r="B541" t="str">
            <v>5.</v>
          </cell>
          <cell r="C541" t="str">
            <v>포장공</v>
          </cell>
          <cell r="H541">
            <v>8838290340</v>
          </cell>
        </row>
        <row r="542">
          <cell r="B542" t="str">
            <v>1)</v>
          </cell>
          <cell r="C542" t="str">
            <v>선택층</v>
          </cell>
          <cell r="H542">
            <v>0</v>
          </cell>
        </row>
        <row r="543">
          <cell r="B543" t="str">
            <v>가.</v>
          </cell>
          <cell r="C543" t="str">
            <v>선택층운반</v>
          </cell>
          <cell r="E543">
            <v>78228</v>
          </cell>
          <cell r="F543" t="str">
            <v>M3</v>
          </cell>
          <cell r="G543">
            <v>3200</v>
          </cell>
          <cell r="H543">
            <v>250329600</v>
          </cell>
        </row>
        <row r="544">
          <cell r="B544" t="str">
            <v>나.</v>
          </cell>
          <cell r="C544" t="str">
            <v>선택층포설및다짐</v>
          </cell>
          <cell r="E544">
            <v>76590</v>
          </cell>
          <cell r="F544" t="str">
            <v>M3</v>
          </cell>
          <cell r="G544">
            <v>1000</v>
          </cell>
          <cell r="H544">
            <v>76590000</v>
          </cell>
        </row>
        <row r="545">
          <cell r="B545" t="str">
            <v>다.</v>
          </cell>
          <cell r="C545" t="str">
            <v>선택층포설및다짐</v>
          </cell>
          <cell r="D545" t="str">
            <v>(백호우포설)</v>
          </cell>
          <cell r="E545">
            <v>1657</v>
          </cell>
          <cell r="F545" t="str">
            <v>M3</v>
          </cell>
          <cell r="G545">
            <v>1100</v>
          </cell>
          <cell r="H545">
            <v>1822700</v>
          </cell>
        </row>
        <row r="546">
          <cell r="B546" t="str">
            <v>2)</v>
          </cell>
          <cell r="C546" t="str">
            <v>보조기층</v>
          </cell>
          <cell r="H546">
            <v>0</v>
          </cell>
        </row>
        <row r="547">
          <cell r="B547" t="str">
            <v>가.</v>
          </cell>
          <cell r="C547" t="str">
            <v>보조기층운반</v>
          </cell>
          <cell r="E547">
            <v>33366</v>
          </cell>
          <cell r="F547" t="str">
            <v>M3</v>
          </cell>
          <cell r="G547">
            <v>3200</v>
          </cell>
          <cell r="H547">
            <v>106771200</v>
          </cell>
        </row>
        <row r="548">
          <cell r="B548" t="str">
            <v>나.</v>
          </cell>
          <cell r="C548" t="str">
            <v>보조기층포설및다짐</v>
          </cell>
          <cell r="D548" t="str">
            <v>(T=20CM)</v>
          </cell>
          <cell r="E548">
            <v>8707</v>
          </cell>
          <cell r="F548" t="str">
            <v>M3</v>
          </cell>
          <cell r="G548">
            <v>1700</v>
          </cell>
          <cell r="H548">
            <v>14801900</v>
          </cell>
        </row>
        <row r="549">
          <cell r="B549" t="str">
            <v>다.</v>
          </cell>
          <cell r="C549" t="str">
            <v>보조기층포설및다짐</v>
          </cell>
          <cell r="D549" t="str">
            <v>(T=30CM)</v>
          </cell>
          <cell r="E549">
            <v>66</v>
          </cell>
          <cell r="F549" t="str">
            <v>M3</v>
          </cell>
          <cell r="G549">
            <v>2100</v>
          </cell>
          <cell r="H549">
            <v>138600</v>
          </cell>
        </row>
        <row r="550">
          <cell r="B550" t="str">
            <v>라..</v>
          </cell>
          <cell r="C550" t="str">
            <v>보조기층포설및다짐</v>
          </cell>
          <cell r="D550" t="str">
            <v>(T=35CM)</v>
          </cell>
          <cell r="E550">
            <v>7979</v>
          </cell>
          <cell r="F550" t="str">
            <v>M3</v>
          </cell>
          <cell r="G550">
            <v>2000</v>
          </cell>
          <cell r="H550">
            <v>15958000</v>
          </cell>
        </row>
        <row r="551">
          <cell r="B551" t="str">
            <v>마.</v>
          </cell>
          <cell r="C551" t="str">
            <v>노견토포설및다짐</v>
          </cell>
          <cell r="E551">
            <v>16678</v>
          </cell>
          <cell r="F551" t="str">
            <v>M3</v>
          </cell>
          <cell r="G551">
            <v>5000</v>
          </cell>
          <cell r="H551">
            <v>83390000</v>
          </cell>
        </row>
        <row r="552">
          <cell r="B552" t="str">
            <v>3)</v>
          </cell>
          <cell r="C552" t="str">
            <v>프라임코팅</v>
          </cell>
          <cell r="D552" t="str">
            <v>(75ℓ/a)</v>
          </cell>
          <cell r="E552">
            <v>942</v>
          </cell>
          <cell r="F552" t="str">
            <v>a</v>
          </cell>
          <cell r="G552">
            <v>12000</v>
          </cell>
          <cell r="H552">
            <v>11304000</v>
          </cell>
        </row>
        <row r="553">
          <cell r="B553" t="str">
            <v>4)</v>
          </cell>
          <cell r="C553" t="str">
            <v>아스콘기층</v>
          </cell>
          <cell r="H553">
            <v>0</v>
          </cell>
        </row>
        <row r="554">
          <cell r="B554" t="str">
            <v>가.</v>
          </cell>
          <cell r="C554" t="str">
            <v>아스콘기층구입,운반</v>
          </cell>
          <cell r="E554">
            <v>26244</v>
          </cell>
          <cell r="F554" t="str">
            <v>TON</v>
          </cell>
          <cell r="G554">
            <v>20000</v>
          </cell>
          <cell r="H554">
            <v>524880000</v>
          </cell>
        </row>
        <row r="555">
          <cell r="B555" t="str">
            <v>나.</v>
          </cell>
          <cell r="C555" t="str">
            <v>아스콘기층포설</v>
          </cell>
          <cell r="D555" t="str">
            <v>(T = 15CM)</v>
          </cell>
          <cell r="E555">
            <v>2</v>
          </cell>
          <cell r="F555" t="str">
            <v>a</v>
          </cell>
          <cell r="G555">
            <v>94000</v>
          </cell>
          <cell r="H555">
            <v>188000</v>
          </cell>
        </row>
        <row r="556">
          <cell r="B556" t="str">
            <v>다.</v>
          </cell>
          <cell r="C556" t="str">
            <v>아스콘기층포설및다짐</v>
          </cell>
          <cell r="D556" t="str">
            <v>(T = 20Cm)</v>
          </cell>
          <cell r="E556">
            <v>548</v>
          </cell>
          <cell r="F556" t="str">
            <v>a</v>
          </cell>
          <cell r="G556">
            <v>114000</v>
          </cell>
          <cell r="H556">
            <v>62472000</v>
          </cell>
        </row>
        <row r="557">
          <cell r="B557" t="str">
            <v>5)</v>
          </cell>
          <cell r="C557" t="str">
            <v>택 코 팅</v>
          </cell>
          <cell r="H557">
            <v>0</v>
          </cell>
        </row>
        <row r="558">
          <cell r="B558" t="str">
            <v>가.</v>
          </cell>
          <cell r="C558" t="str">
            <v>택 코 팅</v>
          </cell>
          <cell r="D558" t="str">
            <v>(30ℓ/a)</v>
          </cell>
          <cell r="E558">
            <v>1098</v>
          </cell>
          <cell r="F558" t="str">
            <v>a</v>
          </cell>
          <cell r="G558">
            <v>18500</v>
          </cell>
          <cell r="H558">
            <v>20313000</v>
          </cell>
        </row>
        <row r="559">
          <cell r="B559" t="str">
            <v>나.</v>
          </cell>
          <cell r="C559" t="str">
            <v>택 코 팅</v>
          </cell>
          <cell r="D559" t="str">
            <v>(50ℓ/a)</v>
          </cell>
          <cell r="E559">
            <v>917</v>
          </cell>
          <cell r="F559" t="str">
            <v>a</v>
          </cell>
          <cell r="G559">
            <v>18000</v>
          </cell>
          <cell r="H559">
            <v>16506000</v>
          </cell>
        </row>
        <row r="560">
          <cell r="B560" t="str">
            <v>6)</v>
          </cell>
          <cell r="C560" t="str">
            <v>아스콘표층</v>
          </cell>
          <cell r="H560">
            <v>0</v>
          </cell>
        </row>
        <row r="561">
          <cell r="B561" t="str">
            <v>가.</v>
          </cell>
          <cell r="C561" t="str">
            <v>아스콘표층구입,운반</v>
          </cell>
          <cell r="E561">
            <v>25514</v>
          </cell>
          <cell r="F561" t="str">
            <v>TON</v>
          </cell>
          <cell r="G561">
            <v>24000</v>
          </cell>
          <cell r="H561">
            <v>612336000</v>
          </cell>
        </row>
        <row r="562">
          <cell r="B562" t="str">
            <v>나.</v>
          </cell>
          <cell r="C562" t="str">
            <v>아스콘표층포설및다짐</v>
          </cell>
          <cell r="D562" t="str">
            <v>(T=5Cm)</v>
          </cell>
          <cell r="E562">
            <v>281</v>
          </cell>
          <cell r="F562" t="str">
            <v>a</v>
          </cell>
          <cell r="G562">
            <v>42000</v>
          </cell>
          <cell r="H562">
            <v>11802000</v>
          </cell>
        </row>
        <row r="563">
          <cell r="B563" t="str">
            <v>다.</v>
          </cell>
          <cell r="C563" t="str">
            <v>아스콘표층포설및다짐</v>
          </cell>
          <cell r="D563" t="str">
            <v>(T=10Cm)</v>
          </cell>
          <cell r="E563">
            <v>637</v>
          </cell>
          <cell r="F563" t="str">
            <v>a</v>
          </cell>
          <cell r="G563">
            <v>84000</v>
          </cell>
          <cell r="H563">
            <v>53508000</v>
          </cell>
        </row>
        <row r="564">
          <cell r="B564" t="str">
            <v>라.</v>
          </cell>
          <cell r="C564" t="str">
            <v>아스콘표층포설및다짐</v>
          </cell>
          <cell r="D564" t="str">
            <v>(T=8mm,교면포장)</v>
          </cell>
          <cell r="E564">
            <v>375</v>
          </cell>
          <cell r="F564" t="str">
            <v>a</v>
          </cell>
          <cell r="G564">
            <v>84000</v>
          </cell>
          <cell r="H564">
            <v>31500000</v>
          </cell>
        </row>
        <row r="565">
          <cell r="B565" t="str">
            <v>7)</v>
          </cell>
          <cell r="C565" t="str">
            <v>린콘크리트기층</v>
          </cell>
          <cell r="H565">
            <v>0</v>
          </cell>
        </row>
        <row r="566">
          <cell r="B566" t="str">
            <v>가.</v>
          </cell>
          <cell r="C566" t="str">
            <v>린콘크리트 생산</v>
          </cell>
          <cell r="E566">
            <v>40483</v>
          </cell>
          <cell r="F566" t="str">
            <v>M3</v>
          </cell>
          <cell r="G566">
            <v>18500</v>
          </cell>
          <cell r="H566">
            <v>748935500</v>
          </cell>
        </row>
        <row r="567">
          <cell r="B567" t="str">
            <v>나.</v>
          </cell>
          <cell r="C567" t="str">
            <v>린콘크리트포설및다짐</v>
          </cell>
          <cell r="D567" t="str">
            <v>(기계포설 T=15CM)</v>
          </cell>
          <cell r="E567">
            <v>40483</v>
          </cell>
          <cell r="F567" t="str">
            <v>M3</v>
          </cell>
          <cell r="G567">
            <v>3400</v>
          </cell>
          <cell r="H567">
            <v>137642200</v>
          </cell>
        </row>
        <row r="568">
          <cell r="B568" t="str">
            <v>8)</v>
          </cell>
          <cell r="C568" t="str">
            <v>콘크리트 포장</v>
          </cell>
          <cell r="H568">
            <v>0</v>
          </cell>
        </row>
        <row r="569">
          <cell r="B569" t="str">
            <v>가.</v>
          </cell>
          <cell r="C569" t="str">
            <v>포장콘크리트생산운반</v>
          </cell>
          <cell r="D569" t="str">
            <v>(σbk=45KG/CM2)</v>
          </cell>
          <cell r="E569">
            <v>75388</v>
          </cell>
          <cell r="F569" t="str">
            <v>M3</v>
          </cell>
          <cell r="G569">
            <v>9000</v>
          </cell>
          <cell r="H569">
            <v>678492000</v>
          </cell>
        </row>
        <row r="570">
          <cell r="B570" t="str">
            <v>나.</v>
          </cell>
          <cell r="C570" t="str">
            <v>기계포설</v>
          </cell>
          <cell r="H570">
            <v>0</v>
          </cell>
        </row>
        <row r="571">
          <cell r="B571" t="str">
            <v>a.</v>
          </cell>
          <cell r="C571" t="str">
            <v>무근2차로포설</v>
          </cell>
          <cell r="D571" t="str">
            <v>(T=30cm)</v>
          </cell>
          <cell r="E571">
            <v>60401</v>
          </cell>
          <cell r="F571" t="str">
            <v>M3</v>
          </cell>
          <cell r="G571">
            <v>5400</v>
          </cell>
          <cell r="H571">
            <v>326165400</v>
          </cell>
        </row>
        <row r="572">
          <cell r="B572" t="str">
            <v>b.</v>
          </cell>
          <cell r="C572" t="str">
            <v>무근1차로포설</v>
          </cell>
          <cell r="D572" t="str">
            <v>(T=30cm)</v>
          </cell>
          <cell r="E572">
            <v>6861</v>
          </cell>
          <cell r="F572" t="str">
            <v>M3</v>
          </cell>
          <cell r="G572">
            <v>3100</v>
          </cell>
          <cell r="H572">
            <v>21269100</v>
          </cell>
        </row>
        <row r="573">
          <cell r="B573" t="str">
            <v>c.</v>
          </cell>
          <cell r="C573" t="str">
            <v>중분대기초콘크리트</v>
          </cell>
          <cell r="D573" t="str">
            <v>(T=15cm)</v>
          </cell>
          <cell r="E573">
            <v>1773</v>
          </cell>
          <cell r="F573" t="str">
            <v>M3</v>
          </cell>
          <cell r="G573">
            <v>26000</v>
          </cell>
          <cell r="H573">
            <v>46098000</v>
          </cell>
        </row>
        <row r="574">
          <cell r="B574" t="str">
            <v>다.</v>
          </cell>
          <cell r="C574" t="str">
            <v>인력포설</v>
          </cell>
          <cell r="H574">
            <v>0</v>
          </cell>
        </row>
        <row r="575">
          <cell r="B575" t="str">
            <v>a.</v>
          </cell>
          <cell r="C575" t="str">
            <v>교량접속및완충슬라브</v>
          </cell>
          <cell r="D575" t="str">
            <v>(T=40cm)</v>
          </cell>
          <cell r="E575">
            <v>3288</v>
          </cell>
          <cell r="F575" t="str">
            <v>M2</v>
          </cell>
          <cell r="G575">
            <v>10500</v>
          </cell>
          <cell r="H575">
            <v>34524000</v>
          </cell>
        </row>
        <row r="576">
          <cell r="B576" t="str">
            <v>b.</v>
          </cell>
          <cell r="C576" t="str">
            <v>연결로과적검문소포장</v>
          </cell>
          <cell r="D576" t="str">
            <v>(T=30cm)</v>
          </cell>
          <cell r="E576">
            <v>2458</v>
          </cell>
          <cell r="F576" t="str">
            <v>M3</v>
          </cell>
          <cell r="G576">
            <v>14000</v>
          </cell>
          <cell r="H576">
            <v>34412000</v>
          </cell>
        </row>
        <row r="577">
          <cell r="B577" t="str">
            <v>c.</v>
          </cell>
          <cell r="C577" t="str">
            <v>부체도로</v>
          </cell>
          <cell r="D577" t="str">
            <v>(T=20CM)</v>
          </cell>
          <cell r="E577">
            <v>524</v>
          </cell>
          <cell r="F577" t="str">
            <v>M3</v>
          </cell>
          <cell r="G577">
            <v>20000</v>
          </cell>
          <cell r="H577">
            <v>10480000</v>
          </cell>
        </row>
        <row r="578">
          <cell r="B578" t="str">
            <v>d.</v>
          </cell>
          <cell r="C578" t="str">
            <v>중분대기초콘크리트</v>
          </cell>
          <cell r="D578" t="str">
            <v>(T=15cm)</v>
          </cell>
          <cell r="E578">
            <v>83</v>
          </cell>
          <cell r="F578" t="str">
            <v>M3</v>
          </cell>
          <cell r="G578">
            <v>27000</v>
          </cell>
          <cell r="H578">
            <v>2241000</v>
          </cell>
        </row>
        <row r="579">
          <cell r="B579" t="str">
            <v>9)</v>
          </cell>
          <cell r="C579" t="str">
            <v>철근설치공</v>
          </cell>
          <cell r="H579">
            <v>0</v>
          </cell>
        </row>
        <row r="580">
          <cell r="B580" t="str">
            <v>가.</v>
          </cell>
          <cell r="C580" t="str">
            <v>철근가공조립</v>
          </cell>
          <cell r="D580" t="str">
            <v>(간단)</v>
          </cell>
          <cell r="E580">
            <v>45.405999999999999</v>
          </cell>
          <cell r="F580" t="str">
            <v>TON</v>
          </cell>
          <cell r="G580">
            <v>230000</v>
          </cell>
          <cell r="H580">
            <v>10443380</v>
          </cell>
        </row>
        <row r="581">
          <cell r="B581" t="str">
            <v>나.</v>
          </cell>
          <cell r="C581" t="str">
            <v>철근가공조립</v>
          </cell>
          <cell r="D581" t="str">
            <v>(보통)</v>
          </cell>
          <cell r="E581">
            <v>552.51700000000005</v>
          </cell>
          <cell r="F581" t="str">
            <v>TON</v>
          </cell>
          <cell r="G581">
            <v>310000</v>
          </cell>
          <cell r="H581">
            <v>171280270</v>
          </cell>
        </row>
        <row r="582">
          <cell r="B582" t="str">
            <v>다.</v>
          </cell>
          <cell r="C582" t="str">
            <v>와이어메쉬설치</v>
          </cell>
          <cell r="E582">
            <v>0.48799999999999999</v>
          </cell>
          <cell r="F582" t="str">
            <v>TON</v>
          </cell>
          <cell r="G582">
            <v>580000</v>
          </cell>
          <cell r="H582">
            <v>283040</v>
          </cell>
        </row>
        <row r="583">
          <cell r="B583" t="str">
            <v>라.</v>
          </cell>
          <cell r="C583" t="str">
            <v>스페이서설치</v>
          </cell>
          <cell r="E583">
            <v>11077</v>
          </cell>
          <cell r="F583" t="str">
            <v>M2</v>
          </cell>
          <cell r="G583">
            <v>650</v>
          </cell>
          <cell r="H583">
            <v>7200050</v>
          </cell>
        </row>
        <row r="584">
          <cell r="B584" t="str">
            <v>10)</v>
          </cell>
          <cell r="C584" t="str">
            <v>비닐깔기</v>
          </cell>
          <cell r="E584">
            <v>237850</v>
          </cell>
          <cell r="F584" t="str">
            <v>M2</v>
          </cell>
          <cell r="G584">
            <v>400</v>
          </cell>
          <cell r="H584">
            <v>95140000</v>
          </cell>
        </row>
        <row r="585">
          <cell r="B585" t="str">
            <v>11)</v>
          </cell>
          <cell r="C585" t="str">
            <v>합판거푸집</v>
          </cell>
          <cell r="D585" t="str">
            <v>(4회)</v>
          </cell>
          <cell r="E585">
            <v>1291</v>
          </cell>
          <cell r="F585" t="str">
            <v>M2</v>
          </cell>
          <cell r="G585">
            <v>14500</v>
          </cell>
          <cell r="H585">
            <v>18719500</v>
          </cell>
        </row>
        <row r="586">
          <cell r="B586" t="str">
            <v>12)</v>
          </cell>
          <cell r="C586" t="str">
            <v>줄눈설치공</v>
          </cell>
          <cell r="H586">
            <v>0</v>
          </cell>
        </row>
        <row r="587">
          <cell r="B587" t="str">
            <v>가.</v>
          </cell>
          <cell r="C587" t="str">
            <v>세로줄눈</v>
          </cell>
          <cell r="H587">
            <v>0</v>
          </cell>
        </row>
        <row r="588">
          <cell r="B588" t="str">
            <v>a.</v>
          </cell>
          <cell r="C588" t="str">
            <v>본선2차로동시포설용</v>
          </cell>
          <cell r="D588" t="str">
            <v>(세로줄눈 형식1-1)</v>
          </cell>
          <cell r="E588">
            <v>27285</v>
          </cell>
          <cell r="F588" t="str">
            <v>M</v>
          </cell>
          <cell r="G588">
            <v>2300</v>
          </cell>
          <cell r="H588">
            <v>62755500</v>
          </cell>
        </row>
        <row r="589">
          <cell r="B589" t="str">
            <v>b.</v>
          </cell>
          <cell r="C589" t="str">
            <v>중분대기초용</v>
          </cell>
          <cell r="D589" t="str">
            <v>(세로줄눈 형식1-4)</v>
          </cell>
          <cell r="E589">
            <v>24133</v>
          </cell>
          <cell r="F589" t="str">
            <v>M</v>
          </cell>
          <cell r="G589">
            <v>1600</v>
          </cell>
          <cell r="H589">
            <v>38612800</v>
          </cell>
        </row>
        <row r="590">
          <cell r="B590" t="str">
            <v>c.</v>
          </cell>
          <cell r="C590" t="str">
            <v>길어깨접속부용</v>
          </cell>
          <cell r="D590" t="str">
            <v>(세로줄눈,형식1-5)</v>
          </cell>
          <cell r="E590">
            <v>24646</v>
          </cell>
          <cell r="F590" t="str">
            <v>M</v>
          </cell>
          <cell r="G590">
            <v>1700</v>
          </cell>
          <cell r="H590">
            <v>41898200</v>
          </cell>
        </row>
        <row r="591">
          <cell r="B591" t="str">
            <v>나.</v>
          </cell>
          <cell r="C591" t="str">
            <v>가로수축줄눈</v>
          </cell>
          <cell r="H591">
            <v>0</v>
          </cell>
        </row>
        <row r="592">
          <cell r="B592" t="str">
            <v>a.</v>
          </cell>
          <cell r="C592" t="str">
            <v>본선2차로용</v>
          </cell>
          <cell r="D592" t="str">
            <v>(가로줄눈,형식2-1,2)</v>
          </cell>
          <cell r="E592">
            <v>36835</v>
          </cell>
          <cell r="F592" t="str">
            <v>M</v>
          </cell>
          <cell r="G592">
            <v>3900</v>
          </cell>
          <cell r="H592">
            <v>143656500</v>
          </cell>
        </row>
        <row r="593">
          <cell r="B593" t="str">
            <v>b.</v>
          </cell>
          <cell r="C593" t="str">
            <v>교량접속부2차로용</v>
          </cell>
          <cell r="D593" t="str">
            <v>(가로줄눈,형식2-3,4)</v>
          </cell>
          <cell r="E593">
            <v>437</v>
          </cell>
          <cell r="F593" t="str">
            <v>M</v>
          </cell>
          <cell r="G593">
            <v>4000</v>
          </cell>
          <cell r="H593">
            <v>1748000</v>
          </cell>
        </row>
        <row r="594">
          <cell r="B594" t="str">
            <v>c.</v>
          </cell>
          <cell r="C594" t="str">
            <v>중분대기초용</v>
          </cell>
          <cell r="D594" t="str">
            <v>(가로줄눈,형식2-5)</v>
          </cell>
          <cell r="E594">
            <v>2007</v>
          </cell>
          <cell r="F594" t="str">
            <v>M</v>
          </cell>
          <cell r="G594">
            <v>2400</v>
          </cell>
          <cell r="H594">
            <v>4816800</v>
          </cell>
        </row>
        <row r="595">
          <cell r="B595" t="str">
            <v>다.</v>
          </cell>
          <cell r="C595" t="str">
            <v>팽창줄눈</v>
          </cell>
          <cell r="H595">
            <v>0</v>
          </cell>
        </row>
        <row r="596">
          <cell r="B596" t="str">
            <v>a.</v>
          </cell>
          <cell r="C596" t="str">
            <v>본선2차로용</v>
          </cell>
          <cell r="D596" t="str">
            <v>(팽창줄눈,형식3-1,2)</v>
          </cell>
          <cell r="E596">
            <v>576</v>
          </cell>
          <cell r="F596" t="str">
            <v>M</v>
          </cell>
          <cell r="G596">
            <v>10000</v>
          </cell>
          <cell r="H596">
            <v>5760000</v>
          </cell>
        </row>
        <row r="597">
          <cell r="B597" t="str">
            <v>b.</v>
          </cell>
          <cell r="C597" t="str">
            <v>교량접속부2차로용</v>
          </cell>
          <cell r="D597" t="str">
            <v>(팽창줄눈,형식3-3,4)</v>
          </cell>
          <cell r="E597">
            <v>439</v>
          </cell>
          <cell r="F597" t="str">
            <v>M</v>
          </cell>
          <cell r="G597">
            <v>8500</v>
          </cell>
          <cell r="H597">
            <v>3731500</v>
          </cell>
        </row>
        <row r="598">
          <cell r="B598" t="str">
            <v>c.</v>
          </cell>
          <cell r="C598" t="str">
            <v>아스콘접속부2차로용</v>
          </cell>
          <cell r="D598" t="str">
            <v>(팽창줄눈,형식3-6,7)</v>
          </cell>
          <cell r="E598">
            <v>71</v>
          </cell>
          <cell r="F598" t="str">
            <v>M</v>
          </cell>
          <cell r="G598">
            <v>10000</v>
          </cell>
          <cell r="H598">
            <v>710000</v>
          </cell>
        </row>
        <row r="599">
          <cell r="B599" t="str">
            <v>d.</v>
          </cell>
          <cell r="C599" t="str">
            <v>중분대기초용</v>
          </cell>
          <cell r="D599" t="str">
            <v>(팽창줄눈,형식3-8)</v>
          </cell>
          <cell r="E599">
            <v>48</v>
          </cell>
          <cell r="F599" t="str">
            <v>M</v>
          </cell>
          <cell r="G599">
            <v>6000</v>
          </cell>
          <cell r="H599">
            <v>288000</v>
          </cell>
        </row>
        <row r="600">
          <cell r="B600" t="str">
            <v>e.</v>
          </cell>
          <cell r="C600" t="str">
            <v>스치로폴</v>
          </cell>
          <cell r="D600" t="str">
            <v>(T=10m/m)</v>
          </cell>
          <cell r="E600">
            <v>236</v>
          </cell>
          <cell r="F600" t="str">
            <v>M2</v>
          </cell>
          <cell r="G600">
            <v>950</v>
          </cell>
          <cell r="H600">
            <v>224200</v>
          </cell>
        </row>
        <row r="601">
          <cell r="B601" t="str">
            <v>f.</v>
          </cell>
          <cell r="C601" t="str">
            <v>스치로폴</v>
          </cell>
          <cell r="D601" t="str">
            <v>(T=20m/m)</v>
          </cell>
          <cell r="E601">
            <v>911</v>
          </cell>
          <cell r="F601" t="str">
            <v>M2</v>
          </cell>
          <cell r="G601">
            <v>1800</v>
          </cell>
          <cell r="H601">
            <v>1639800</v>
          </cell>
        </row>
        <row r="602">
          <cell r="B602" t="str">
            <v>g.</v>
          </cell>
          <cell r="C602" t="str">
            <v>부체도로용줄눈</v>
          </cell>
          <cell r="D602" t="str">
            <v>(판재 200×15)</v>
          </cell>
          <cell r="E602">
            <v>524</v>
          </cell>
          <cell r="F602" t="str">
            <v>M</v>
          </cell>
          <cell r="G602">
            <v>1800</v>
          </cell>
          <cell r="H602">
            <v>943200</v>
          </cell>
        </row>
        <row r="603">
          <cell r="B603" t="str">
            <v>13)</v>
          </cell>
          <cell r="C603" t="str">
            <v>콘크리트 포장면연마</v>
          </cell>
          <cell r="E603">
            <v>1</v>
          </cell>
          <cell r="F603" t="str">
            <v>M2</v>
          </cell>
          <cell r="G603">
            <v>175000000</v>
          </cell>
          <cell r="H603">
            <v>175000000</v>
          </cell>
        </row>
        <row r="604">
          <cell r="B604" t="str">
            <v>14)</v>
          </cell>
          <cell r="C604" t="str">
            <v>크라샤 설치 및 철거</v>
          </cell>
          <cell r="E604">
            <v>1</v>
          </cell>
          <cell r="F604" t="str">
            <v>식</v>
          </cell>
          <cell r="G604">
            <v>38000000</v>
          </cell>
          <cell r="H604">
            <v>38000000</v>
          </cell>
        </row>
        <row r="605">
          <cell r="B605" t="str">
            <v>15)</v>
          </cell>
          <cell r="C605" t="str">
            <v>배치플랜트</v>
          </cell>
          <cell r="H605">
            <v>0</v>
          </cell>
        </row>
        <row r="606">
          <cell r="B606" t="str">
            <v>가.</v>
          </cell>
          <cell r="C606" t="str">
            <v>배치플랜트 설치공</v>
          </cell>
          <cell r="D606" t="str">
            <v>(120m3/hr 1기)</v>
          </cell>
          <cell r="E606">
            <v>1</v>
          </cell>
          <cell r="F606" t="str">
            <v>식</v>
          </cell>
          <cell r="G606">
            <v>165000000</v>
          </cell>
          <cell r="H606">
            <v>165000000</v>
          </cell>
        </row>
        <row r="607">
          <cell r="B607" t="str">
            <v>나.</v>
          </cell>
          <cell r="C607" t="str">
            <v>배치플랜트 철거공</v>
          </cell>
          <cell r="D607" t="str">
            <v>(120m3/hr 1기)</v>
          </cell>
          <cell r="E607">
            <v>1</v>
          </cell>
          <cell r="F607" t="str">
            <v>식</v>
          </cell>
          <cell r="G607">
            <v>7900000</v>
          </cell>
          <cell r="H607">
            <v>7900000</v>
          </cell>
        </row>
        <row r="608">
          <cell r="B608" t="str">
            <v>16)</v>
          </cell>
          <cell r="C608" t="str">
            <v>콘크리트포장장비임대</v>
          </cell>
          <cell r="H608">
            <v>0</v>
          </cell>
        </row>
        <row r="609">
          <cell r="B609" t="str">
            <v>가.</v>
          </cell>
          <cell r="C609" t="str">
            <v>포장장비 임대료</v>
          </cell>
          <cell r="D609" t="str">
            <v>(1차선 포설장비)</v>
          </cell>
          <cell r="E609">
            <v>0.4</v>
          </cell>
          <cell r="F609" t="str">
            <v>개월</v>
          </cell>
          <cell r="G609">
            <v>20000000</v>
          </cell>
          <cell r="H609">
            <v>8000000</v>
          </cell>
        </row>
        <row r="610">
          <cell r="B610" t="str">
            <v>나.</v>
          </cell>
          <cell r="C610" t="str">
            <v>포장장비 임대료</v>
          </cell>
          <cell r="D610" t="str">
            <v>(2차선 포설장비)</v>
          </cell>
          <cell r="E610">
            <v>3.5</v>
          </cell>
          <cell r="F610" t="str">
            <v>개월</v>
          </cell>
          <cell r="G610">
            <v>32000000</v>
          </cell>
          <cell r="H610">
            <v>112000000</v>
          </cell>
        </row>
        <row r="611">
          <cell r="B611" t="str">
            <v>17)</v>
          </cell>
          <cell r="C611" t="str">
            <v>골재생산및운반</v>
          </cell>
          <cell r="H611">
            <v>0</v>
          </cell>
        </row>
        <row r="612">
          <cell r="B612" t="str">
            <v>가.</v>
          </cell>
          <cell r="C612" t="str">
            <v>모래운반</v>
          </cell>
          <cell r="D612" t="str">
            <v>(몰탈용)</v>
          </cell>
          <cell r="E612">
            <v>316</v>
          </cell>
          <cell r="F612" t="str">
            <v>M3</v>
          </cell>
          <cell r="G612">
            <v>10000</v>
          </cell>
          <cell r="H612">
            <v>3160000</v>
          </cell>
        </row>
        <row r="613">
          <cell r="B613" t="str">
            <v>나.</v>
          </cell>
          <cell r="C613" t="str">
            <v>모래운반</v>
          </cell>
          <cell r="D613" t="str">
            <v>(콘크리트용)</v>
          </cell>
          <cell r="E613">
            <v>148369</v>
          </cell>
          <cell r="F613" t="str">
            <v>M3</v>
          </cell>
          <cell r="G613">
            <v>9500</v>
          </cell>
          <cell r="H613">
            <v>1409505500</v>
          </cell>
        </row>
        <row r="614">
          <cell r="B614" t="str">
            <v>다.</v>
          </cell>
          <cell r="C614" t="str">
            <v>쇄석골재 생산</v>
          </cell>
          <cell r="D614" t="str">
            <v>(D=15M/M)</v>
          </cell>
          <cell r="E614">
            <v>4068</v>
          </cell>
          <cell r="F614" t="str">
            <v>TON</v>
          </cell>
          <cell r="G614">
            <v>9000</v>
          </cell>
          <cell r="H614">
            <v>36612000</v>
          </cell>
        </row>
        <row r="615">
          <cell r="B615" t="str">
            <v>라.</v>
          </cell>
          <cell r="C615" t="str">
            <v>쇄석골재 생산</v>
          </cell>
          <cell r="D615" t="str">
            <v>(D=19M/M)</v>
          </cell>
          <cell r="E615">
            <v>8851</v>
          </cell>
          <cell r="F615" t="str">
            <v>TON</v>
          </cell>
          <cell r="G615">
            <v>9000</v>
          </cell>
          <cell r="H615">
            <v>79659000</v>
          </cell>
        </row>
        <row r="616">
          <cell r="B616" t="str">
            <v>마.</v>
          </cell>
          <cell r="C616" t="str">
            <v>쇄석골재 생산</v>
          </cell>
          <cell r="D616" t="str">
            <v>(D=25M/M)</v>
          </cell>
          <cell r="E616">
            <v>9509</v>
          </cell>
          <cell r="F616" t="str">
            <v>TON</v>
          </cell>
          <cell r="G616">
            <v>8000</v>
          </cell>
          <cell r="H616">
            <v>76072000</v>
          </cell>
        </row>
        <row r="617">
          <cell r="B617" t="str">
            <v>바.</v>
          </cell>
          <cell r="C617" t="str">
            <v>쇄석골재 생산</v>
          </cell>
          <cell r="D617" t="str">
            <v>(D=32M/M)</v>
          </cell>
          <cell r="E617">
            <v>98757</v>
          </cell>
          <cell r="F617" t="str">
            <v>TON</v>
          </cell>
          <cell r="G617">
            <v>7300</v>
          </cell>
          <cell r="H617">
            <v>720926100</v>
          </cell>
        </row>
        <row r="618">
          <cell r="B618" t="str">
            <v>사.</v>
          </cell>
          <cell r="C618" t="str">
            <v>쇄석골재 생산</v>
          </cell>
          <cell r="D618" t="str">
            <v>(D=40M/M)</v>
          </cell>
          <cell r="E618">
            <v>35506</v>
          </cell>
          <cell r="F618" t="str">
            <v>TON</v>
          </cell>
          <cell r="G618">
            <v>7000</v>
          </cell>
          <cell r="H618">
            <v>248542000</v>
          </cell>
        </row>
        <row r="619">
          <cell r="B619" t="str">
            <v>아.</v>
          </cell>
          <cell r="C619" t="str">
            <v>보조기층생산</v>
          </cell>
          <cell r="D619" t="str">
            <v>(현장암유용)</v>
          </cell>
          <cell r="E619">
            <v>22478</v>
          </cell>
          <cell r="F619" t="str">
            <v>M3</v>
          </cell>
          <cell r="G619">
            <v>12000</v>
          </cell>
          <cell r="H619">
            <v>269736000</v>
          </cell>
        </row>
        <row r="620">
          <cell r="B620" t="str">
            <v>자.</v>
          </cell>
          <cell r="C620" t="str">
            <v>선택층생산</v>
          </cell>
          <cell r="D620" t="str">
            <v>(현장암유용)</v>
          </cell>
          <cell r="E620">
            <v>90717</v>
          </cell>
          <cell r="F620" t="str">
            <v>M3</v>
          </cell>
          <cell r="G620">
            <v>10400</v>
          </cell>
          <cell r="H620">
            <v>943456800</v>
          </cell>
        </row>
        <row r="621">
          <cell r="B621" t="str">
            <v>6.</v>
          </cell>
          <cell r="C621" t="str">
            <v>안전시설공</v>
          </cell>
          <cell r="H621">
            <v>1808475120</v>
          </cell>
        </row>
        <row r="622">
          <cell r="B622" t="str">
            <v>1)</v>
          </cell>
          <cell r="C622" t="str">
            <v>차선도색</v>
          </cell>
          <cell r="H622">
            <v>0</v>
          </cell>
        </row>
        <row r="623">
          <cell r="B623" t="str">
            <v>가.</v>
          </cell>
          <cell r="C623" t="str">
            <v>차선도색</v>
          </cell>
          <cell r="D623" t="str">
            <v>(백색)</v>
          </cell>
          <cell r="E623">
            <v>10349</v>
          </cell>
          <cell r="F623" t="str">
            <v>M2</v>
          </cell>
          <cell r="G623">
            <v>3000</v>
          </cell>
          <cell r="H623">
            <v>31047000</v>
          </cell>
        </row>
        <row r="624">
          <cell r="B624" t="str">
            <v>나.</v>
          </cell>
          <cell r="C624" t="str">
            <v>차선도색</v>
          </cell>
          <cell r="D624" t="str">
            <v>(황색)</v>
          </cell>
          <cell r="E624">
            <v>5423</v>
          </cell>
          <cell r="F624" t="str">
            <v>M2</v>
          </cell>
          <cell r="G624">
            <v>3800</v>
          </cell>
          <cell r="H624">
            <v>20607400</v>
          </cell>
        </row>
        <row r="625">
          <cell r="B625" t="str">
            <v>2)</v>
          </cell>
          <cell r="C625" t="str">
            <v>도로표지판</v>
          </cell>
          <cell r="H625">
            <v>0</v>
          </cell>
        </row>
        <row r="626">
          <cell r="B626" t="str">
            <v>가.</v>
          </cell>
          <cell r="C626" t="str">
            <v>토공</v>
          </cell>
          <cell r="H626">
            <v>0</v>
          </cell>
        </row>
        <row r="627">
          <cell r="B627" t="str">
            <v>a.</v>
          </cell>
          <cell r="C627" t="str">
            <v>구조물터파기</v>
          </cell>
          <cell r="D627" t="str">
            <v>(육상토사0∼4m)</v>
          </cell>
          <cell r="E627">
            <v>2131</v>
          </cell>
          <cell r="F627" t="str">
            <v>M3</v>
          </cell>
          <cell r="G627">
            <v>3200</v>
          </cell>
          <cell r="H627">
            <v>6819200</v>
          </cell>
        </row>
        <row r="628">
          <cell r="B628" t="str">
            <v>b.</v>
          </cell>
          <cell r="C628" t="str">
            <v>구조물터파기</v>
          </cell>
          <cell r="D628" t="str">
            <v>(육상발파암0∼4m)</v>
          </cell>
          <cell r="E628">
            <v>573</v>
          </cell>
          <cell r="F628" t="str">
            <v>M3</v>
          </cell>
          <cell r="G628">
            <v>100000</v>
          </cell>
          <cell r="H628">
            <v>57300000</v>
          </cell>
        </row>
        <row r="629">
          <cell r="B629" t="str">
            <v>c.</v>
          </cell>
          <cell r="C629" t="str">
            <v>되메우기및다짐</v>
          </cell>
          <cell r="E629">
            <v>2181</v>
          </cell>
          <cell r="F629" t="str">
            <v>M3</v>
          </cell>
          <cell r="G629">
            <v>7000</v>
          </cell>
          <cell r="H629">
            <v>15267000</v>
          </cell>
        </row>
        <row r="630">
          <cell r="B630" t="str">
            <v>나.</v>
          </cell>
          <cell r="C630" t="str">
            <v>콘크리트타설</v>
          </cell>
          <cell r="D630" t="str">
            <v>(소형,진동기포함)</v>
          </cell>
          <cell r="E630">
            <v>466</v>
          </cell>
          <cell r="F630" t="str">
            <v>M3</v>
          </cell>
          <cell r="G630">
            <v>28000</v>
          </cell>
          <cell r="H630">
            <v>13048000</v>
          </cell>
        </row>
        <row r="631">
          <cell r="B631" t="str">
            <v>다.</v>
          </cell>
          <cell r="C631" t="str">
            <v>콘크리트타설</v>
          </cell>
          <cell r="D631" t="str">
            <v>(소형,진동기제외)</v>
          </cell>
          <cell r="E631">
            <v>57</v>
          </cell>
          <cell r="F631" t="str">
            <v>M3</v>
          </cell>
          <cell r="G631">
            <v>28000</v>
          </cell>
          <cell r="H631">
            <v>1596000</v>
          </cell>
        </row>
        <row r="632">
          <cell r="B632" t="str">
            <v>라.</v>
          </cell>
          <cell r="C632" t="str">
            <v>합판거푸집</v>
          </cell>
          <cell r="D632" t="str">
            <v>(6회)</v>
          </cell>
          <cell r="E632">
            <v>1175</v>
          </cell>
          <cell r="F632" t="str">
            <v>M2</v>
          </cell>
          <cell r="G632">
            <v>11900</v>
          </cell>
          <cell r="H632">
            <v>13982500</v>
          </cell>
        </row>
        <row r="633">
          <cell r="B633" t="str">
            <v>마.</v>
          </cell>
          <cell r="C633" t="str">
            <v>철근가공조립</v>
          </cell>
          <cell r="D633" t="str">
            <v>(간단)</v>
          </cell>
          <cell r="E633">
            <v>31.724</v>
          </cell>
          <cell r="F633" t="str">
            <v>TON</v>
          </cell>
          <cell r="G633">
            <v>230000</v>
          </cell>
          <cell r="H633">
            <v>7296520</v>
          </cell>
        </row>
        <row r="634">
          <cell r="B634" t="str">
            <v>바.</v>
          </cell>
          <cell r="C634" t="str">
            <v>표지판</v>
          </cell>
          <cell r="H634">
            <v>0</v>
          </cell>
        </row>
        <row r="635">
          <cell r="B635" t="str">
            <v>a.</v>
          </cell>
          <cell r="C635" t="str">
            <v>삼각표지판</v>
          </cell>
          <cell r="D635" t="str">
            <v>(ㅿ120Cm)</v>
          </cell>
          <cell r="E635">
            <v>53</v>
          </cell>
          <cell r="F635" t="str">
            <v>EA</v>
          </cell>
          <cell r="G635">
            <v>94000</v>
          </cell>
          <cell r="H635">
            <v>4982000</v>
          </cell>
        </row>
        <row r="636">
          <cell r="B636" t="str">
            <v>b.</v>
          </cell>
          <cell r="C636" t="str">
            <v>원형표지판</v>
          </cell>
          <cell r="D636" t="str">
            <v>(D900)</v>
          </cell>
          <cell r="E636">
            <v>11</v>
          </cell>
          <cell r="F636" t="str">
            <v>EA</v>
          </cell>
          <cell r="G636">
            <v>94000</v>
          </cell>
          <cell r="H636">
            <v>1034000</v>
          </cell>
        </row>
        <row r="637">
          <cell r="B637" t="str">
            <v>c.</v>
          </cell>
          <cell r="C637" t="str">
            <v>이중삼각표지판</v>
          </cell>
          <cell r="D637" t="str">
            <v>(1.2×1.039,2EA)</v>
          </cell>
          <cell r="E637">
            <v>15</v>
          </cell>
          <cell r="F637" t="str">
            <v>EA</v>
          </cell>
          <cell r="G637">
            <v>110000</v>
          </cell>
          <cell r="H637">
            <v>1650000</v>
          </cell>
        </row>
        <row r="638">
          <cell r="B638" t="str">
            <v>d.</v>
          </cell>
          <cell r="C638" t="str">
            <v>삼각및원형표지판</v>
          </cell>
          <cell r="D638" t="str">
            <v>(1.2×1.039+D900)</v>
          </cell>
          <cell r="E638">
            <v>6</v>
          </cell>
          <cell r="F638" t="str">
            <v>EA</v>
          </cell>
          <cell r="G638">
            <v>110000</v>
          </cell>
          <cell r="H638">
            <v>660000</v>
          </cell>
        </row>
        <row r="639">
          <cell r="B639" t="str">
            <v>e.</v>
          </cell>
          <cell r="C639" t="str">
            <v>삼각및소형사각표지판</v>
          </cell>
          <cell r="D639" t="str">
            <v>(0.9+0.9×0.45)</v>
          </cell>
          <cell r="E639">
            <v>12</v>
          </cell>
          <cell r="F639" t="str">
            <v>EA</v>
          </cell>
          <cell r="G639">
            <v>110000</v>
          </cell>
          <cell r="H639">
            <v>1320000</v>
          </cell>
        </row>
        <row r="640">
          <cell r="B640" t="str">
            <v>f.</v>
          </cell>
          <cell r="C640" t="str">
            <v>돌아가는 길</v>
          </cell>
          <cell r="D640" t="str">
            <v>(1.66×0.85)</v>
          </cell>
          <cell r="E640">
            <v>1</v>
          </cell>
          <cell r="F640" t="str">
            <v>EA</v>
          </cell>
          <cell r="G640">
            <v>232000</v>
          </cell>
          <cell r="H640">
            <v>232000</v>
          </cell>
        </row>
        <row r="641">
          <cell r="B641" t="str">
            <v>g.</v>
          </cell>
          <cell r="C641" t="str">
            <v>과적단속,중량초과</v>
          </cell>
          <cell r="D641" t="str">
            <v>(0.7×1.0)</v>
          </cell>
          <cell r="E641">
            <v>4</v>
          </cell>
          <cell r="F641" t="str">
            <v>EA</v>
          </cell>
          <cell r="G641">
            <v>140000</v>
          </cell>
          <cell r="H641">
            <v>560000</v>
          </cell>
        </row>
        <row r="642">
          <cell r="B642" t="str">
            <v>h.</v>
          </cell>
          <cell r="C642" t="str">
            <v>면,읍계표지판</v>
          </cell>
          <cell r="D642" t="str">
            <v>(1.4×0.7)</v>
          </cell>
          <cell r="E642">
            <v>1</v>
          </cell>
          <cell r="F642" t="str">
            <v>EA</v>
          </cell>
          <cell r="G642">
            <v>290000</v>
          </cell>
          <cell r="H642">
            <v>290000</v>
          </cell>
        </row>
        <row r="643">
          <cell r="B643" t="str">
            <v>i.</v>
          </cell>
          <cell r="C643" t="str">
            <v>시,군경계표시</v>
          </cell>
          <cell r="D643" t="str">
            <v>(1.75×0.9,0.35)</v>
          </cell>
          <cell r="E643">
            <v>1</v>
          </cell>
          <cell r="F643" t="str">
            <v>EA</v>
          </cell>
          <cell r="G643">
            <v>730000</v>
          </cell>
          <cell r="H643">
            <v>730000</v>
          </cell>
        </row>
        <row r="644">
          <cell r="B644" t="str">
            <v>j.</v>
          </cell>
          <cell r="C644" t="str">
            <v>오르막차선표지판</v>
          </cell>
          <cell r="D644" t="str">
            <v>(2.4×0.95)</v>
          </cell>
          <cell r="E644">
            <v>4</v>
          </cell>
          <cell r="F644" t="str">
            <v>EA</v>
          </cell>
          <cell r="G644">
            <v>562000</v>
          </cell>
          <cell r="H644">
            <v>2248000</v>
          </cell>
        </row>
        <row r="645">
          <cell r="B645" t="str">
            <v>k.</v>
          </cell>
          <cell r="C645" t="str">
            <v>이정표지</v>
          </cell>
          <cell r="D645" t="str">
            <v>(지명둘,2.35×1.6)</v>
          </cell>
          <cell r="E645">
            <v>7</v>
          </cell>
          <cell r="F645" t="str">
            <v>EA</v>
          </cell>
          <cell r="G645">
            <v>720000</v>
          </cell>
          <cell r="H645">
            <v>5040000</v>
          </cell>
        </row>
        <row r="646">
          <cell r="B646" t="str">
            <v>l.</v>
          </cell>
          <cell r="C646" t="str">
            <v>눈비올때, 이상기후시</v>
          </cell>
          <cell r="D646" t="str">
            <v>(2.6×1.45)</v>
          </cell>
          <cell r="E646">
            <v>4</v>
          </cell>
          <cell r="F646" t="str">
            <v>EA</v>
          </cell>
          <cell r="G646">
            <v>750000</v>
          </cell>
          <cell r="H646">
            <v>3000000</v>
          </cell>
        </row>
        <row r="647">
          <cell r="B647" t="str">
            <v>m.</v>
          </cell>
          <cell r="C647" t="str">
            <v>터널예고표시</v>
          </cell>
          <cell r="D647" t="str">
            <v>(3.4×2.25,3.5×0.9)</v>
          </cell>
          <cell r="E647">
            <v>2</v>
          </cell>
          <cell r="F647" t="str">
            <v>EA</v>
          </cell>
          <cell r="G647">
            <v>1520000</v>
          </cell>
          <cell r="H647">
            <v>3040000</v>
          </cell>
        </row>
        <row r="648">
          <cell r="B648" t="str">
            <v>n.</v>
          </cell>
          <cell r="C648" t="str">
            <v>오르막차선</v>
          </cell>
          <cell r="D648" t="str">
            <v>(내민식,2.4x0.95)</v>
          </cell>
          <cell r="E648">
            <v>2</v>
          </cell>
          <cell r="F648" t="str">
            <v>EA</v>
          </cell>
          <cell r="G648">
            <v>1290000</v>
          </cell>
          <cell r="H648">
            <v>2580000</v>
          </cell>
        </row>
        <row r="649">
          <cell r="B649" t="str">
            <v>o.</v>
          </cell>
          <cell r="C649" t="str">
            <v>운행제한과적검문소</v>
          </cell>
          <cell r="D649" t="str">
            <v>(2.4x1.45,내민식)</v>
          </cell>
          <cell r="E649">
            <v>6</v>
          </cell>
          <cell r="F649" t="str">
            <v>EA</v>
          </cell>
          <cell r="G649">
            <v>1400000</v>
          </cell>
          <cell r="H649">
            <v>8400000</v>
          </cell>
        </row>
        <row r="650">
          <cell r="B650" t="str">
            <v>p.</v>
          </cell>
          <cell r="C650" t="str">
            <v>과적차량차선유도표지</v>
          </cell>
          <cell r="D650" t="str">
            <v>(2.4x1.45x2EA내민식)</v>
          </cell>
          <cell r="E650">
            <v>2</v>
          </cell>
          <cell r="F650" t="str">
            <v>EA</v>
          </cell>
          <cell r="G650">
            <v>1400000</v>
          </cell>
          <cell r="H650">
            <v>2800000</v>
          </cell>
        </row>
        <row r="651">
          <cell r="B651" t="str">
            <v>q.</v>
          </cell>
          <cell r="C651" t="str">
            <v>3방향예고표지</v>
          </cell>
          <cell r="D651" t="str">
            <v>(3.85x1.9,내민식)</v>
          </cell>
          <cell r="E651">
            <v>6</v>
          </cell>
          <cell r="F651" t="str">
            <v>EA</v>
          </cell>
          <cell r="G651">
            <v>1700000</v>
          </cell>
          <cell r="H651">
            <v>10200000</v>
          </cell>
        </row>
        <row r="652">
          <cell r="B652" t="str">
            <v>r.</v>
          </cell>
          <cell r="C652" t="str">
            <v>2방향표지판</v>
          </cell>
          <cell r="D652" t="str">
            <v>(2.5x1.75,내민식)</v>
          </cell>
          <cell r="E652">
            <v>22</v>
          </cell>
          <cell r="F652" t="str">
            <v>EA</v>
          </cell>
          <cell r="G652">
            <v>1500000</v>
          </cell>
          <cell r="H652">
            <v>33000000</v>
          </cell>
        </row>
        <row r="653">
          <cell r="B653" t="str">
            <v>s.</v>
          </cell>
          <cell r="C653" t="str">
            <v>2방향표지판</v>
          </cell>
          <cell r="D653" t="str">
            <v>(2.5x1.75,내민식)</v>
          </cell>
          <cell r="E653">
            <v>6</v>
          </cell>
          <cell r="F653" t="str">
            <v>EA</v>
          </cell>
          <cell r="G653">
            <v>1500000</v>
          </cell>
          <cell r="H653">
            <v>9000000</v>
          </cell>
        </row>
        <row r="654">
          <cell r="B654" t="str">
            <v>3)</v>
          </cell>
          <cell r="C654" t="str">
            <v>가드레일</v>
          </cell>
          <cell r="H654">
            <v>0</v>
          </cell>
        </row>
        <row r="655">
          <cell r="B655" t="str">
            <v>가.</v>
          </cell>
          <cell r="C655" t="str">
            <v>표준 레일</v>
          </cell>
          <cell r="E655">
            <v>5526</v>
          </cell>
          <cell r="F655" t="str">
            <v>EA</v>
          </cell>
          <cell r="G655">
            <v>55000</v>
          </cell>
          <cell r="H655">
            <v>303930000</v>
          </cell>
        </row>
        <row r="656">
          <cell r="B656" t="str">
            <v>나.</v>
          </cell>
          <cell r="C656" t="str">
            <v>단부 레일</v>
          </cell>
          <cell r="E656">
            <v>141</v>
          </cell>
          <cell r="F656" t="str">
            <v>EA</v>
          </cell>
          <cell r="G656">
            <v>20000</v>
          </cell>
          <cell r="H656">
            <v>2820000</v>
          </cell>
        </row>
        <row r="657">
          <cell r="B657" t="str">
            <v>다.</v>
          </cell>
          <cell r="C657" t="str">
            <v>레일포스트</v>
          </cell>
          <cell r="D657" t="str">
            <v>(L=2.2m)</v>
          </cell>
          <cell r="E657">
            <v>5572</v>
          </cell>
          <cell r="F657" t="str">
            <v>EA</v>
          </cell>
          <cell r="G657">
            <v>37000</v>
          </cell>
          <cell r="H657">
            <v>206164000</v>
          </cell>
        </row>
        <row r="658">
          <cell r="B658" t="str">
            <v>라.</v>
          </cell>
          <cell r="C658" t="str">
            <v>단부콘크리트</v>
          </cell>
          <cell r="E658">
            <v>49</v>
          </cell>
          <cell r="F658" t="str">
            <v>EA</v>
          </cell>
          <cell r="G658">
            <v>45000</v>
          </cell>
          <cell r="H658">
            <v>2205000</v>
          </cell>
        </row>
        <row r="659">
          <cell r="B659" t="str">
            <v>4)</v>
          </cell>
          <cell r="C659" t="str">
            <v>데리네이타</v>
          </cell>
          <cell r="H659">
            <v>0</v>
          </cell>
        </row>
        <row r="660">
          <cell r="B660" t="str">
            <v>가.</v>
          </cell>
          <cell r="C660" t="str">
            <v>데리네이타</v>
          </cell>
          <cell r="D660" t="str">
            <v>(중분대구체용)</v>
          </cell>
          <cell r="E660">
            <v>344</v>
          </cell>
          <cell r="F660" t="str">
            <v>EA</v>
          </cell>
          <cell r="G660">
            <v>15000</v>
          </cell>
          <cell r="H660">
            <v>5160000</v>
          </cell>
        </row>
        <row r="661">
          <cell r="B661" t="str">
            <v>나.</v>
          </cell>
          <cell r="C661" t="str">
            <v>데리네이타</v>
          </cell>
          <cell r="D661" t="str">
            <v>(중분대단부용)</v>
          </cell>
          <cell r="E661">
            <v>9</v>
          </cell>
          <cell r="F661" t="str">
            <v>EA</v>
          </cell>
          <cell r="G661">
            <v>16000</v>
          </cell>
          <cell r="H661">
            <v>144000</v>
          </cell>
        </row>
        <row r="662">
          <cell r="B662" t="str">
            <v>다.</v>
          </cell>
          <cell r="C662" t="str">
            <v>데리네이터</v>
          </cell>
          <cell r="D662" t="str">
            <v>(가드레일용)</v>
          </cell>
          <cell r="E662">
            <v>679</v>
          </cell>
          <cell r="F662" t="str">
            <v>EA</v>
          </cell>
          <cell r="G662">
            <v>20000</v>
          </cell>
          <cell r="H662">
            <v>13580000</v>
          </cell>
        </row>
        <row r="663">
          <cell r="B663" t="str">
            <v>라.</v>
          </cell>
          <cell r="C663" t="str">
            <v>데리네이터</v>
          </cell>
          <cell r="D663" t="str">
            <v>(교량용)</v>
          </cell>
          <cell r="E663">
            <v>75</v>
          </cell>
          <cell r="F663" t="str">
            <v>EA</v>
          </cell>
          <cell r="G663">
            <v>21000</v>
          </cell>
          <cell r="H663">
            <v>1575000</v>
          </cell>
        </row>
        <row r="664">
          <cell r="B664" t="str">
            <v>마.</v>
          </cell>
          <cell r="C664" t="str">
            <v>데리네이터</v>
          </cell>
          <cell r="D664" t="str">
            <v>(옹벽용)</v>
          </cell>
          <cell r="E664">
            <v>90</v>
          </cell>
          <cell r="F664" t="str">
            <v>EA</v>
          </cell>
          <cell r="G664">
            <v>21000</v>
          </cell>
          <cell r="H664">
            <v>1890000</v>
          </cell>
        </row>
        <row r="665">
          <cell r="B665" t="str">
            <v>바.</v>
          </cell>
          <cell r="C665" t="str">
            <v>데리네이타</v>
          </cell>
          <cell r="D665" t="str">
            <v>(토공용가이드포스트)</v>
          </cell>
          <cell r="E665">
            <v>386</v>
          </cell>
          <cell r="F665" t="str">
            <v>EA</v>
          </cell>
          <cell r="G665">
            <v>21000</v>
          </cell>
          <cell r="H665">
            <v>8106000</v>
          </cell>
        </row>
        <row r="666">
          <cell r="B666" t="str">
            <v>사.</v>
          </cell>
          <cell r="C666" t="str">
            <v>소분리대반사판</v>
          </cell>
          <cell r="E666">
            <v>6</v>
          </cell>
          <cell r="F666" t="str">
            <v>EA</v>
          </cell>
          <cell r="G666">
            <v>168000</v>
          </cell>
          <cell r="H666">
            <v>1008000</v>
          </cell>
        </row>
        <row r="667">
          <cell r="B667" t="str">
            <v>아.</v>
          </cell>
          <cell r="C667" t="str">
            <v>갈매기표지판</v>
          </cell>
          <cell r="D667" t="str">
            <v>(양면)</v>
          </cell>
          <cell r="E667">
            <v>64</v>
          </cell>
          <cell r="F667" t="str">
            <v>EA</v>
          </cell>
          <cell r="G667">
            <v>181000</v>
          </cell>
          <cell r="H667">
            <v>11584000</v>
          </cell>
        </row>
        <row r="668">
          <cell r="B668" t="str">
            <v>자.</v>
          </cell>
          <cell r="C668" t="str">
            <v>갈매기표지판</v>
          </cell>
          <cell r="D668" t="str">
            <v>(단면)</v>
          </cell>
          <cell r="E668">
            <v>63</v>
          </cell>
          <cell r="F668" t="str">
            <v>EA</v>
          </cell>
          <cell r="G668">
            <v>128000</v>
          </cell>
          <cell r="H668">
            <v>8064000</v>
          </cell>
        </row>
        <row r="669">
          <cell r="B669" t="str">
            <v>카.</v>
          </cell>
          <cell r="C669" t="str">
            <v>도로표지병</v>
          </cell>
          <cell r="E669">
            <v>1105</v>
          </cell>
          <cell r="F669" t="str">
            <v>EA</v>
          </cell>
          <cell r="G669">
            <v>18000</v>
          </cell>
          <cell r="H669">
            <v>19890000</v>
          </cell>
        </row>
        <row r="670">
          <cell r="B670" t="str">
            <v>5)</v>
          </cell>
          <cell r="C670" t="str">
            <v>중앙분리대</v>
          </cell>
          <cell r="H670">
            <v>0</v>
          </cell>
        </row>
        <row r="671">
          <cell r="B671" t="str">
            <v>가.</v>
          </cell>
          <cell r="C671" t="str">
            <v>중앙분리대</v>
          </cell>
          <cell r="E671">
            <v>11679</v>
          </cell>
          <cell r="F671" t="str">
            <v>M</v>
          </cell>
          <cell r="G671">
            <v>5500</v>
          </cell>
          <cell r="H671">
            <v>64234500</v>
          </cell>
        </row>
        <row r="672">
          <cell r="B672" t="str">
            <v>나.</v>
          </cell>
          <cell r="C672" t="str">
            <v>중앙분리대</v>
          </cell>
          <cell r="D672" t="str">
            <v>(단부)</v>
          </cell>
          <cell r="E672">
            <v>9</v>
          </cell>
          <cell r="F672" t="str">
            <v>개소</v>
          </cell>
          <cell r="G672">
            <v>16000</v>
          </cell>
          <cell r="H672">
            <v>144000</v>
          </cell>
        </row>
        <row r="673">
          <cell r="B673" t="str">
            <v>다.</v>
          </cell>
          <cell r="C673" t="str">
            <v>중앙분리대</v>
          </cell>
          <cell r="D673" t="str">
            <v>(개구부)</v>
          </cell>
          <cell r="E673">
            <v>9</v>
          </cell>
          <cell r="F673" t="str">
            <v>개소</v>
          </cell>
          <cell r="G673">
            <v>28000</v>
          </cell>
          <cell r="H673">
            <v>252000</v>
          </cell>
        </row>
        <row r="674">
          <cell r="B674" t="str">
            <v>라.</v>
          </cell>
          <cell r="C674" t="str">
            <v>중앙분리대</v>
          </cell>
          <cell r="D674" t="str">
            <v>(조인트 마감처리)</v>
          </cell>
          <cell r="E674">
            <v>375</v>
          </cell>
          <cell r="F674" t="str">
            <v>EA</v>
          </cell>
          <cell r="G674">
            <v>1000</v>
          </cell>
          <cell r="H674">
            <v>375000</v>
          </cell>
        </row>
        <row r="675">
          <cell r="B675" t="str">
            <v>마.</v>
          </cell>
          <cell r="C675" t="str">
            <v>중앙분리대</v>
          </cell>
          <cell r="D675" t="str">
            <v>(램프토공용)</v>
          </cell>
          <cell r="E675">
            <v>406</v>
          </cell>
          <cell r="F675" t="str">
            <v>M</v>
          </cell>
          <cell r="G675">
            <v>3000</v>
          </cell>
          <cell r="H675">
            <v>1218000</v>
          </cell>
        </row>
        <row r="676">
          <cell r="B676" t="str">
            <v>바.</v>
          </cell>
          <cell r="C676" t="str">
            <v>중앙분리대차광망</v>
          </cell>
          <cell r="E676">
            <v>3358</v>
          </cell>
          <cell r="F676" t="str">
            <v>M</v>
          </cell>
          <cell r="G676">
            <v>22000</v>
          </cell>
          <cell r="H676">
            <v>73876000</v>
          </cell>
        </row>
        <row r="677">
          <cell r="B677" t="str">
            <v>6)</v>
          </cell>
          <cell r="C677" t="str">
            <v>낙석방지공</v>
          </cell>
          <cell r="H677">
            <v>0</v>
          </cell>
        </row>
        <row r="678">
          <cell r="B678" t="str">
            <v>가.</v>
          </cell>
          <cell r="C678" t="str">
            <v>낙석방책</v>
          </cell>
          <cell r="D678" t="str">
            <v>(표준구간)</v>
          </cell>
          <cell r="E678">
            <v>2290</v>
          </cell>
          <cell r="F678" t="str">
            <v>M</v>
          </cell>
          <cell r="G678">
            <v>53000</v>
          </cell>
          <cell r="H678">
            <v>121370000</v>
          </cell>
        </row>
        <row r="679">
          <cell r="B679" t="str">
            <v>나.</v>
          </cell>
          <cell r="C679" t="str">
            <v>낙석방책</v>
          </cell>
          <cell r="D679" t="str">
            <v>(단부)</v>
          </cell>
          <cell r="E679">
            <v>58</v>
          </cell>
          <cell r="F679" t="str">
            <v>EA</v>
          </cell>
          <cell r="G679">
            <v>130000</v>
          </cell>
          <cell r="H679">
            <v>7540000</v>
          </cell>
        </row>
        <row r="680">
          <cell r="B680" t="str">
            <v>다.</v>
          </cell>
          <cell r="C680" t="str">
            <v>낙석방지망</v>
          </cell>
          <cell r="E680">
            <v>35840</v>
          </cell>
          <cell r="F680" t="str">
            <v>M2</v>
          </cell>
          <cell r="G680">
            <v>18000</v>
          </cell>
          <cell r="H680">
            <v>645120000</v>
          </cell>
        </row>
        <row r="681">
          <cell r="B681" t="str">
            <v>8)</v>
          </cell>
          <cell r="C681" t="str">
            <v>미끄럼방지시설</v>
          </cell>
          <cell r="E681">
            <v>1578</v>
          </cell>
          <cell r="F681" t="str">
            <v>M2</v>
          </cell>
          <cell r="G681">
            <v>32000</v>
          </cell>
          <cell r="H681">
            <v>50496000</v>
          </cell>
        </row>
        <row r="682">
          <cell r="B682" t="str">
            <v>7.</v>
          </cell>
          <cell r="C682" t="str">
            <v>부대공</v>
          </cell>
          <cell r="H682">
            <v>9616005090</v>
          </cell>
        </row>
        <row r="683">
          <cell r="B683" t="str">
            <v>1)</v>
          </cell>
          <cell r="C683" t="str">
            <v>방음벽</v>
          </cell>
          <cell r="H683">
            <v>0</v>
          </cell>
        </row>
        <row r="684">
          <cell r="B684" t="str">
            <v>가.</v>
          </cell>
          <cell r="C684" t="str">
            <v>방음벽</v>
          </cell>
          <cell r="D684" t="str">
            <v>토공용(H=1.6M)</v>
          </cell>
          <cell r="E684">
            <v>396</v>
          </cell>
          <cell r="F684" t="str">
            <v>M</v>
          </cell>
          <cell r="G684">
            <v>370000</v>
          </cell>
          <cell r="H684">
            <v>146520000</v>
          </cell>
        </row>
        <row r="685">
          <cell r="B685" t="str">
            <v>나.</v>
          </cell>
          <cell r="C685" t="str">
            <v>방음벽</v>
          </cell>
          <cell r="D685" t="str">
            <v>토공용(H=2.0M)</v>
          </cell>
          <cell r="E685">
            <v>200</v>
          </cell>
          <cell r="F685" t="str">
            <v>M</v>
          </cell>
          <cell r="G685">
            <v>415000</v>
          </cell>
          <cell r="H685">
            <v>83000000</v>
          </cell>
        </row>
        <row r="686">
          <cell r="B686" t="str">
            <v>다.</v>
          </cell>
          <cell r="C686" t="str">
            <v>방음벽</v>
          </cell>
          <cell r="D686" t="str">
            <v>토공용(H=3.2M)</v>
          </cell>
          <cell r="E686">
            <v>76</v>
          </cell>
          <cell r="F686" t="str">
            <v>M</v>
          </cell>
          <cell r="G686">
            <v>550000</v>
          </cell>
          <cell r="H686">
            <v>41800000</v>
          </cell>
        </row>
        <row r="687">
          <cell r="B687" t="str">
            <v>라.</v>
          </cell>
          <cell r="C687" t="str">
            <v>방음벽</v>
          </cell>
          <cell r="D687" t="str">
            <v>교량용(H=1.6M)</v>
          </cell>
          <cell r="E687">
            <v>758</v>
          </cell>
          <cell r="F687" t="str">
            <v>M</v>
          </cell>
          <cell r="G687">
            <v>200000</v>
          </cell>
          <cell r="H687">
            <v>151600000</v>
          </cell>
        </row>
        <row r="688">
          <cell r="B688" t="str">
            <v>2)</v>
          </cell>
          <cell r="C688" t="str">
            <v>비탈면보호공</v>
          </cell>
          <cell r="H688">
            <v>0</v>
          </cell>
        </row>
        <row r="689">
          <cell r="B689" t="str">
            <v>가.</v>
          </cell>
          <cell r="C689" t="str">
            <v>측구터파기</v>
          </cell>
          <cell r="D689" t="str">
            <v>(토사)</v>
          </cell>
          <cell r="E689">
            <v>205</v>
          </cell>
          <cell r="F689" t="str">
            <v>M3</v>
          </cell>
          <cell r="G689">
            <v>3800</v>
          </cell>
          <cell r="H689">
            <v>779000</v>
          </cell>
        </row>
        <row r="690">
          <cell r="B690" t="str">
            <v>나.</v>
          </cell>
          <cell r="C690" t="str">
            <v>되메우기 및 다짐공</v>
          </cell>
          <cell r="D690" t="str">
            <v>(인력10％+기계90％)</v>
          </cell>
          <cell r="E690">
            <v>162</v>
          </cell>
          <cell r="F690" t="str">
            <v>M3</v>
          </cell>
          <cell r="G690">
            <v>2000</v>
          </cell>
          <cell r="H690">
            <v>324000</v>
          </cell>
        </row>
        <row r="691">
          <cell r="B691" t="str">
            <v>다.</v>
          </cell>
          <cell r="C691" t="str">
            <v>합판거푸집</v>
          </cell>
          <cell r="D691" t="str">
            <v>(6회)</v>
          </cell>
          <cell r="E691">
            <v>68</v>
          </cell>
          <cell r="F691" t="str">
            <v>M2</v>
          </cell>
          <cell r="G691">
            <v>11900</v>
          </cell>
          <cell r="H691">
            <v>809200</v>
          </cell>
        </row>
        <row r="692">
          <cell r="B692" t="str">
            <v>라.</v>
          </cell>
          <cell r="C692" t="str">
            <v>콘크리트타설</v>
          </cell>
          <cell r="D692" t="str">
            <v>(무근,진동기제외)</v>
          </cell>
          <cell r="E692">
            <v>30</v>
          </cell>
          <cell r="F692" t="str">
            <v>M3</v>
          </cell>
          <cell r="G692">
            <v>17000</v>
          </cell>
          <cell r="H692">
            <v>510000</v>
          </cell>
        </row>
        <row r="693">
          <cell r="B693" t="str">
            <v>마.</v>
          </cell>
          <cell r="C693" t="str">
            <v>호안블록</v>
          </cell>
          <cell r="D693" t="str">
            <v>(400x400x100)</v>
          </cell>
          <cell r="E693">
            <v>652</v>
          </cell>
          <cell r="F693" t="str">
            <v>M2</v>
          </cell>
          <cell r="G693">
            <v>24000</v>
          </cell>
          <cell r="H693">
            <v>15648000</v>
          </cell>
        </row>
        <row r="694">
          <cell r="B694" t="str">
            <v>3)</v>
          </cell>
          <cell r="C694" t="str">
            <v>보도</v>
          </cell>
          <cell r="H694">
            <v>0</v>
          </cell>
        </row>
        <row r="695">
          <cell r="B695" t="str">
            <v>가.</v>
          </cell>
          <cell r="C695" t="str">
            <v>보차도경계블럭</v>
          </cell>
          <cell r="E695">
            <v>20</v>
          </cell>
          <cell r="F695" t="str">
            <v>M</v>
          </cell>
          <cell r="G695">
            <v>17000</v>
          </cell>
          <cell r="H695">
            <v>340000</v>
          </cell>
        </row>
        <row r="696">
          <cell r="B696" t="str">
            <v>나.</v>
          </cell>
          <cell r="C696" t="str">
            <v>보차도경계블럭</v>
          </cell>
          <cell r="D696" t="str">
            <v>(화강석)</v>
          </cell>
          <cell r="E696">
            <v>81</v>
          </cell>
          <cell r="F696" t="str">
            <v>M</v>
          </cell>
          <cell r="G696">
            <v>24000</v>
          </cell>
          <cell r="H696">
            <v>1944000</v>
          </cell>
        </row>
        <row r="697">
          <cell r="B697" t="str">
            <v>다.</v>
          </cell>
          <cell r="C697" t="str">
            <v>도로경계블럭</v>
          </cell>
          <cell r="D697" t="str">
            <v>(150x150x1000)</v>
          </cell>
          <cell r="E697">
            <v>81</v>
          </cell>
          <cell r="F697" t="str">
            <v>M</v>
          </cell>
          <cell r="G697">
            <v>12000</v>
          </cell>
          <cell r="H697">
            <v>972000</v>
          </cell>
        </row>
        <row r="698">
          <cell r="B698" t="str">
            <v>라.</v>
          </cell>
          <cell r="C698" t="str">
            <v>소형 고압블럭포장</v>
          </cell>
          <cell r="D698" t="str">
            <v>(S형)</v>
          </cell>
          <cell r="E698">
            <v>930</v>
          </cell>
          <cell r="F698" t="str">
            <v>M2</v>
          </cell>
          <cell r="G698">
            <v>11000</v>
          </cell>
          <cell r="H698">
            <v>10230000</v>
          </cell>
        </row>
        <row r="699">
          <cell r="B699" t="str">
            <v>4)</v>
          </cell>
          <cell r="C699" t="str">
            <v>세륜세차시설</v>
          </cell>
          <cell r="E699">
            <v>1</v>
          </cell>
          <cell r="F699" t="str">
            <v>식</v>
          </cell>
          <cell r="G699">
            <v>50000000</v>
          </cell>
          <cell r="H699">
            <v>50000000</v>
          </cell>
        </row>
        <row r="700">
          <cell r="B700" t="str">
            <v>5)</v>
          </cell>
          <cell r="C700" t="str">
            <v>암파쇄 방호시설</v>
          </cell>
          <cell r="E700">
            <v>840</v>
          </cell>
          <cell r="F700" t="str">
            <v>M</v>
          </cell>
          <cell r="G700">
            <v>400000</v>
          </cell>
          <cell r="H700">
            <v>336000000</v>
          </cell>
        </row>
        <row r="701">
          <cell r="B701" t="str">
            <v>6)</v>
          </cell>
          <cell r="C701" t="str">
            <v>식재공</v>
          </cell>
          <cell r="E701">
            <v>1</v>
          </cell>
          <cell r="F701" t="str">
            <v>식</v>
          </cell>
          <cell r="G701">
            <v>195000000</v>
          </cell>
          <cell r="H701">
            <v>195000000</v>
          </cell>
        </row>
        <row r="702">
          <cell r="B702" t="str">
            <v>7)</v>
          </cell>
          <cell r="C702" t="str">
            <v>가설사무실</v>
          </cell>
          <cell r="E702">
            <v>1</v>
          </cell>
          <cell r="F702" t="str">
            <v>식</v>
          </cell>
          <cell r="G702">
            <v>107000000</v>
          </cell>
          <cell r="H702">
            <v>107000000</v>
          </cell>
        </row>
        <row r="703">
          <cell r="B703" t="str">
            <v>8)</v>
          </cell>
          <cell r="C703" t="str">
            <v>시험비</v>
          </cell>
          <cell r="E703">
            <v>1</v>
          </cell>
          <cell r="F703" t="str">
            <v>식</v>
          </cell>
          <cell r="G703">
            <v>219000000</v>
          </cell>
          <cell r="H703">
            <v>219000000</v>
          </cell>
        </row>
        <row r="704">
          <cell r="B704" t="str">
            <v>9)</v>
          </cell>
          <cell r="C704" t="str">
            <v>중기 운반비</v>
          </cell>
          <cell r="E704">
            <v>1</v>
          </cell>
          <cell r="F704" t="str">
            <v>식</v>
          </cell>
          <cell r="G704">
            <v>36000000</v>
          </cell>
          <cell r="H704">
            <v>36000000</v>
          </cell>
        </row>
        <row r="705">
          <cell r="B705" t="str">
            <v>10)</v>
          </cell>
          <cell r="C705" t="str">
            <v>준공표지판</v>
          </cell>
          <cell r="E705">
            <v>2</v>
          </cell>
          <cell r="F705" t="str">
            <v>EA</v>
          </cell>
          <cell r="G705">
            <v>1200000</v>
          </cell>
          <cell r="H705">
            <v>2400000</v>
          </cell>
        </row>
        <row r="706">
          <cell r="B706" t="str">
            <v>11)</v>
          </cell>
          <cell r="C706" t="str">
            <v>도로대장(전산화)</v>
          </cell>
          <cell r="E706">
            <v>15.23</v>
          </cell>
          <cell r="F706" t="str">
            <v>M2</v>
          </cell>
          <cell r="G706">
            <v>1700000</v>
          </cell>
          <cell r="H706">
            <v>25891000</v>
          </cell>
        </row>
        <row r="707">
          <cell r="B707" t="str">
            <v>12)</v>
          </cell>
          <cell r="C707" t="str">
            <v>과적검문소관리동</v>
          </cell>
          <cell r="E707">
            <v>1</v>
          </cell>
          <cell r="F707" t="str">
            <v>식</v>
          </cell>
          <cell r="G707">
            <v>48057787</v>
          </cell>
          <cell r="H707">
            <v>48057787</v>
          </cell>
        </row>
        <row r="708">
          <cell r="B708" t="str">
            <v>13)</v>
          </cell>
          <cell r="C708" t="str">
            <v>교통안전시설비</v>
          </cell>
          <cell r="E708">
            <v>1</v>
          </cell>
          <cell r="F708" t="str">
            <v>식</v>
          </cell>
          <cell r="G708">
            <v>2900000</v>
          </cell>
          <cell r="H708">
            <v>2900000</v>
          </cell>
        </row>
        <row r="709">
          <cell r="B709" t="str">
            <v>14)</v>
          </cell>
          <cell r="C709" t="str">
            <v>토질조사비</v>
          </cell>
          <cell r="E709">
            <v>1</v>
          </cell>
          <cell r="F709" t="str">
            <v>식</v>
          </cell>
          <cell r="G709">
            <v>80000000</v>
          </cell>
          <cell r="H709">
            <v>80000000</v>
          </cell>
        </row>
        <row r="710">
          <cell r="B710" t="str">
            <v>15)</v>
          </cell>
          <cell r="C710" t="str">
            <v>토공규준틀</v>
          </cell>
          <cell r="E710">
            <v>1</v>
          </cell>
          <cell r="F710" t="str">
            <v>식</v>
          </cell>
          <cell r="G710">
            <v>13000000</v>
          </cell>
          <cell r="H710">
            <v>13000000</v>
          </cell>
        </row>
        <row r="711">
          <cell r="B711" t="str">
            <v>16)</v>
          </cell>
          <cell r="C711" t="str">
            <v>자재운반</v>
          </cell>
          <cell r="H711">
            <v>0</v>
          </cell>
        </row>
        <row r="712">
          <cell r="B712" t="str">
            <v>가.</v>
          </cell>
          <cell r="C712" t="str">
            <v>시멘트운반</v>
          </cell>
          <cell r="D712" t="str">
            <v>(40kg)</v>
          </cell>
          <cell r="E712">
            <v>113003</v>
          </cell>
          <cell r="F712" t="str">
            <v>대</v>
          </cell>
          <cell r="G712">
            <v>400</v>
          </cell>
          <cell r="H712">
            <v>45201200</v>
          </cell>
        </row>
        <row r="713">
          <cell r="B713" t="str">
            <v>나.</v>
          </cell>
          <cell r="C713" t="str">
            <v>철근 운반</v>
          </cell>
          <cell r="E713">
            <v>11880.52</v>
          </cell>
          <cell r="F713" t="str">
            <v>TON</v>
          </cell>
          <cell r="G713">
            <v>8800</v>
          </cell>
          <cell r="H713">
            <v>104548576</v>
          </cell>
        </row>
        <row r="714">
          <cell r="B714" t="str">
            <v>다.</v>
          </cell>
          <cell r="C714" t="str">
            <v>아스팔트</v>
          </cell>
          <cell r="E714">
            <v>762</v>
          </cell>
          <cell r="F714" t="str">
            <v>D/M</v>
          </cell>
          <cell r="G714">
            <v>2000</v>
          </cell>
          <cell r="H714">
            <v>1524000</v>
          </cell>
        </row>
        <row r="715">
          <cell r="B715" t="str">
            <v>17)</v>
          </cell>
          <cell r="C715" t="str">
            <v>사급자재대</v>
          </cell>
          <cell r="H715">
            <v>0</v>
          </cell>
        </row>
        <row r="716">
          <cell r="B716" t="str">
            <v>가.</v>
          </cell>
          <cell r="C716" t="str">
            <v>시멘트</v>
          </cell>
          <cell r="D716" t="str">
            <v>(40kg/대)</v>
          </cell>
          <cell r="E716">
            <v>113003</v>
          </cell>
          <cell r="F716" t="str">
            <v>대</v>
          </cell>
          <cell r="G716">
            <v>1850</v>
          </cell>
          <cell r="H716">
            <v>209055550</v>
          </cell>
        </row>
        <row r="717">
          <cell r="B717" t="str">
            <v>나.</v>
          </cell>
          <cell r="C717" t="str">
            <v>시멘트</v>
          </cell>
          <cell r="D717" t="str">
            <v>분말</v>
          </cell>
          <cell r="E717">
            <v>67434</v>
          </cell>
          <cell r="F717" t="str">
            <v>TON</v>
          </cell>
          <cell r="G717">
            <v>42757</v>
          </cell>
          <cell r="H717">
            <v>2883275538</v>
          </cell>
        </row>
        <row r="718">
          <cell r="B718" t="str">
            <v>나.</v>
          </cell>
          <cell r="C718" t="str">
            <v>아스팔트.</v>
          </cell>
          <cell r="D718" t="str">
            <v>RSC-4</v>
          </cell>
          <cell r="E718">
            <v>402</v>
          </cell>
          <cell r="F718" t="str">
            <v>D/M</v>
          </cell>
          <cell r="G718">
            <v>38000</v>
          </cell>
          <cell r="H718">
            <v>15276000</v>
          </cell>
        </row>
        <row r="719">
          <cell r="B719" t="str">
            <v>다.</v>
          </cell>
          <cell r="C719" t="str">
            <v>아스팔트.</v>
          </cell>
          <cell r="D719" t="str">
            <v>MC-1</v>
          </cell>
          <cell r="E719">
            <v>360</v>
          </cell>
          <cell r="F719" t="str">
            <v>D/M</v>
          </cell>
          <cell r="G719">
            <v>41000</v>
          </cell>
          <cell r="H719">
            <v>14760000</v>
          </cell>
        </row>
        <row r="720">
          <cell r="B720" t="str">
            <v>라.</v>
          </cell>
          <cell r="C720" t="str">
            <v>콘크리트포장용줄눈</v>
          </cell>
          <cell r="H720">
            <v>0</v>
          </cell>
        </row>
        <row r="721">
          <cell r="B721" t="str">
            <v>a.</v>
          </cell>
          <cell r="C721" t="str">
            <v>형식2-1</v>
          </cell>
          <cell r="E721">
            <v>21073</v>
          </cell>
          <cell r="F721" t="str">
            <v>M</v>
          </cell>
          <cell r="G721">
            <v>12295</v>
          </cell>
          <cell r="H721">
            <v>259092535</v>
          </cell>
        </row>
        <row r="722">
          <cell r="B722" t="str">
            <v>b.</v>
          </cell>
          <cell r="C722" t="str">
            <v>형식2-2</v>
          </cell>
          <cell r="E722">
            <v>16866</v>
          </cell>
          <cell r="F722" t="str">
            <v>M</v>
          </cell>
          <cell r="G722">
            <v>9845</v>
          </cell>
          <cell r="H722">
            <v>166045770</v>
          </cell>
        </row>
        <row r="723">
          <cell r="B723" t="str">
            <v>c.</v>
          </cell>
          <cell r="C723" t="str">
            <v>형식2-3</v>
          </cell>
          <cell r="E723">
            <v>238</v>
          </cell>
          <cell r="F723" t="str">
            <v>M</v>
          </cell>
          <cell r="G723">
            <v>12610</v>
          </cell>
          <cell r="H723">
            <v>3001180</v>
          </cell>
        </row>
        <row r="724">
          <cell r="B724" t="str">
            <v>d.</v>
          </cell>
          <cell r="C724" t="str">
            <v>형식2-4</v>
          </cell>
          <cell r="E724">
            <v>212</v>
          </cell>
          <cell r="F724" t="str">
            <v>M</v>
          </cell>
          <cell r="G724">
            <v>9995</v>
          </cell>
          <cell r="H724">
            <v>2118940</v>
          </cell>
        </row>
        <row r="725">
          <cell r="B725" t="str">
            <v>e.</v>
          </cell>
          <cell r="C725" t="str">
            <v>형식3-1</v>
          </cell>
          <cell r="E725">
            <v>311</v>
          </cell>
          <cell r="F725" t="str">
            <v>M</v>
          </cell>
          <cell r="G725">
            <v>13707</v>
          </cell>
          <cell r="H725">
            <v>4262877</v>
          </cell>
        </row>
        <row r="726">
          <cell r="B726" t="str">
            <v>f.</v>
          </cell>
          <cell r="C726" t="str">
            <v>형식3-2</v>
          </cell>
          <cell r="E726">
            <v>282</v>
          </cell>
          <cell r="F726" t="str">
            <v>M</v>
          </cell>
          <cell r="G726">
            <v>10970</v>
          </cell>
          <cell r="H726">
            <v>3093540</v>
          </cell>
        </row>
        <row r="727">
          <cell r="B727" t="str">
            <v>g.</v>
          </cell>
          <cell r="C727" t="str">
            <v>형식3-3</v>
          </cell>
          <cell r="E727">
            <v>239</v>
          </cell>
          <cell r="F727" t="str">
            <v>M</v>
          </cell>
          <cell r="G727">
            <v>36840</v>
          </cell>
          <cell r="H727">
            <v>8804760</v>
          </cell>
        </row>
        <row r="728">
          <cell r="B728" t="str">
            <v>h.</v>
          </cell>
          <cell r="C728" t="str">
            <v>형식3-4</v>
          </cell>
          <cell r="E728">
            <v>212</v>
          </cell>
          <cell r="F728" t="str">
            <v>M</v>
          </cell>
          <cell r="G728">
            <v>35100</v>
          </cell>
          <cell r="H728">
            <v>7441200</v>
          </cell>
        </row>
        <row r="729">
          <cell r="B729" t="str">
            <v>i.</v>
          </cell>
          <cell r="C729" t="str">
            <v>형식3-6</v>
          </cell>
          <cell r="E729">
            <v>48</v>
          </cell>
          <cell r="F729" t="str">
            <v>M</v>
          </cell>
          <cell r="G729">
            <v>13789</v>
          </cell>
          <cell r="H729">
            <v>661872</v>
          </cell>
        </row>
        <row r="730">
          <cell r="B730" t="str">
            <v>j.</v>
          </cell>
          <cell r="C730" t="str">
            <v>형식3-7</v>
          </cell>
          <cell r="E730">
            <v>24</v>
          </cell>
          <cell r="F730" t="str">
            <v>M</v>
          </cell>
          <cell r="G730">
            <v>10857</v>
          </cell>
          <cell r="H730">
            <v>260568</v>
          </cell>
        </row>
        <row r="731">
          <cell r="B731" t="str">
            <v>마.</v>
          </cell>
          <cell r="C731" t="str">
            <v>레미콘</v>
          </cell>
          <cell r="H731">
            <v>0</v>
          </cell>
        </row>
        <row r="732">
          <cell r="B732" t="str">
            <v>a.</v>
          </cell>
          <cell r="C732" t="str">
            <v>레미콘</v>
          </cell>
          <cell r="D732" t="str">
            <v>25-210-8</v>
          </cell>
          <cell r="E732">
            <v>9622</v>
          </cell>
          <cell r="F732" t="str">
            <v>M3</v>
          </cell>
          <cell r="G732">
            <v>52070</v>
          </cell>
          <cell r="H732">
            <v>501017540</v>
          </cell>
        </row>
        <row r="733">
          <cell r="B733" t="str">
            <v>b.</v>
          </cell>
          <cell r="C733" t="str">
            <v>레미콘</v>
          </cell>
          <cell r="D733" t="str">
            <v>40-210-8</v>
          </cell>
          <cell r="E733">
            <v>8268</v>
          </cell>
          <cell r="F733" t="str">
            <v>M3</v>
          </cell>
          <cell r="G733">
            <v>48072</v>
          </cell>
          <cell r="H733">
            <v>397459296</v>
          </cell>
        </row>
        <row r="734">
          <cell r="B734" t="str">
            <v>c.</v>
          </cell>
          <cell r="C734" t="str">
            <v>레미콘</v>
          </cell>
          <cell r="D734" t="str">
            <v>50-150-8</v>
          </cell>
          <cell r="E734">
            <v>5193</v>
          </cell>
          <cell r="F734" t="str">
            <v>M3</v>
          </cell>
          <cell r="G734">
            <v>39445</v>
          </cell>
          <cell r="H734">
            <v>204837885</v>
          </cell>
        </row>
        <row r="735">
          <cell r="B735" t="str">
            <v>자.</v>
          </cell>
          <cell r="C735" t="str">
            <v>철근</v>
          </cell>
          <cell r="H735">
            <v>0</v>
          </cell>
        </row>
        <row r="736">
          <cell r="C736" t="str">
            <v>철근</v>
          </cell>
          <cell r="D736" t="str">
            <v>연강 D10 m/m</v>
          </cell>
          <cell r="E736">
            <v>88.224000000000004</v>
          </cell>
          <cell r="F736" t="str">
            <v>TON</v>
          </cell>
          <cell r="G736">
            <v>277568</v>
          </cell>
          <cell r="H736">
            <v>24488159</v>
          </cell>
        </row>
        <row r="737">
          <cell r="C737" t="str">
            <v>철근</v>
          </cell>
          <cell r="D737" t="str">
            <v>연강 D13 m/m</v>
          </cell>
          <cell r="E737">
            <v>1037.7170000000001</v>
          </cell>
          <cell r="F737" t="str">
            <v>TON</v>
          </cell>
          <cell r="G737">
            <v>274296</v>
          </cell>
          <cell r="H737">
            <v>284641622</v>
          </cell>
        </row>
        <row r="738">
          <cell r="C738" t="str">
            <v>철근</v>
          </cell>
          <cell r="D738" t="str">
            <v>연강 D16-32 m/m</v>
          </cell>
          <cell r="E738">
            <v>7618.0969999999998</v>
          </cell>
          <cell r="F738" t="str">
            <v>TON</v>
          </cell>
          <cell r="G738">
            <v>269126</v>
          </cell>
          <cell r="H738">
            <v>2050227973</v>
          </cell>
        </row>
        <row r="739">
          <cell r="C739" t="str">
            <v>철근</v>
          </cell>
          <cell r="D739" t="str">
            <v>고강 H13 m/m</v>
          </cell>
          <cell r="E739">
            <v>138.34200000000001</v>
          </cell>
          <cell r="F739" t="str">
            <v>TON</v>
          </cell>
          <cell r="G739">
            <v>284748</v>
          </cell>
          <cell r="H739">
            <v>39392607</v>
          </cell>
        </row>
        <row r="740">
          <cell r="C740" t="str">
            <v>철근</v>
          </cell>
          <cell r="D740" t="str">
            <v>고강 H16-32 m/m</v>
          </cell>
          <cell r="E740">
            <v>2998.14</v>
          </cell>
          <cell r="F740" t="str">
            <v>TON</v>
          </cell>
          <cell r="G740">
            <v>279024</v>
          </cell>
          <cell r="H740">
            <v>836553015</v>
          </cell>
        </row>
        <row r="741">
          <cell r="B741" t="str">
            <v>18)</v>
          </cell>
          <cell r="C741" t="str">
            <v>공제대</v>
          </cell>
          <cell r="E741">
            <v>346.03500000000003</v>
          </cell>
          <cell r="F741" t="str">
            <v>TON</v>
          </cell>
          <cell r="G741">
            <v>-60000</v>
          </cell>
          <cell r="H741">
            <v>-20762100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ay Certificate"/>
      <sheetName val="Payment Detail"/>
      <sheetName val="Summary "/>
      <sheetName val="BOQ"/>
      <sheetName val="Back up sheet cover"/>
      <sheetName val="Type A acomm"/>
      <sheetName val="Type B acomm"/>
      <sheetName val="Sur-Equpment"/>
      <sheetName val="Mobile charge 7.0"/>
      <sheetName val="Computer Provision"/>
      <sheetName val=" Vehicle Provision 8(a) (2)"/>
      <sheetName val=" Vehicle service 8(a)"/>
      <sheetName val="Clearing &amp; grubbing"/>
      <sheetName val="Channel Excavation"/>
      <sheetName val="culvert excv soft)"/>
      <sheetName val="culvert excv(hard)"/>
      <sheetName val="Backfill"/>
      <sheetName val="Pipe 36 inch"/>
      <sheetName val="Pipe 48 inch "/>
      <sheetName val="Class A for Slab"/>
      <sheetName val=" Rebar for Culverts"/>
      <sheetName val="Pipe Paved ww"/>
      <sheetName val="Paved ditch"/>
      <sheetName val=" Stone Masonary(class&quot;B&quot; Minor"/>
      <sheetName val="Subgrade preparat."/>
      <sheetName val="Cut to fill "/>
      <sheetName val="Borrow to fill"/>
      <sheetName val="Layer 2 (G20) "/>
      <sheetName val="Layer 3 (G7)"/>
      <sheetName val="cut to spoil common"/>
      <sheetName val="Rock excavation"/>
      <sheetName val="Inter. excavation"/>
      <sheetName val=" Bridge Structural soft  exca "/>
      <sheetName val=" bridge structural hard Exca"/>
      <sheetName val="Hand Laid"/>
      <sheetName val="formwork for footing"/>
      <sheetName val=" Rebar for bridge "/>
      <sheetName val="Class A Concrete Brdg C-30"/>
      <sheetName val="Class A Concrete Brdg C-25"/>
      <sheetName val="Class A Concrete Brdg C-20"/>
      <sheetName val="Class 5 Concrete"/>
      <sheetName val="Bearing"/>
      <sheetName val="Hand Rail"/>
      <sheetName val=" Stone Masonary(class&quot;B&quot;Major"/>
      <sheetName val="Pointing"/>
      <sheetName val="Measurement sheet cover "/>
      <sheetName val="Mesurement of Clearing &amp; Grubbi"/>
      <sheetName val="G20  Measurement"/>
      <sheetName val="G7 Measurement"/>
      <sheetName val="Common Excav Measur (2)"/>
      <sheetName val="Subgrade preparat. measure "/>
      <sheetName val="cut to fill measurement"/>
      <sheetName val="Borrow to fill measur."/>
      <sheetName val="Layer 3 (G7) measur."/>
      <sheetName val="Inter Excavation Measurement"/>
      <sheetName val="rock Excavation Measureme "/>
      <sheetName val="Girder@2+695"/>
      <sheetName val="Slab bridge@7+660"/>
      <sheetName val="Slab culvert@6+441"/>
      <sheetName val="Pointing Girder@2+695 "/>
      <sheetName val="Pointing Slab bridge@7+660"/>
      <sheetName val="Pointing Slab culvert@6+441"/>
      <sheetName val="Pointing Slab culvert@5+468 "/>
      <sheetName val="Slab culvert@6+441 (Back Fill)"/>
      <sheetName val="Sheet1"/>
    </sheetNames>
    <sheetDataSet>
      <sheetData sheetId="0"/>
      <sheetData sheetId="1"/>
      <sheetData sheetId="2"/>
      <sheetData sheetId="3">
        <row r="25">
          <cell r="M25">
            <v>116060776.23947129</v>
          </cell>
          <cell r="R25">
            <v>119244740.72947128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5"/>
  <sheetViews>
    <sheetView view="pageBreakPreview" topLeftCell="A37" zoomScaleNormal="100" zoomScaleSheetLayoutView="100" workbookViewId="0">
      <selection activeCell="D39" sqref="D39:G39"/>
    </sheetView>
  </sheetViews>
  <sheetFormatPr defaultColWidth="9.140625" defaultRowHeight="15"/>
  <cols>
    <col min="1" max="1" width="13.42578125" style="2395" customWidth="1"/>
    <col min="2" max="2" width="7" style="2395" customWidth="1"/>
    <col min="3" max="3" width="9.140625" style="2395" bestFit="1" customWidth="1"/>
    <col min="4" max="4" width="6.28515625" style="2395" customWidth="1"/>
    <col min="5" max="5" width="4.140625" style="2395" customWidth="1"/>
    <col min="6" max="12" width="3.7109375" style="2395" customWidth="1"/>
    <col min="13" max="13" width="10" style="2395" customWidth="1"/>
    <col min="14" max="14" width="3.7109375" style="2395" customWidth="1"/>
    <col min="15" max="15" width="5" style="2395" customWidth="1"/>
    <col min="16" max="16" width="3.7109375" style="2395" customWidth="1"/>
    <col min="17" max="17" width="4.42578125" style="2395" customWidth="1"/>
    <col min="18" max="18" width="3.7109375" style="2395" customWidth="1"/>
    <col min="19" max="19" width="5.140625" style="2395" customWidth="1"/>
    <col min="20" max="20" width="5" style="2395" bestFit="1" customWidth="1"/>
    <col min="21" max="21" width="12.42578125" style="2395" bestFit="1" customWidth="1"/>
    <col min="22" max="22" width="3.7109375" style="2395" customWidth="1"/>
    <col min="23" max="23" width="5" style="2395" customWidth="1"/>
    <col min="24" max="26" width="3.7109375" style="2395" customWidth="1"/>
    <col min="27" max="27" width="12.42578125" style="2395" bestFit="1" customWidth="1"/>
    <col min="28" max="28" width="1.28515625" style="2395" customWidth="1"/>
    <col min="29" max="29" width="12.42578125" style="2395" bestFit="1" customWidth="1"/>
    <col min="30" max="30" width="14.85546875" style="2395" bestFit="1" customWidth="1"/>
    <col min="31" max="31" width="7.140625" style="2396" customWidth="1"/>
    <col min="32" max="16384" width="9.140625" style="2395"/>
  </cols>
  <sheetData>
    <row r="1" spans="1:36" ht="6" customHeight="1"/>
    <row r="2" spans="1:36" s="2398" customFormat="1" ht="30.75" customHeight="1">
      <c r="A2" s="2397" t="s">
        <v>1035</v>
      </c>
      <c r="B2" s="2397"/>
      <c r="C2" s="2397"/>
      <c r="D2" s="2397"/>
      <c r="E2" s="2397"/>
      <c r="F2" s="2397"/>
      <c r="G2" s="2397"/>
      <c r="H2" s="2397"/>
      <c r="I2" s="2397"/>
      <c r="J2" s="2397"/>
      <c r="K2" s="2397"/>
      <c r="L2" s="2397"/>
      <c r="M2" s="2397"/>
      <c r="N2" s="2397"/>
      <c r="O2" s="2397"/>
      <c r="P2" s="2397"/>
      <c r="Q2" s="2397"/>
      <c r="R2" s="2397"/>
      <c r="S2" s="2397"/>
      <c r="T2" s="2397"/>
      <c r="U2" s="2397"/>
      <c r="V2" s="2397"/>
      <c r="W2" s="2397"/>
      <c r="X2" s="2397"/>
      <c r="Y2" s="2397"/>
      <c r="Z2" s="2397"/>
      <c r="AA2" s="2397"/>
      <c r="AE2" s="2399"/>
    </row>
    <row r="3" spans="1:36" s="2398" customFormat="1" ht="18" customHeight="1">
      <c r="A3" s="2400" t="s">
        <v>1036</v>
      </c>
      <c r="B3" s="2401" t="s">
        <v>1037</v>
      </c>
      <c r="C3" s="2401"/>
      <c r="D3" s="2401"/>
      <c r="E3" s="2401"/>
      <c r="F3" s="2401"/>
      <c r="G3" s="2401"/>
      <c r="H3" s="2401"/>
      <c r="I3" s="2401"/>
      <c r="J3" s="2402"/>
      <c r="K3" s="2402"/>
      <c r="L3" s="2402"/>
      <c r="M3" s="2402"/>
      <c r="N3" s="2402"/>
      <c r="O3" s="2402"/>
      <c r="P3" s="2402"/>
      <c r="Q3" s="2402"/>
      <c r="R3" s="2402"/>
      <c r="S3" s="2402"/>
      <c r="T3" s="2402"/>
      <c r="U3" s="2402"/>
      <c r="V3" s="2402"/>
      <c r="W3" s="2402"/>
      <c r="X3" s="2402"/>
      <c r="Y3" s="2402"/>
      <c r="Z3" s="2402"/>
      <c r="AA3" s="2402"/>
      <c r="AE3" s="2399"/>
    </row>
    <row r="4" spans="1:36" s="2398" customFormat="1" ht="18" customHeight="1">
      <c r="A4" s="2400" t="s">
        <v>1038</v>
      </c>
      <c r="B4" s="2403" t="s">
        <v>1039</v>
      </c>
      <c r="C4" s="2403"/>
      <c r="D4" s="2403"/>
      <c r="E4" s="2403"/>
      <c r="F4" s="2403"/>
      <c r="G4" s="2403"/>
      <c r="H4" s="2403"/>
      <c r="I4" s="2403"/>
      <c r="J4" s="2402"/>
      <c r="K4" s="2402"/>
      <c r="L4" s="2402"/>
      <c r="M4" s="2402"/>
      <c r="N4" s="2402"/>
      <c r="O4" s="2402"/>
      <c r="P4" s="2402"/>
      <c r="Q4" s="2402"/>
      <c r="R4" s="2402"/>
      <c r="S4" s="2402"/>
      <c r="T4" s="2402"/>
      <c r="U4" s="2402"/>
      <c r="V4" s="2402"/>
      <c r="W4" s="2402"/>
      <c r="X4" s="2402"/>
      <c r="Y4" s="2402"/>
      <c r="Z4" s="2402"/>
      <c r="AA4" s="2402"/>
      <c r="AE4" s="2399"/>
    </row>
    <row r="5" spans="1:36">
      <c r="A5" s="2400" t="s">
        <v>1040</v>
      </c>
      <c r="B5" s="2403" t="s">
        <v>1041</v>
      </c>
      <c r="C5" s="2403"/>
      <c r="D5" s="2403"/>
      <c r="E5" s="2403"/>
      <c r="F5" s="2403"/>
      <c r="G5" s="2403"/>
      <c r="H5" s="2403"/>
      <c r="I5" s="2403"/>
      <c r="K5" s="2404" t="s">
        <v>1</v>
      </c>
      <c r="L5" s="2404"/>
      <c r="M5" s="2404"/>
      <c r="N5" s="2404"/>
      <c r="O5" s="2405">
        <f>[12]Summary!B11</f>
        <v>42248</v>
      </c>
      <c r="P5" s="2405"/>
      <c r="Q5" s="2405"/>
      <c r="R5" s="2405"/>
      <c r="S5" s="2405"/>
      <c r="T5" s="2405"/>
      <c r="U5" s="2406" t="s">
        <v>680</v>
      </c>
      <c r="V5" s="2407">
        <f>[12]Summary!C11</f>
        <v>42278</v>
      </c>
      <c r="W5" s="2407"/>
      <c r="X5" s="2407"/>
      <c r="Y5" s="2407"/>
      <c r="Z5" s="2407"/>
      <c r="AA5" s="2407"/>
      <c r="AB5" s="2408"/>
      <c r="AC5" s="2408"/>
      <c r="AD5" s="2409"/>
    </row>
    <row r="6" spans="1:36" ht="15.75">
      <c r="B6" s="2325"/>
      <c r="K6" s="2410"/>
      <c r="L6" s="2410"/>
      <c r="M6" s="2410"/>
      <c r="N6" s="2410"/>
      <c r="O6" s="2411"/>
      <c r="P6" s="2411"/>
      <c r="Q6" s="2411"/>
      <c r="R6" s="2411"/>
      <c r="S6" s="2411"/>
      <c r="T6" s="2411"/>
      <c r="U6" s="2408"/>
      <c r="V6" s="2412"/>
      <c r="W6" s="2412"/>
      <c r="X6" s="2412"/>
      <c r="Y6" s="2412"/>
      <c r="Z6" s="2412"/>
      <c r="AA6" s="2412"/>
      <c r="AB6" s="2408"/>
      <c r="AC6" s="2408"/>
      <c r="AD6" s="2409"/>
    </row>
    <row r="7" spans="1:36" ht="16.5">
      <c r="A7" s="2413" t="s">
        <v>1042</v>
      </c>
      <c r="B7" s="2414"/>
      <c r="C7" s="2415"/>
      <c r="D7" s="2416" t="str">
        <f>B3</f>
        <v>HARO SABU LELLO QAQE  DS6 ROAD PROJECT</v>
      </c>
      <c r="E7" s="2417"/>
      <c r="F7" s="2417"/>
      <c r="G7" s="2417"/>
      <c r="H7" s="2417"/>
      <c r="I7" s="2417"/>
      <c r="J7" s="2417"/>
      <c r="K7" s="2417"/>
      <c r="L7" s="2417"/>
      <c r="M7" s="2417"/>
      <c r="N7" s="2418"/>
      <c r="O7" s="2419"/>
      <c r="P7" s="2404" t="s">
        <v>1043</v>
      </c>
      <c r="Q7" s="2404"/>
      <c r="R7" s="2404"/>
      <c r="S7" s="2420"/>
      <c r="T7" s="2421" t="s">
        <v>1044</v>
      </c>
      <c r="U7" s="2422"/>
      <c r="V7" s="2423"/>
      <c r="W7" s="2424" t="s">
        <v>1045</v>
      </c>
      <c r="X7" s="2425"/>
      <c r="Y7" s="2426"/>
      <c r="Z7" s="2427" t="str">
        <f>[12]Summary!B9</f>
        <v>Month One</v>
      </c>
      <c r="AA7" s="2428"/>
      <c r="AB7" s="2429"/>
    </row>
    <row r="8" spans="1:36" ht="15.75" customHeight="1" thickBot="1">
      <c r="A8" s="2430"/>
      <c r="B8" s="2430"/>
      <c r="C8" s="2430"/>
      <c r="D8" s="2431"/>
      <c r="E8" s="2431"/>
      <c r="F8" s="2431"/>
      <c r="G8" s="2431"/>
      <c r="H8" s="2431"/>
      <c r="I8" s="2431"/>
      <c r="J8" s="2431"/>
      <c r="K8" s="2431"/>
      <c r="L8" s="2431"/>
      <c r="M8" s="2431"/>
      <c r="N8" s="2431"/>
      <c r="O8" s="2429"/>
      <c r="P8" s="2432"/>
      <c r="Q8" s="2433"/>
      <c r="R8" s="2434"/>
      <c r="S8" s="2434"/>
      <c r="T8" s="2431"/>
      <c r="U8" s="2431"/>
      <c r="V8" s="2431"/>
      <c r="W8" s="2435"/>
      <c r="X8" s="2435"/>
      <c r="Y8" s="2435"/>
      <c r="Z8" s="2436"/>
      <c r="AA8" s="2436"/>
      <c r="AB8" s="2429"/>
      <c r="AE8" s="2437"/>
      <c r="AF8" s="2437"/>
      <c r="AG8" s="2437"/>
      <c r="AH8" s="2437"/>
      <c r="AI8" s="2437"/>
      <c r="AJ8" s="2437"/>
    </row>
    <row r="9" spans="1:36" s="2429" customFormat="1">
      <c r="A9" s="2438" t="s">
        <v>1046</v>
      </c>
      <c r="B9" s="2439" t="s">
        <v>1047</v>
      </c>
      <c r="C9" s="2439"/>
      <c r="D9" s="2440" t="s">
        <v>1048</v>
      </c>
      <c r="E9" s="2440"/>
      <c r="F9" s="2439" t="s">
        <v>406</v>
      </c>
      <c r="G9" s="2439"/>
      <c r="H9" s="2441" t="s">
        <v>1049</v>
      </c>
      <c r="I9" s="2442"/>
      <c r="J9" s="2443"/>
      <c r="K9" s="2444" t="s">
        <v>1050</v>
      </c>
      <c r="L9" s="2445"/>
      <c r="M9" s="2446"/>
      <c r="N9" s="2447" t="s">
        <v>1051</v>
      </c>
      <c r="O9" s="2447"/>
      <c r="P9" s="2448" t="s">
        <v>1052</v>
      </c>
      <c r="Q9" s="2449"/>
      <c r="R9" s="2450" t="s">
        <v>1053</v>
      </c>
      <c r="S9" s="2450"/>
      <c r="T9" s="2450"/>
      <c r="U9" s="2450"/>
      <c r="V9" s="2450"/>
      <c r="W9" s="2450"/>
      <c r="X9" s="2450"/>
      <c r="Y9" s="2450"/>
      <c r="Z9" s="2450"/>
      <c r="AA9" s="2451"/>
    </row>
    <row r="10" spans="1:36" s="2429" customFormat="1">
      <c r="A10" s="2452"/>
      <c r="B10" s="2453">
        <v>730</v>
      </c>
      <c r="C10" s="2453"/>
      <c r="D10" s="2454">
        <v>300</v>
      </c>
      <c r="E10" s="2454"/>
      <c r="F10" s="2455">
        <f>B10+D10</f>
        <v>1030</v>
      </c>
      <c r="G10" s="2455"/>
      <c r="H10" s="2456">
        <v>41489</v>
      </c>
      <c r="I10" s="2456"/>
      <c r="J10" s="2456"/>
      <c r="K10" s="2457">
        <f>F10+H10</f>
        <v>42519</v>
      </c>
      <c r="L10" s="2457"/>
      <c r="M10" s="2457"/>
      <c r="O10" s="2458">
        <f>N11/F10</f>
        <v>0.7660194174757281</v>
      </c>
      <c r="Q10" s="2459">
        <f>P11/F10</f>
        <v>0.23398058252427184</v>
      </c>
      <c r="R10" s="2460" t="s">
        <v>1054</v>
      </c>
      <c r="S10" s="2460"/>
      <c r="T10" s="2460"/>
      <c r="U10" s="2461" t="s">
        <v>1055</v>
      </c>
      <c r="V10" s="2462"/>
      <c r="W10" s="2462"/>
      <c r="X10" s="2460" t="s">
        <v>406</v>
      </c>
      <c r="Y10" s="2460"/>
      <c r="Z10" s="2460"/>
      <c r="AA10" s="2463"/>
    </row>
    <row r="11" spans="1:36" s="2429" customFormat="1" ht="15.75" thickBot="1">
      <c r="A11" s="2464"/>
      <c r="B11" s="2465"/>
      <c r="C11" s="2465"/>
      <c r="D11" s="2466"/>
      <c r="E11" s="2466"/>
      <c r="F11" s="2467"/>
      <c r="G11" s="2467"/>
      <c r="H11" s="2468"/>
      <c r="I11" s="2468"/>
      <c r="J11" s="2468"/>
      <c r="K11" s="2469"/>
      <c r="L11" s="2469"/>
      <c r="M11" s="2469"/>
      <c r="N11" s="2470">
        <f>(V5-H10)</f>
        <v>789</v>
      </c>
      <c r="O11" s="2470"/>
      <c r="P11" s="2471">
        <f>F10-N11</f>
        <v>241</v>
      </c>
      <c r="Q11" s="2471"/>
      <c r="R11" s="2472">
        <f>(((C15-L15)+F15)/(I15/F10))-P11</f>
        <v>263.4653694388424</v>
      </c>
      <c r="S11" s="2473"/>
      <c r="T11" s="2473"/>
      <c r="U11" s="2472">
        <f>(((X15/P11)*6)-P15)/((X15/P11)*6)</f>
        <v>-0.18171078202073063</v>
      </c>
      <c r="V11" s="2473"/>
      <c r="W11" s="2473"/>
      <c r="X11" s="2474">
        <f>IF(U11="?","?",R11+U11)</f>
        <v>263.28365865682167</v>
      </c>
      <c r="Y11" s="2475"/>
      <c r="Z11" s="2475"/>
      <c r="AA11" s="2476"/>
    </row>
    <row r="12" spans="1:36" s="2429" customFormat="1" ht="20.25" customHeight="1" thickBot="1">
      <c r="A12" s="2435"/>
      <c r="B12" s="2435"/>
      <c r="C12" s="2477"/>
      <c r="D12" s="2477"/>
      <c r="E12" s="2477"/>
      <c r="F12" s="2477"/>
      <c r="G12" s="2477"/>
      <c r="H12" s="2478"/>
      <c r="I12" s="2478"/>
      <c r="J12" s="2478"/>
      <c r="K12" s="2478"/>
      <c r="L12" s="2478"/>
      <c r="M12" s="2477"/>
      <c r="N12" s="2477"/>
      <c r="O12" s="2477"/>
      <c r="P12" s="2477"/>
      <c r="Q12" s="2477"/>
      <c r="R12" s="2479"/>
      <c r="S12" s="2480"/>
      <c r="T12" s="2480"/>
      <c r="U12" s="2480"/>
      <c r="V12" s="2480"/>
      <c r="W12" s="2479"/>
      <c r="X12" s="2478"/>
      <c r="Y12" s="2478"/>
      <c r="Z12" s="2478"/>
      <c r="AA12" s="2478"/>
      <c r="AE12" s="2481"/>
    </row>
    <row r="13" spans="1:36">
      <c r="A13" s="2482" t="s">
        <v>419</v>
      </c>
      <c r="B13" s="2483" t="s">
        <v>336</v>
      </c>
      <c r="C13" s="2484" t="s">
        <v>1056</v>
      </c>
      <c r="D13" s="2484"/>
      <c r="E13" s="2484"/>
      <c r="F13" s="2484" t="s">
        <v>1057</v>
      </c>
      <c r="G13" s="2484"/>
      <c r="H13" s="2484"/>
      <c r="I13" s="2485" t="s">
        <v>406</v>
      </c>
      <c r="J13" s="2485"/>
      <c r="K13" s="2485"/>
      <c r="L13" s="2486" t="s">
        <v>1054</v>
      </c>
      <c r="M13" s="2487"/>
      <c r="N13" s="2487"/>
      <c r="O13" s="2488"/>
      <c r="P13" s="2489" t="s">
        <v>1055</v>
      </c>
      <c r="Q13" s="2490"/>
      <c r="R13" s="2490"/>
      <c r="S13" s="2491"/>
      <c r="T13" s="2492" t="s">
        <v>526</v>
      </c>
      <c r="U13" s="2492"/>
      <c r="V13" s="2492"/>
      <c r="W13" s="2493"/>
      <c r="X13" s="2489" t="s">
        <v>1052</v>
      </c>
      <c r="Y13" s="2490"/>
      <c r="Z13" s="2490"/>
      <c r="AA13" s="2494"/>
      <c r="AC13" s="2429"/>
    </row>
    <row r="14" spans="1:36" ht="45" customHeight="1">
      <c r="A14" s="2495"/>
      <c r="B14" s="2496"/>
      <c r="C14" s="2497"/>
      <c r="D14" s="2498"/>
      <c r="E14" s="2499"/>
      <c r="F14" s="2497"/>
      <c r="G14" s="2498"/>
      <c r="H14" s="2499"/>
      <c r="I14" s="2500"/>
      <c r="J14" s="2501"/>
      <c r="K14" s="2502"/>
      <c r="L14" s="2503"/>
      <c r="M14" s="2504"/>
      <c r="N14" s="2504"/>
      <c r="O14" s="2505">
        <f>L15/I15</f>
        <v>0.51022779666131812</v>
      </c>
      <c r="P14" s="2497"/>
      <c r="Q14" s="2498"/>
      <c r="R14" s="2498"/>
      <c r="S14" s="2505">
        <f>P15/I15</f>
        <v>1.3997383431492864E-2</v>
      </c>
      <c r="T14" s="2506"/>
      <c r="U14" s="2507"/>
      <c r="V14" s="2507"/>
      <c r="W14" s="2505">
        <f>T15/I15</f>
        <v>0.52422518009281094</v>
      </c>
      <c r="X14" s="2497"/>
      <c r="Y14" s="2498"/>
      <c r="Z14" s="2498"/>
      <c r="AA14" s="2508">
        <f>X15/I15</f>
        <v>0.47577481990718906</v>
      </c>
      <c r="AC14" s="2429"/>
    </row>
    <row r="15" spans="1:36" ht="15.75" thickBot="1">
      <c r="A15" s="2495"/>
      <c r="B15" s="2496"/>
      <c r="C15" s="2509">
        <v>176814028</v>
      </c>
      <c r="D15" s="2509"/>
      <c r="E15" s="2509"/>
      <c r="F15" s="2510">
        <v>50654520.360000014</v>
      </c>
      <c r="G15" s="2511"/>
      <c r="H15" s="2512"/>
      <c r="I15" s="2509">
        <f>SUM(C15,F15)</f>
        <v>227468548.36000001</v>
      </c>
      <c r="J15" s="2509"/>
      <c r="K15" s="2509"/>
      <c r="L15" s="2513">
        <f>'Summary (2)'!D23</f>
        <v>116060776.23947129</v>
      </c>
      <c r="M15" s="2513"/>
      <c r="N15" s="2514"/>
      <c r="O15" s="2515"/>
      <c r="P15" s="2516">
        <f>C25</f>
        <v>3183964.4899999974</v>
      </c>
      <c r="Q15" s="2517"/>
      <c r="R15" s="2517"/>
      <c r="S15" s="2515"/>
      <c r="T15" s="2518">
        <f>L15+P15</f>
        <v>119244740.72947128</v>
      </c>
      <c r="U15" s="2518"/>
      <c r="V15" s="2519"/>
      <c r="W15" s="2515"/>
      <c r="X15" s="2519">
        <f>I15-T15</f>
        <v>108223807.63052873</v>
      </c>
      <c r="Y15" s="2520"/>
      <c r="Z15" s="2521"/>
      <c r="AA15" s="2522"/>
      <c r="AC15" s="2429"/>
    </row>
    <row r="16" spans="1:36" ht="28.35" customHeight="1" thickTop="1">
      <c r="A16" s="2495"/>
      <c r="B16" s="2523" t="s">
        <v>1058</v>
      </c>
      <c r="C16" s="2524" t="s">
        <v>1059</v>
      </c>
      <c r="D16" s="2525" t="s">
        <v>1060</v>
      </c>
      <c r="E16" s="2526"/>
      <c r="F16" s="2527" t="s">
        <v>1061</v>
      </c>
      <c r="G16" s="2528"/>
      <c r="H16" s="2526"/>
      <c r="I16" s="2529" t="s">
        <v>1062</v>
      </c>
      <c r="J16" s="2530"/>
      <c r="K16" s="2531"/>
      <c r="L16" s="2527" t="s">
        <v>1063</v>
      </c>
      <c r="M16" s="2526"/>
      <c r="N16" s="2527" t="s">
        <v>1064</v>
      </c>
      <c r="O16" s="2528"/>
      <c r="P16" s="2526"/>
      <c r="Q16" s="2532" t="s">
        <v>1065</v>
      </c>
      <c r="R16" s="2533"/>
      <c r="S16" s="2534" t="s">
        <v>1066</v>
      </c>
      <c r="T16" s="2534"/>
      <c r="U16" s="2534"/>
      <c r="V16" s="2534" t="s">
        <v>1067</v>
      </c>
      <c r="W16" s="2534"/>
      <c r="X16" s="2534"/>
      <c r="Y16" s="2535" t="s">
        <v>1068</v>
      </c>
      <c r="Z16" s="2535"/>
      <c r="AA16" s="2536"/>
      <c r="AC16" s="2429"/>
    </row>
    <row r="17" spans="1:31" ht="28.35" customHeight="1" thickBot="1">
      <c r="A17" s="2495"/>
      <c r="B17" s="2537"/>
      <c r="C17" s="3141">
        <v>15</v>
      </c>
      <c r="D17" s="2538">
        <v>42286</v>
      </c>
      <c r="E17" s="2539"/>
      <c r="F17" s="2513">
        <f>'[56]Summary '!$R$25</f>
        <v>119244740.72947128</v>
      </c>
      <c r="G17" s="2513"/>
      <c r="H17" s="2514"/>
      <c r="I17" s="2513">
        <f>'[56]Summary '!$M$25</f>
        <v>116060776.23947129</v>
      </c>
      <c r="J17" s="2513"/>
      <c r="K17" s="2514"/>
      <c r="L17" s="2540">
        <f>'[48]Pay Certificate'!$O$18</f>
        <v>0</v>
      </c>
      <c r="M17" s="2541"/>
      <c r="N17" s="2542">
        <f>AA25</f>
        <v>159198.22449999989</v>
      </c>
      <c r="O17" s="2543"/>
      <c r="P17" s="2544"/>
      <c r="Q17" s="2545">
        <f>T26*F17</f>
        <v>0</v>
      </c>
      <c r="R17" s="2546"/>
      <c r="S17" s="2542">
        <f>U25</f>
        <v>636792.89799999958</v>
      </c>
      <c r="T17" s="2543"/>
      <c r="U17" s="2544"/>
      <c r="V17" s="2547">
        <f>F17-SUM(I17:U17)</f>
        <v>2387973.3674999923</v>
      </c>
      <c r="W17" s="2547"/>
      <c r="X17" s="2547"/>
      <c r="Y17" s="2548">
        <f>V17+I17</f>
        <v>118448749.60697128</v>
      </c>
      <c r="Z17" s="2548"/>
      <c r="AA17" s="2549"/>
      <c r="AC17" s="2429"/>
    </row>
    <row r="18" spans="1:31" ht="15.75" thickTop="1">
      <c r="A18" s="2495"/>
      <c r="B18" s="2550" t="s">
        <v>1069</v>
      </c>
      <c r="C18" s="2551" t="s">
        <v>526</v>
      </c>
      <c r="D18" s="2552"/>
      <c r="E18" s="2552"/>
      <c r="F18" s="2552"/>
      <c r="G18" s="2553"/>
      <c r="H18" s="2554" t="s">
        <v>1054</v>
      </c>
      <c r="I18" s="2555"/>
      <c r="J18" s="2555"/>
      <c r="K18" s="2555"/>
      <c r="L18" s="2556"/>
      <c r="M18" s="2557" t="s">
        <v>1055</v>
      </c>
      <c r="N18" s="2558"/>
      <c r="O18" s="2558"/>
      <c r="P18" s="2558"/>
      <c r="Q18" s="2559"/>
      <c r="R18" s="2560" t="s">
        <v>1070</v>
      </c>
      <c r="S18" s="2561"/>
      <c r="T18" s="2561"/>
      <c r="U18" s="2561"/>
      <c r="V18" s="2562"/>
      <c r="W18" s="2563">
        <f>T15-F17</f>
        <v>0</v>
      </c>
      <c r="X18" s="2564"/>
      <c r="Y18" s="2564"/>
      <c r="Z18" s="2564"/>
      <c r="AA18" s="2565"/>
    </row>
    <row r="19" spans="1:31" ht="15.75" thickBot="1">
      <c r="A19" s="2566"/>
      <c r="B19" s="2567"/>
      <c r="C19" s="2568">
        <f>IF(SUM(H19,M19)=0,"",SUM(H19,M19))</f>
        <v>1189855.6536512822</v>
      </c>
      <c r="D19" s="2569"/>
      <c r="E19" s="2570"/>
      <c r="F19" s="2571">
        <f>IF($C$19="","",C19/$C$19)</f>
        <v>1</v>
      </c>
      <c r="G19" s="2572"/>
      <c r="H19" s="2573"/>
      <c r="I19" s="2573"/>
      <c r="J19" s="2574"/>
      <c r="K19" s="2571">
        <f>IF($C$19="","",H19/$C$19)</f>
        <v>0</v>
      </c>
      <c r="L19" s="2572"/>
      <c r="M19" s="2575">
        <f>G25</f>
        <v>1189855.6536512822</v>
      </c>
      <c r="N19" s="2576"/>
      <c r="O19" s="2577"/>
      <c r="P19" s="2578">
        <f>IF($C$19="","",M19/$C$19)</f>
        <v>1</v>
      </c>
      <c r="Q19" s="2579"/>
      <c r="R19" s="2580"/>
      <c r="S19" s="2581"/>
      <c r="T19" s="2581"/>
      <c r="U19" s="2581"/>
      <c r="V19" s="2582"/>
      <c r="W19" s="2583"/>
      <c r="X19" s="2584"/>
      <c r="Y19" s="2584"/>
      <c r="Z19" s="2584"/>
      <c r="AA19" s="2585"/>
    </row>
    <row r="20" spans="1:31" ht="15.75" thickBot="1"/>
    <row r="21" spans="1:31" s="2595" customFormat="1" ht="15.75" thickTop="1">
      <c r="A21" s="2586"/>
      <c r="B21" s="2587"/>
      <c r="C21" s="2588" t="s">
        <v>336</v>
      </c>
      <c r="D21" s="2589"/>
      <c r="E21" s="2589"/>
      <c r="F21" s="2590"/>
      <c r="G21" s="2588" t="s">
        <v>1069</v>
      </c>
      <c r="H21" s="2589"/>
      <c r="I21" s="2591"/>
      <c r="J21" s="2592" t="s">
        <v>1071</v>
      </c>
      <c r="K21" s="2593"/>
      <c r="L21" s="2593"/>
      <c r="M21" s="2593"/>
      <c r="N21" s="2593"/>
      <c r="O21" s="2593"/>
      <c r="P21" s="2593"/>
      <c r="Q21" s="2593"/>
      <c r="R21" s="2593"/>
      <c r="S21" s="2593"/>
      <c r="T21" s="2593"/>
      <c r="U21" s="2593"/>
      <c r="V21" s="2593"/>
      <c r="W21" s="2593"/>
      <c r="X21" s="2593"/>
      <c r="Y21" s="2593"/>
      <c r="Z21" s="2593"/>
      <c r="AA21" s="2594"/>
      <c r="AC21" s="2395"/>
    </row>
    <row r="22" spans="1:31" s="2610" customFormat="1">
      <c r="A22" s="2596"/>
      <c r="B22" s="2597"/>
      <c r="C22" s="2598"/>
      <c r="D22" s="2599"/>
      <c r="E22" s="2599"/>
      <c r="F22" s="2600"/>
      <c r="G22" s="2598"/>
      <c r="H22" s="2599"/>
      <c r="I22" s="2601"/>
      <c r="J22" s="2602" t="s">
        <v>1072</v>
      </c>
      <c r="K22" s="2603"/>
      <c r="L22" s="2603"/>
      <c r="M22" s="2603"/>
      <c r="N22" s="2603"/>
      <c r="O22" s="2604"/>
      <c r="P22" s="2605" t="s">
        <v>1073</v>
      </c>
      <c r="Q22" s="2606"/>
      <c r="R22" s="2606"/>
      <c r="S22" s="2606"/>
      <c r="T22" s="2606"/>
      <c r="U22" s="2606"/>
      <c r="V22" s="2607">
        <f>IF(G23="","",G23-G25)</f>
        <v>1295534.1443946031</v>
      </c>
      <c r="W22" s="2607"/>
      <c r="X22" s="2607"/>
      <c r="Y22" s="2607"/>
      <c r="Z22" s="2608">
        <f>IF(G23=0,"",V22/G23)</f>
        <v>0.52125994297281042</v>
      </c>
      <c r="AA22" s="2609"/>
      <c r="AC22" s="2395"/>
      <c r="AD22" s="2611"/>
    </row>
    <row r="23" spans="1:31" s="2610" customFormat="1">
      <c r="A23" s="2612" t="s">
        <v>1074</v>
      </c>
      <c r="B23" s="2613"/>
      <c r="C23" s="2614">
        <f>'Summary (2)'!E23</f>
        <v>2075830.1890000002</v>
      </c>
      <c r="D23" s="2615"/>
      <c r="E23" s="2615"/>
      <c r="F23" s="2616"/>
      <c r="G23" s="2617">
        <f>SUM(X32,D39,S39,X39)</f>
        <v>2485389.7980458853</v>
      </c>
      <c r="H23" s="2618"/>
      <c r="I23" s="2619"/>
      <c r="J23" s="2620" t="str">
        <f>IF(C23="","",IF(C25&lt;C23,"Behind Schedule.","Ahead of Schedule."))</f>
        <v>Ahead of Schedule.</v>
      </c>
      <c r="K23" s="2621"/>
      <c r="L23" s="2621"/>
      <c r="M23" s="2621"/>
      <c r="N23" s="2621"/>
      <c r="O23" s="2622"/>
      <c r="P23" s="2623" t="s">
        <v>1075</v>
      </c>
      <c r="Q23" s="2624"/>
      <c r="R23" s="2624"/>
      <c r="S23" s="2624"/>
      <c r="T23" s="2624"/>
      <c r="U23" s="2624"/>
      <c r="V23" s="2624"/>
      <c r="W23" s="2625">
        <f>(C25-G25)</f>
        <v>1994108.8363487152</v>
      </c>
      <c r="X23" s="2625"/>
      <c r="Y23" s="2625"/>
      <c r="Z23" s="2625"/>
      <c r="AA23" s="2626"/>
      <c r="AC23" s="2395"/>
    </row>
    <row r="24" spans="1:31" s="2610" customFormat="1">
      <c r="A24" s="2627"/>
      <c r="B24" s="2628"/>
      <c r="C24" s="2629"/>
      <c r="D24" s="2630"/>
      <c r="E24" s="2630"/>
      <c r="F24" s="2631"/>
      <c r="G24" s="2632"/>
      <c r="H24" s="2633"/>
      <c r="I24" s="2634"/>
      <c r="J24" s="2635" t="str">
        <f>IF(C23="","",IF(C25&lt;C23,"Delay","Accelaration"))</f>
        <v>Accelaration</v>
      </c>
      <c r="K24" s="2636"/>
      <c r="L24" s="2636"/>
      <c r="M24" s="2636"/>
      <c r="N24" s="2636"/>
      <c r="O24" s="2637"/>
      <c r="P24" s="2638" t="s">
        <v>1076</v>
      </c>
      <c r="Q24" s="2639"/>
      <c r="R24" s="2639"/>
      <c r="S24" s="2639"/>
      <c r="T24" s="2639"/>
      <c r="U24" s="2639"/>
      <c r="V24" s="2639"/>
      <c r="W24" s="2639"/>
      <c r="X24" s="2639"/>
      <c r="Y24" s="2639"/>
      <c r="Z24" s="2639"/>
      <c r="AA24" s="2640"/>
      <c r="AC24" s="2395"/>
    </row>
    <row r="25" spans="1:31" s="2610" customFormat="1">
      <c r="A25" s="2641" t="s">
        <v>493</v>
      </c>
      <c r="B25" s="2642"/>
      <c r="C25" s="2614">
        <f>'Summary (2)'!G23</f>
        <v>3183964.4899999974</v>
      </c>
      <c r="D25" s="2615"/>
      <c r="E25" s="2615"/>
      <c r="F25" s="2616"/>
      <c r="G25" s="2617">
        <f>SUM(X33,D40,S40,X40)</f>
        <v>1189855.6536512822</v>
      </c>
      <c r="H25" s="2618"/>
      <c r="I25" s="2619"/>
      <c r="J25" s="2643" t="s">
        <v>1077</v>
      </c>
      <c r="K25" s="2644"/>
      <c r="L25" s="2644"/>
      <c r="M25" s="2644"/>
      <c r="N25" s="2644"/>
      <c r="O25" s="2645"/>
      <c r="P25" s="2646" t="s">
        <v>1066</v>
      </c>
      <c r="Q25" s="2647"/>
      <c r="R25" s="2647"/>
      <c r="S25" s="2648"/>
      <c r="T25" s="2649">
        <f>[12]Summary!F8</f>
        <v>0.2</v>
      </c>
      <c r="U25" s="2650">
        <f>T25*C25</f>
        <v>636792.89799999958</v>
      </c>
      <c r="V25" s="2651" t="s">
        <v>1064</v>
      </c>
      <c r="W25" s="2652"/>
      <c r="X25" s="2652"/>
      <c r="Y25" s="2652"/>
      <c r="Z25" s="2649">
        <f>[12]Summary!F9</f>
        <v>0.05</v>
      </c>
      <c r="AA25" s="2653">
        <f>C25*Z25</f>
        <v>159198.22449999989</v>
      </c>
      <c r="AC25" s="2395"/>
    </row>
    <row r="26" spans="1:31" s="2610" customFormat="1">
      <c r="A26" s="2641"/>
      <c r="B26" s="2642"/>
      <c r="C26" s="2654"/>
      <c r="D26" s="2655"/>
      <c r="E26" s="2655"/>
      <c r="F26" s="2656"/>
      <c r="G26" s="2632"/>
      <c r="H26" s="2633"/>
      <c r="I26" s="2634"/>
      <c r="J26" s="2643" t="s">
        <v>1078</v>
      </c>
      <c r="K26" s="2644"/>
      <c r="L26" s="2644"/>
      <c r="M26" s="2644"/>
      <c r="N26" s="2644"/>
      <c r="O26" s="2645"/>
      <c r="P26" s="2657" t="s">
        <v>1065</v>
      </c>
      <c r="Q26" s="2652"/>
      <c r="R26" s="2652"/>
      <c r="S26" s="2652"/>
      <c r="T26" s="2649">
        <f>[12]Summary!F11</f>
        <v>0</v>
      </c>
      <c r="U26" s="2650">
        <f>T26*C25</f>
        <v>0</v>
      </c>
      <c r="V26" s="2651" t="s">
        <v>1079</v>
      </c>
      <c r="W26" s="2652"/>
      <c r="X26" s="2652"/>
      <c r="Y26" s="2652"/>
      <c r="Z26" s="2649">
        <f>[12]Summary!F10</f>
        <v>0</v>
      </c>
      <c r="AA26" s="2653">
        <f>Z26*C25</f>
        <v>0</v>
      </c>
      <c r="AC26" s="2395"/>
    </row>
    <row r="27" spans="1:31" s="2610" customFormat="1" ht="15.75" thickBot="1">
      <c r="A27" s="2658"/>
      <c r="B27" s="2659"/>
      <c r="C27" s="2660"/>
      <c r="D27" s="2661"/>
      <c r="E27" s="2661"/>
      <c r="F27" s="2662"/>
      <c r="G27" s="2663"/>
      <c r="H27" s="2664"/>
      <c r="I27" s="2665"/>
      <c r="J27" s="2666">
        <f>IF(C23=0,"",IF(C25&lt;C23,6-C25/(C23/6),C25/(C23/6)-6))</f>
        <v>3.2029622852738946</v>
      </c>
      <c r="K27" s="2667"/>
      <c r="L27" s="2667"/>
      <c r="M27" s="2668" t="s">
        <v>1080</v>
      </c>
      <c r="N27" s="2669"/>
      <c r="O27" s="2670"/>
      <c r="P27" s="2671" t="s">
        <v>1081</v>
      </c>
      <c r="Q27" s="2672"/>
      <c r="R27" s="2672"/>
      <c r="S27" s="2672"/>
      <c r="T27" s="2672"/>
      <c r="U27" s="2672"/>
      <c r="V27" s="2672"/>
      <c r="W27" s="2673">
        <f>W23-U25-U26-AA25-AA26</f>
        <v>1198117.7138487156</v>
      </c>
      <c r="X27" s="2673"/>
      <c r="Y27" s="2673"/>
      <c r="Z27" s="2673"/>
      <c r="AA27" s="2674"/>
      <c r="AC27" s="2395"/>
    </row>
    <row r="28" spans="1:31" s="2610" customFormat="1" ht="16.5" thickTop="1" thickBot="1">
      <c r="A28" s="2675"/>
      <c r="B28" s="2675"/>
      <c r="C28" s="2501"/>
      <c r="D28" s="2501"/>
      <c r="E28" s="2501"/>
      <c r="F28" s="2501"/>
      <c r="G28" s="2501"/>
      <c r="H28" s="2501"/>
      <c r="I28" s="2501"/>
      <c r="J28" s="2501"/>
      <c r="K28" s="2501"/>
      <c r="L28" s="2501"/>
      <c r="M28" s="2501"/>
      <c r="N28" s="2501"/>
      <c r="O28" s="2501"/>
      <c r="P28" s="2501"/>
      <c r="Q28" s="2501"/>
      <c r="R28" s="2501"/>
      <c r="S28" s="2501"/>
      <c r="T28" s="2501"/>
      <c r="U28" s="2501"/>
      <c r="V28" s="2501"/>
      <c r="W28" s="2501"/>
      <c r="X28" s="2501"/>
      <c r="Y28" s="2501"/>
      <c r="Z28" s="2501"/>
      <c r="AA28" s="2501"/>
      <c r="AB28" s="2501"/>
      <c r="AC28" s="2395"/>
      <c r="AE28" s="2676"/>
    </row>
    <row r="29" spans="1:31" s="2678" customFormat="1" ht="15.75" thickTop="1">
      <c r="A29" s="2677" t="s">
        <v>1082</v>
      </c>
      <c r="B29" s="3096"/>
      <c r="C29" s="3097"/>
      <c r="D29" s="3112" t="s">
        <v>298</v>
      </c>
      <c r="E29" s="3113"/>
      <c r="F29" s="3113"/>
      <c r="G29" s="3113"/>
      <c r="H29" s="3113"/>
      <c r="I29" s="3113"/>
      <c r="J29" s="3113"/>
      <c r="K29" s="3113"/>
      <c r="L29" s="3113"/>
      <c r="M29" s="3113"/>
      <c r="N29" s="3113"/>
      <c r="O29" s="3113"/>
      <c r="P29" s="3113"/>
      <c r="Q29" s="3113"/>
      <c r="R29" s="3113"/>
      <c r="S29" s="3113"/>
      <c r="T29" s="3113"/>
      <c r="U29" s="3113"/>
      <c r="V29" s="3113"/>
      <c r="W29" s="3113"/>
      <c r="X29" s="3113"/>
      <c r="Y29" s="3113"/>
      <c r="Z29" s="3113"/>
      <c r="AA29" s="3114"/>
      <c r="AC29" s="2395"/>
      <c r="AE29" s="2679"/>
    </row>
    <row r="30" spans="1:31" s="2678" customFormat="1" ht="12.75">
      <c r="A30" s="2680"/>
      <c r="B30" s="3098"/>
      <c r="C30" s="3099"/>
      <c r="D30" s="3100" t="s">
        <v>381</v>
      </c>
      <c r="E30" s="3100"/>
      <c r="F30" s="3100"/>
      <c r="G30" s="3100"/>
      <c r="H30" s="3101" t="s">
        <v>383</v>
      </c>
      <c r="I30" s="3102"/>
      <c r="J30" s="3102"/>
      <c r="K30" s="3103"/>
      <c r="L30" s="3101" t="s">
        <v>1083</v>
      </c>
      <c r="M30" s="3102"/>
      <c r="N30" s="3102"/>
      <c r="O30" s="3103"/>
      <c r="P30" s="3101" t="s">
        <v>111</v>
      </c>
      <c r="Q30" s="3102"/>
      <c r="R30" s="3102"/>
      <c r="S30" s="3103"/>
      <c r="T30" s="3101" t="s">
        <v>1084</v>
      </c>
      <c r="U30" s="3102"/>
      <c r="V30" s="3102"/>
      <c r="W30" s="3103"/>
      <c r="X30" s="3101" t="s">
        <v>406</v>
      </c>
      <c r="Y30" s="3102"/>
      <c r="Z30" s="3102"/>
      <c r="AA30" s="3104"/>
      <c r="AE30" s="2679"/>
    </row>
    <row r="31" spans="1:31" s="2683" customFormat="1" ht="12">
      <c r="A31" s="2680"/>
      <c r="B31" s="2681"/>
      <c r="C31" s="2682"/>
      <c r="D31" s="3105" t="s">
        <v>234</v>
      </c>
      <c r="E31" s="3106"/>
      <c r="F31" s="3106"/>
      <c r="G31" s="3107" t="s">
        <v>261</v>
      </c>
      <c r="H31" s="3108" t="s">
        <v>234</v>
      </c>
      <c r="I31" s="3109"/>
      <c r="J31" s="3110"/>
      <c r="K31" s="3107" t="s">
        <v>261</v>
      </c>
      <c r="L31" s="3108" t="s">
        <v>234</v>
      </c>
      <c r="M31" s="3109"/>
      <c r="N31" s="3110"/>
      <c r="O31" s="3107" t="s">
        <v>261</v>
      </c>
      <c r="P31" s="3108" t="s">
        <v>234</v>
      </c>
      <c r="Q31" s="3109"/>
      <c r="R31" s="3110"/>
      <c r="S31" s="3107" t="s">
        <v>261</v>
      </c>
      <c r="T31" s="3108" t="s">
        <v>234</v>
      </c>
      <c r="U31" s="3109"/>
      <c r="V31" s="3110"/>
      <c r="W31" s="3107" t="s">
        <v>261</v>
      </c>
      <c r="X31" s="3108" t="s">
        <v>234</v>
      </c>
      <c r="Y31" s="3109"/>
      <c r="Z31" s="3110"/>
      <c r="AA31" s="3111" t="s">
        <v>261</v>
      </c>
      <c r="AE31" s="2684"/>
    </row>
    <row r="32" spans="1:31" s="2610" customFormat="1" ht="12.75">
      <c r="A32" s="2680"/>
      <c r="B32" s="2685" t="s">
        <v>1074</v>
      </c>
      <c r="C32" s="2686"/>
      <c r="D32" s="2616">
        <f>[12]Summary!D36</f>
        <v>1180449.108605</v>
      </c>
      <c r="E32" s="2687"/>
      <c r="F32" s="2687"/>
      <c r="G32" s="2688">
        <f>IF($G23&gt;0,D32/G23,0)</f>
        <v>0.47495532070386592</v>
      </c>
      <c r="H32" s="2616">
        <f>[12]Summary!D37</f>
        <v>0</v>
      </c>
      <c r="I32" s="2687"/>
      <c r="J32" s="2687"/>
      <c r="K32" s="2688">
        <f>IF($G23&gt;0,H32/$G23,0)</f>
        <v>0</v>
      </c>
      <c r="L32" s="2616">
        <f>[12]Summary!D41</f>
        <v>118044.91086050001</v>
      </c>
      <c r="M32" s="2687"/>
      <c r="N32" s="2687"/>
      <c r="O32" s="2688">
        <f>IF($G23&gt;0,L32/$G23,0)</f>
        <v>4.7495532070386592E-2</v>
      </c>
      <c r="P32" s="2616">
        <f>[12]Summary!D38+[12]Summary!D39</f>
        <v>448196.34853171371</v>
      </c>
      <c r="Q32" s="2687"/>
      <c r="R32" s="2687"/>
      <c r="S32" s="2688">
        <f>IF($G23&gt;0,P32/$G23,0)</f>
        <v>0.18033241662297961</v>
      </c>
      <c r="T32" s="2616">
        <f>[12]Summary!D40</f>
        <v>44819.634853171374</v>
      </c>
      <c r="U32" s="2687"/>
      <c r="V32" s="2687"/>
      <c r="W32" s="2689">
        <f>IF($G23&gt;0,T32/$G23,0)</f>
        <v>1.8033241662297961E-2</v>
      </c>
      <c r="X32" s="2617">
        <f>D32+H32+L32+P32+T32</f>
        <v>1791510.0028503851</v>
      </c>
      <c r="Y32" s="2618"/>
      <c r="Z32" s="2690"/>
      <c r="AA32" s="2691">
        <f>IF($G23&gt;0,X32/$G23,0)</f>
        <v>0.72081651105953015</v>
      </c>
      <c r="AE32" s="2676"/>
    </row>
    <row r="33" spans="1:31" s="2610" customFormat="1" ht="12.75">
      <c r="A33" s="2680"/>
      <c r="B33" s="2692" t="s">
        <v>493</v>
      </c>
      <c r="C33" s="2693"/>
      <c r="D33" s="2694">
        <f>'Summary (2)'!E36</f>
        <v>306107.66666666669</v>
      </c>
      <c r="E33" s="2695"/>
      <c r="F33" s="2695"/>
      <c r="G33" s="2696">
        <f>IF($G25&gt;0,D33/$G25,0)</f>
        <v>0.25726453938116045</v>
      </c>
      <c r="H33" s="2694">
        <f>'Summary (2)'!E37</f>
        <v>57300</v>
      </c>
      <c r="I33" s="2695"/>
      <c r="J33" s="2695"/>
      <c r="K33" s="2696">
        <f>IF($G25&gt;0,H33/$G25,0)</f>
        <v>4.8157101934310123E-2</v>
      </c>
      <c r="L33" s="2694">
        <f>'Summary (2)'!E42</f>
        <v>35765</v>
      </c>
      <c r="M33" s="2695"/>
      <c r="N33" s="2695"/>
      <c r="O33" s="2696">
        <f>IF($G25&gt;0,L33/$G25,0)</f>
        <v>3.005826790018502E-2</v>
      </c>
      <c r="P33" s="2694">
        <f>'Summary (2)'!E38+'Summary (2)'!E39</f>
        <v>202878.19</v>
      </c>
      <c r="Q33" s="2695"/>
      <c r="R33" s="2695"/>
      <c r="S33" s="2696">
        <f>IF($G25&gt;0,P33/$G25,0)</f>
        <v>0.17050655630154166</v>
      </c>
      <c r="T33" s="2694">
        <f>'Summary (2)'!E41</f>
        <v>0</v>
      </c>
      <c r="U33" s="2695"/>
      <c r="V33" s="2695"/>
      <c r="W33" s="2697">
        <f>IF($G25&gt;0,T33/$G25,0)</f>
        <v>0</v>
      </c>
      <c r="X33" s="2698">
        <f>D33+H33+L33+P33+T33</f>
        <v>602050.85666666669</v>
      </c>
      <c r="Y33" s="2699"/>
      <c r="Z33" s="2699"/>
      <c r="AA33" s="2700">
        <f>IF($G25&gt;0,X33/$G25,0)</f>
        <v>0.50598646551719728</v>
      </c>
      <c r="AE33" s="2676"/>
    </row>
    <row r="34" spans="1:31" s="2610" customFormat="1" ht="12.75">
      <c r="A34" s="2680"/>
      <c r="B34" s="2701" t="s">
        <v>1085</v>
      </c>
      <c r="C34" s="2702"/>
      <c r="D34" s="2703">
        <f>D32-D33</f>
        <v>874341.44193833321</v>
      </c>
      <c r="E34" s="2704"/>
      <c r="F34" s="2704"/>
      <c r="G34" s="2705"/>
      <c r="H34" s="2703">
        <f>H32-H33</f>
        <v>-57300</v>
      </c>
      <c r="I34" s="2704"/>
      <c r="J34" s="2704"/>
      <c r="K34" s="2706"/>
      <c r="L34" s="2703">
        <f>L32-L33</f>
        <v>82279.910860500007</v>
      </c>
      <c r="M34" s="2704"/>
      <c r="N34" s="2704"/>
      <c r="O34" s="2707"/>
      <c r="P34" s="2703">
        <f>P32-P33</f>
        <v>245318.15853171371</v>
      </c>
      <c r="Q34" s="2704"/>
      <c r="R34" s="2704"/>
      <c r="S34" s="2706"/>
      <c r="T34" s="2703">
        <f>T32-T33</f>
        <v>44819.634853171374</v>
      </c>
      <c r="U34" s="2704"/>
      <c r="V34" s="2704"/>
      <c r="W34" s="2708"/>
      <c r="X34" s="2709">
        <f>X32-X33</f>
        <v>1189459.1461837185</v>
      </c>
      <c r="Y34" s="2710"/>
      <c r="Z34" s="2710"/>
      <c r="AA34" s="2711"/>
      <c r="AE34" s="2676"/>
    </row>
    <row r="35" spans="1:31" s="2610" customFormat="1" ht="12.75">
      <c r="A35" s="2680"/>
      <c r="B35" s="2675"/>
      <c r="C35" s="2675"/>
      <c r="D35" s="3115"/>
      <c r="E35" s="3115"/>
      <c r="F35" s="3115"/>
      <c r="G35" s="3115"/>
      <c r="H35" s="3115"/>
      <c r="I35" s="3115"/>
      <c r="J35" s="3115"/>
      <c r="K35" s="3115"/>
      <c r="L35" s="3115"/>
      <c r="M35" s="3115"/>
      <c r="N35" s="3115"/>
      <c r="O35" s="3115"/>
      <c r="P35" s="3115"/>
      <c r="Q35" s="3115"/>
      <c r="R35" s="3115"/>
      <c r="S35" s="3115"/>
      <c r="T35" s="3115"/>
      <c r="U35" s="3115"/>
      <c r="V35" s="3115"/>
      <c r="W35" s="3115"/>
      <c r="X35" s="3115"/>
      <c r="Y35" s="3115"/>
      <c r="Z35" s="3115"/>
      <c r="AA35" s="3116"/>
      <c r="AE35" s="2676"/>
    </row>
    <row r="36" spans="1:31" s="2714" customFormat="1" ht="12">
      <c r="A36" s="2680"/>
      <c r="B36" s="2712"/>
      <c r="C36" s="2713"/>
      <c r="D36" s="3117" t="s">
        <v>1086</v>
      </c>
      <c r="E36" s="3118"/>
      <c r="F36" s="3118"/>
      <c r="G36" s="3118"/>
      <c r="H36" s="3119"/>
      <c r="I36" s="3120" t="s">
        <v>1087</v>
      </c>
      <c r="J36" s="3120"/>
      <c r="K36" s="3120"/>
      <c r="L36" s="3120"/>
      <c r="M36" s="3120"/>
      <c r="N36" s="3120"/>
      <c r="O36" s="3120"/>
      <c r="P36" s="3120"/>
      <c r="Q36" s="3120"/>
      <c r="R36" s="3120"/>
      <c r="S36" s="3120"/>
      <c r="T36" s="3120"/>
      <c r="U36" s="3120"/>
      <c r="V36" s="3120"/>
      <c r="W36" s="3120"/>
      <c r="X36" s="3121" t="s">
        <v>438</v>
      </c>
      <c r="Y36" s="3122"/>
      <c r="Z36" s="3122"/>
      <c r="AA36" s="3123"/>
      <c r="AE36" s="2715"/>
    </row>
    <row r="37" spans="1:31" s="2714" customFormat="1" ht="12.75">
      <c r="A37" s="2680"/>
      <c r="B37" s="2716"/>
      <c r="C37" s="2717"/>
      <c r="D37" s="3124"/>
      <c r="E37" s="3125"/>
      <c r="F37" s="3125"/>
      <c r="G37" s="3125"/>
      <c r="H37" s="3126"/>
      <c r="I37" s="3127" t="s">
        <v>1088</v>
      </c>
      <c r="J37" s="3128"/>
      <c r="K37" s="3128"/>
      <c r="L37" s="3128"/>
      <c r="M37" s="3129"/>
      <c r="N37" s="3127" t="s">
        <v>1089</v>
      </c>
      <c r="O37" s="3128"/>
      <c r="P37" s="3128"/>
      <c r="Q37" s="3128"/>
      <c r="R37" s="3129"/>
      <c r="S37" s="3127" t="s">
        <v>406</v>
      </c>
      <c r="T37" s="3128"/>
      <c r="U37" s="3128"/>
      <c r="V37" s="3128"/>
      <c r="W37" s="3129"/>
      <c r="X37" s="3130"/>
      <c r="Y37" s="3131"/>
      <c r="Z37" s="3131"/>
      <c r="AA37" s="3132"/>
      <c r="AD37" s="2718"/>
      <c r="AE37" s="2715"/>
    </row>
    <row r="38" spans="1:31" s="2678" customFormat="1" ht="12.75">
      <c r="A38" s="2680"/>
      <c r="B38" s="2719"/>
      <c r="C38" s="2720"/>
      <c r="D38" s="3133" t="s">
        <v>234</v>
      </c>
      <c r="E38" s="3134"/>
      <c r="F38" s="3134"/>
      <c r="G38" s="3134"/>
      <c r="H38" s="3135" t="s">
        <v>261</v>
      </c>
      <c r="I38" s="3136" t="s">
        <v>234</v>
      </c>
      <c r="J38" s="3136"/>
      <c r="K38" s="3136"/>
      <c r="L38" s="3136"/>
      <c r="M38" s="3137" t="s">
        <v>261</v>
      </c>
      <c r="N38" s="3136" t="s">
        <v>234</v>
      </c>
      <c r="O38" s="3136"/>
      <c r="P38" s="3136"/>
      <c r="Q38" s="3136"/>
      <c r="R38" s="3137" t="s">
        <v>261</v>
      </c>
      <c r="S38" s="3136" t="s">
        <v>234</v>
      </c>
      <c r="T38" s="3136"/>
      <c r="U38" s="3136"/>
      <c r="V38" s="3136"/>
      <c r="W38" s="3137" t="s">
        <v>261</v>
      </c>
      <c r="X38" s="3138" t="s">
        <v>234</v>
      </c>
      <c r="Y38" s="3139"/>
      <c r="Z38" s="3140"/>
      <c r="AA38" s="2721" t="s">
        <v>261</v>
      </c>
      <c r="AE38" s="2679"/>
    </row>
    <row r="39" spans="1:31" s="2610" customFormat="1" ht="12.75">
      <c r="A39" s="2680"/>
      <c r="B39" s="2722" t="s">
        <v>1074</v>
      </c>
      <c r="C39" s="2723"/>
      <c r="D39" s="2729">
        <f>[12]Summary!D41</f>
        <v>118044.91086050001</v>
      </c>
      <c r="E39" s="2730"/>
      <c r="F39" s="2730"/>
      <c r="G39" s="2730"/>
      <c r="H39" s="2688">
        <f>IF($G23&gt;0,D39/$G23,0)</f>
        <v>4.7495532070386592E-2</v>
      </c>
      <c r="I39" s="2724">
        <f>[12]Summary!D29+[12]Summary!D34+[12]Summary!D33</f>
        <v>564334.88433500007</v>
      </c>
      <c r="J39" s="2725"/>
      <c r="K39" s="2725"/>
      <c r="L39" s="2725"/>
      <c r="M39" s="2688">
        <f>IF($G23&gt;0,I39/$G23,0)</f>
        <v>0.22706091606986684</v>
      </c>
      <c r="N39" s="2724">
        <f>[12]Summary!D32+[12]Summary!D35</f>
        <v>0</v>
      </c>
      <c r="O39" s="2725"/>
      <c r="P39" s="2725"/>
      <c r="Q39" s="2725"/>
      <c r="R39" s="2688">
        <f>IF($G23&gt;0,N39/$G23,0)</f>
        <v>0</v>
      </c>
      <c r="S39" s="2687">
        <f>I39+N39</f>
        <v>564334.88433500007</v>
      </c>
      <c r="T39" s="2687"/>
      <c r="U39" s="2687"/>
      <c r="V39" s="2687"/>
      <c r="W39" s="2688">
        <f>IF($G23&gt;0,S39/$G23,0)</f>
        <v>0.22706091606986684</v>
      </c>
      <c r="X39" s="2614">
        <f>[12]Summary!D43</f>
        <v>11500</v>
      </c>
      <c r="Y39" s="2615"/>
      <c r="Z39" s="2616"/>
      <c r="AA39" s="2726">
        <f>IF($G23&gt;0,X39/$G23,0)</f>
        <v>4.6270408002164363E-3</v>
      </c>
      <c r="AC39" s="2611"/>
      <c r="AE39" s="2676"/>
    </row>
    <row r="40" spans="1:31" s="2610" customFormat="1" ht="12.75">
      <c r="A40" s="2680"/>
      <c r="B40" s="2727" t="s">
        <v>493</v>
      </c>
      <c r="C40" s="2728"/>
      <c r="D40" s="2729">
        <f>[12]Summary!E42</f>
        <v>35765</v>
      </c>
      <c r="E40" s="2730"/>
      <c r="F40" s="2730"/>
      <c r="G40" s="2730"/>
      <c r="H40" s="2696">
        <f>IF($G25&gt;0,D40/$G25,0)</f>
        <v>3.005826790018502E-2</v>
      </c>
      <c r="I40" s="2729">
        <f>[12]Summary!E29+[12]Summary!E34+[12]Summary!E33+[12]Summary!E31+[12]Summary!E30</f>
        <v>537757.24659999995</v>
      </c>
      <c r="J40" s="2730"/>
      <c r="K40" s="2730"/>
      <c r="L40" s="2730"/>
      <c r="M40" s="2696">
        <f>IF($G25&gt;0,I40/$G25,0)</f>
        <v>0.45195166737225384</v>
      </c>
      <c r="N40" s="2729">
        <f>[12]Summary!E32+[12]Summary!E35</f>
        <v>4282.5503846153842</v>
      </c>
      <c r="O40" s="2730"/>
      <c r="P40" s="2730"/>
      <c r="Q40" s="2730"/>
      <c r="R40" s="2696">
        <f>IF($G25&gt;0,N40/$G25,0)</f>
        <v>3.5992184190356386E-3</v>
      </c>
      <c r="S40" s="2731">
        <f>I40+N40</f>
        <v>542039.79698461539</v>
      </c>
      <c r="T40" s="2732"/>
      <c r="U40" s="2732"/>
      <c r="V40" s="2694"/>
      <c r="W40" s="2696">
        <f>IF($G25&gt;0,S40/$G25,0)</f>
        <v>0.45555088579128949</v>
      </c>
      <c r="X40" s="2731">
        <f>[12]Summary!E43</f>
        <v>10000</v>
      </c>
      <c r="Y40" s="2732"/>
      <c r="Z40" s="2694"/>
      <c r="AA40" s="2733">
        <f>IF($G25&gt;0,X40/$G25,0)</f>
        <v>8.4043807913281188E-3</v>
      </c>
      <c r="AE40" s="2676"/>
    </row>
    <row r="41" spans="1:31" s="2610" customFormat="1" ht="13.5" thickBot="1">
      <c r="A41" s="2734"/>
      <c r="B41" s="2735" t="s">
        <v>1085</v>
      </c>
      <c r="C41" s="2736"/>
      <c r="D41" s="2737">
        <f>D39-D40</f>
        <v>82279.910860500007</v>
      </c>
      <c r="E41" s="2738"/>
      <c r="F41" s="2738"/>
      <c r="G41" s="2738"/>
      <c r="H41" s="2739"/>
      <c r="I41" s="2740">
        <f>I39-I40</f>
        <v>26577.637735000113</v>
      </c>
      <c r="J41" s="2740"/>
      <c r="K41" s="2740"/>
      <c r="L41" s="2740"/>
      <c r="M41" s="2739"/>
      <c r="N41" s="2740">
        <f>N39-N40</f>
        <v>-4282.5503846153842</v>
      </c>
      <c r="O41" s="2740"/>
      <c r="P41" s="2740"/>
      <c r="Q41" s="2740"/>
      <c r="R41" s="2739"/>
      <c r="S41" s="2740">
        <f>S39-S40</f>
        <v>22295.087350384681</v>
      </c>
      <c r="T41" s="2740"/>
      <c r="U41" s="2740"/>
      <c r="V41" s="2740"/>
      <c r="W41" s="2739"/>
      <c r="X41" s="2741">
        <f>X39-X40</f>
        <v>1500</v>
      </c>
      <c r="Y41" s="2742"/>
      <c r="Z41" s="2743"/>
      <c r="AA41" s="2744"/>
      <c r="AE41" s="2676"/>
    </row>
    <row r="42" spans="1:31" s="2610" customFormat="1" ht="13.5" thickTop="1">
      <c r="A42" s="2599"/>
      <c r="B42" s="2599"/>
      <c r="C42" s="2599"/>
      <c r="D42" s="2599"/>
      <c r="E42" s="2599"/>
      <c r="F42" s="2599"/>
      <c r="G42" s="2599"/>
      <c r="H42" s="2599"/>
      <c r="I42" s="2599"/>
      <c r="J42" s="2599"/>
      <c r="K42" s="2599"/>
      <c r="L42" s="2599"/>
      <c r="M42" s="2599"/>
      <c r="N42" s="2599"/>
      <c r="O42" s="2599"/>
      <c r="P42" s="2599"/>
      <c r="Q42" s="2599"/>
      <c r="R42" s="2599"/>
      <c r="S42" s="2599"/>
      <c r="T42" s="2599"/>
      <c r="U42" s="2599"/>
      <c r="V42" s="2599"/>
      <c r="W42" s="2599"/>
      <c r="X42" s="2599"/>
      <c r="Y42" s="2599"/>
      <c r="Z42" s="2599"/>
      <c r="AA42" s="2599"/>
      <c r="AE42" s="2676"/>
    </row>
    <row r="43" spans="1:31" s="2610" customFormat="1" ht="13.5" thickBot="1">
      <c r="A43" s="2745" t="s">
        <v>1090</v>
      </c>
      <c r="B43" s="2746"/>
      <c r="C43" s="2746"/>
      <c r="D43" s="2746"/>
      <c r="E43" s="2746"/>
      <c r="F43" s="2746"/>
      <c r="G43" s="2746"/>
      <c r="H43" s="2746"/>
      <c r="I43" s="2746"/>
      <c r="J43" s="2746"/>
      <c r="K43" s="2746"/>
      <c r="L43" s="2746"/>
      <c r="M43" s="2746"/>
      <c r="N43" s="2746"/>
      <c r="O43" s="2746"/>
      <c r="P43" s="2746"/>
      <c r="Q43" s="2746"/>
      <c r="R43" s="2746"/>
      <c r="S43" s="2746"/>
      <c r="T43" s="2746"/>
      <c r="U43" s="2746"/>
      <c r="V43" s="2746"/>
      <c r="W43" s="2746"/>
      <c r="X43" s="2746"/>
      <c r="Y43" s="2746"/>
      <c r="Z43" s="2746"/>
      <c r="AA43" s="2747"/>
      <c r="AE43" s="2676"/>
    </row>
    <row r="44" spans="1:31" s="2678" customFormat="1" ht="13.5" thickTop="1">
      <c r="A44" s="2748">
        <v>1</v>
      </c>
      <c r="B44" s="2749" t="s">
        <v>1091</v>
      </c>
      <c r="C44" s="2750"/>
      <c r="D44" s="2750"/>
      <c r="E44" s="2750"/>
      <c r="F44" s="2750"/>
      <c r="G44" s="2750"/>
      <c r="H44" s="2750"/>
      <c r="I44" s="2750"/>
      <c r="J44" s="2751">
        <v>2</v>
      </c>
      <c r="K44" s="2752" t="s">
        <v>1092</v>
      </c>
      <c r="L44" s="2752"/>
      <c r="M44" s="2752"/>
      <c r="N44" s="2752"/>
      <c r="O44" s="2752"/>
      <c r="P44" s="2752"/>
      <c r="Q44" s="2752"/>
      <c r="R44" s="2753"/>
      <c r="S44" s="2754">
        <v>3</v>
      </c>
      <c r="T44" s="2755" t="s">
        <v>1093</v>
      </c>
      <c r="U44" s="2750"/>
      <c r="V44" s="2750"/>
      <c r="W44" s="2750"/>
      <c r="X44" s="2750"/>
      <c r="Y44" s="2750"/>
      <c r="Z44" s="2750"/>
      <c r="AA44" s="2756"/>
      <c r="AB44" s="2757"/>
      <c r="AE44" s="2679"/>
    </row>
    <row r="45" spans="1:31" s="2610" customFormat="1" ht="13.5">
      <c r="A45" s="2758" t="s">
        <v>106</v>
      </c>
      <c r="B45" s="2759" t="s">
        <v>1094</v>
      </c>
      <c r="C45" s="2759"/>
      <c r="D45" s="2759"/>
      <c r="E45" s="2759"/>
      <c r="F45" s="2759"/>
      <c r="G45" s="2760"/>
      <c r="H45" s="2761" t="s">
        <v>1095</v>
      </c>
      <c r="I45" s="2762"/>
      <c r="J45" s="2763" t="s">
        <v>106</v>
      </c>
      <c r="K45" s="2764" t="s">
        <v>1094</v>
      </c>
      <c r="L45" s="2764"/>
      <c r="M45" s="2764"/>
      <c r="N45" s="2764"/>
      <c r="O45" s="2764"/>
      <c r="P45" s="2764"/>
      <c r="Q45" s="2765" t="s">
        <v>1095</v>
      </c>
      <c r="R45" s="2766"/>
      <c r="S45" s="2767" t="s">
        <v>106</v>
      </c>
      <c r="T45" s="2759" t="s">
        <v>1094</v>
      </c>
      <c r="U45" s="2759"/>
      <c r="V45" s="2759"/>
      <c r="W45" s="2759"/>
      <c r="X45" s="2759"/>
      <c r="Y45" s="2760"/>
      <c r="Z45" s="2761" t="s">
        <v>1095</v>
      </c>
      <c r="AA45" s="2768"/>
      <c r="AB45" s="2675"/>
      <c r="AE45" s="2676"/>
    </row>
    <row r="46" spans="1:31" s="2610" customFormat="1" ht="13.5">
      <c r="A46" s="2769">
        <v>1</v>
      </c>
      <c r="B46" s="2770" t="s">
        <v>1096</v>
      </c>
      <c r="C46" s="2771"/>
      <c r="D46" s="2771"/>
      <c r="E46" s="2771"/>
      <c r="F46" s="2771"/>
      <c r="G46" s="2772"/>
      <c r="H46" s="2773"/>
      <c r="I46" s="2774"/>
      <c r="J46" s="2775">
        <v>1</v>
      </c>
      <c r="K46" s="2776" t="s">
        <v>1097</v>
      </c>
      <c r="L46" s="2776"/>
      <c r="M46" s="2776"/>
      <c r="N46" s="2776"/>
      <c r="O46" s="2776"/>
      <c r="P46" s="2776"/>
      <c r="Q46" s="2777"/>
      <c r="R46" s="2778"/>
      <c r="S46" s="2779"/>
      <c r="T46" s="2780" t="s">
        <v>1098</v>
      </c>
      <c r="U46" s="2781"/>
      <c r="V46" s="2781"/>
      <c r="W46" s="2781"/>
      <c r="X46" s="2781"/>
      <c r="Y46" s="2782"/>
      <c r="Z46" s="2783"/>
      <c r="AA46" s="2784"/>
      <c r="AB46" s="2675"/>
      <c r="AE46" s="2676"/>
    </row>
    <row r="47" spans="1:31" s="2610" customFormat="1" ht="43.5" customHeight="1">
      <c r="A47" s="2785">
        <v>2</v>
      </c>
      <c r="B47" s="2786" t="s">
        <v>1099</v>
      </c>
      <c r="C47" s="2787"/>
      <c r="D47" s="2787"/>
      <c r="E47" s="2787"/>
      <c r="F47" s="2787"/>
      <c r="G47" s="2788"/>
      <c r="H47" s="2789"/>
      <c r="I47" s="2790"/>
      <c r="J47" s="2791">
        <v>2</v>
      </c>
      <c r="K47" s="2792" t="s">
        <v>1100</v>
      </c>
      <c r="L47" s="2792"/>
      <c r="M47" s="2792"/>
      <c r="N47" s="2792"/>
      <c r="O47" s="2792"/>
      <c r="P47" s="2792"/>
      <c r="Q47" s="2793"/>
      <c r="R47" s="2794"/>
      <c r="S47" s="2795"/>
      <c r="T47" s="2796"/>
      <c r="U47" s="2797"/>
      <c r="V47" s="2797"/>
      <c r="W47" s="2797"/>
      <c r="X47" s="2797"/>
      <c r="Y47" s="2798"/>
      <c r="Z47" s="2799"/>
      <c r="AA47" s="2800"/>
      <c r="AB47" s="2675"/>
      <c r="AE47" s="2676"/>
    </row>
    <row r="48" spans="1:31" s="2610" customFormat="1" ht="13.5">
      <c r="A48" s="2785"/>
      <c r="B48" s="2786"/>
      <c r="C48" s="2787"/>
      <c r="D48" s="2787"/>
      <c r="E48" s="2787"/>
      <c r="F48" s="2787"/>
      <c r="G48" s="2788"/>
      <c r="H48" s="2801"/>
      <c r="I48" s="2802"/>
      <c r="J48" s="2791"/>
      <c r="K48" s="2803"/>
      <c r="L48" s="2803"/>
      <c r="M48" s="2803"/>
      <c r="N48" s="2803"/>
      <c r="O48" s="2803"/>
      <c r="P48" s="2803"/>
      <c r="Q48" s="2793"/>
      <c r="R48" s="2794"/>
      <c r="S48" s="2795"/>
      <c r="T48" s="2796"/>
      <c r="U48" s="2797"/>
      <c r="V48" s="2797"/>
      <c r="W48" s="2797"/>
      <c r="X48" s="2797"/>
      <c r="Y48" s="2798"/>
      <c r="Z48" s="2799"/>
      <c r="AA48" s="2800"/>
      <c r="AB48" s="2675"/>
      <c r="AE48" s="2676"/>
    </row>
    <row r="49" spans="1:31" s="2610" customFormat="1" ht="13.5">
      <c r="A49" s="2785"/>
      <c r="B49" s="2786"/>
      <c r="C49" s="2787"/>
      <c r="D49" s="2787"/>
      <c r="E49" s="2787"/>
      <c r="F49" s="2787"/>
      <c r="G49" s="2788"/>
      <c r="H49" s="2801"/>
      <c r="I49" s="2802"/>
      <c r="J49" s="2791"/>
      <c r="K49" s="2803"/>
      <c r="L49" s="2803"/>
      <c r="M49" s="2803"/>
      <c r="N49" s="2803"/>
      <c r="O49" s="2803"/>
      <c r="P49" s="2803"/>
      <c r="Q49" s="2793"/>
      <c r="R49" s="2794"/>
      <c r="S49" s="2795"/>
      <c r="T49" s="2796"/>
      <c r="U49" s="2797"/>
      <c r="V49" s="2797"/>
      <c r="W49" s="2797"/>
      <c r="X49" s="2797"/>
      <c r="Y49" s="2798"/>
      <c r="Z49" s="2799"/>
      <c r="AA49" s="2800"/>
      <c r="AB49" s="2675"/>
      <c r="AE49" s="2676"/>
    </row>
    <row r="50" spans="1:31" s="2610" customFormat="1" ht="13.5">
      <c r="A50" s="2785"/>
      <c r="B50" s="2786"/>
      <c r="C50" s="2787"/>
      <c r="D50" s="2787"/>
      <c r="E50" s="2787"/>
      <c r="F50" s="2787"/>
      <c r="G50" s="2788"/>
      <c r="H50" s="2801"/>
      <c r="I50" s="2802"/>
      <c r="J50" s="2791"/>
      <c r="K50" s="2803"/>
      <c r="L50" s="2803"/>
      <c r="M50" s="2803"/>
      <c r="N50" s="2803"/>
      <c r="O50" s="2803"/>
      <c r="P50" s="2803"/>
      <c r="Q50" s="2793"/>
      <c r="R50" s="2794"/>
      <c r="S50" s="2795"/>
      <c r="T50" s="2796"/>
      <c r="U50" s="2797"/>
      <c r="V50" s="2797"/>
      <c r="W50" s="2797"/>
      <c r="X50" s="2797"/>
      <c r="Y50" s="2798"/>
      <c r="Z50" s="2799"/>
      <c r="AA50" s="2800"/>
      <c r="AB50" s="2675"/>
      <c r="AE50" s="2676"/>
    </row>
    <row r="51" spans="1:31" s="2610" customFormat="1" ht="13.5">
      <c r="A51" s="2785"/>
      <c r="B51" s="2786"/>
      <c r="C51" s="2787"/>
      <c r="D51" s="2787"/>
      <c r="E51" s="2787"/>
      <c r="F51" s="2787"/>
      <c r="G51" s="2788"/>
      <c r="H51" s="2801"/>
      <c r="I51" s="2802"/>
      <c r="J51" s="2791"/>
      <c r="K51" s="2803"/>
      <c r="L51" s="2803"/>
      <c r="M51" s="2803"/>
      <c r="N51" s="2803"/>
      <c r="O51" s="2803"/>
      <c r="P51" s="2803"/>
      <c r="Q51" s="2793"/>
      <c r="R51" s="2794"/>
      <c r="S51" s="2804">
        <v>4</v>
      </c>
      <c r="T51" s="2805" t="s">
        <v>1101</v>
      </c>
      <c r="U51" s="2806"/>
      <c r="V51" s="2806"/>
      <c r="W51" s="2806"/>
      <c r="X51" s="2806"/>
      <c r="Y51" s="2806"/>
      <c r="Z51" s="2806"/>
      <c r="AA51" s="2807"/>
      <c r="AB51" s="2675"/>
      <c r="AE51" s="2676"/>
    </row>
    <row r="52" spans="1:31" s="2610" customFormat="1" ht="13.5">
      <c r="A52" s="2785"/>
      <c r="B52" s="2786"/>
      <c r="C52" s="2787"/>
      <c r="D52" s="2787"/>
      <c r="E52" s="2787"/>
      <c r="F52" s="2787"/>
      <c r="G52" s="2788"/>
      <c r="H52" s="2808"/>
      <c r="I52" s="2809"/>
      <c r="J52" s="2791"/>
      <c r="K52" s="2792"/>
      <c r="L52" s="2792"/>
      <c r="M52" s="2792"/>
      <c r="N52" s="2792"/>
      <c r="O52" s="2792"/>
      <c r="P52" s="2792"/>
      <c r="Q52" s="2810"/>
      <c r="R52" s="2811"/>
      <c r="S52" s="2767" t="s">
        <v>106</v>
      </c>
      <c r="T52" s="2759" t="s">
        <v>1094</v>
      </c>
      <c r="U52" s="2759"/>
      <c r="V52" s="2759"/>
      <c r="W52" s="2759"/>
      <c r="X52" s="2759"/>
      <c r="Y52" s="2760"/>
      <c r="Z52" s="2761" t="s">
        <v>1095</v>
      </c>
      <c r="AA52" s="2768"/>
      <c r="AB52" s="2675"/>
      <c r="AE52" s="2676"/>
    </row>
    <row r="53" spans="1:31" s="2610" customFormat="1" ht="13.5">
      <c r="A53" s="2785"/>
      <c r="B53" s="2786"/>
      <c r="C53" s="2787"/>
      <c r="D53" s="2787"/>
      <c r="E53" s="2787"/>
      <c r="F53" s="2787"/>
      <c r="G53" s="2788"/>
      <c r="H53" s="2789"/>
      <c r="I53" s="2790"/>
      <c r="J53" s="2791"/>
      <c r="K53" s="2803"/>
      <c r="L53" s="2803"/>
      <c r="M53" s="2803"/>
      <c r="N53" s="2803"/>
      <c r="O53" s="2803"/>
      <c r="P53" s="2803"/>
      <c r="Q53" s="2793"/>
      <c r="R53" s="2794"/>
      <c r="S53" s="2779"/>
      <c r="T53" s="2812" t="s">
        <v>1098</v>
      </c>
      <c r="U53" s="2813"/>
      <c r="V53" s="2813"/>
      <c r="W53" s="2813"/>
      <c r="X53" s="2813"/>
      <c r="Y53" s="2814"/>
      <c r="Z53" s="2815"/>
      <c r="AA53" s="2816"/>
      <c r="AB53" s="2675"/>
      <c r="AE53" s="2676"/>
    </row>
    <row r="54" spans="1:31" s="2610" customFormat="1" ht="13.5">
      <c r="A54" s="2785"/>
      <c r="B54" s="2786"/>
      <c r="C54" s="2787"/>
      <c r="D54" s="2787"/>
      <c r="E54" s="2787"/>
      <c r="F54" s="2787"/>
      <c r="G54" s="2788"/>
      <c r="H54" s="2817"/>
      <c r="I54" s="2818"/>
      <c r="J54" s="2791"/>
      <c r="K54" s="2803"/>
      <c r="L54" s="2803"/>
      <c r="M54" s="2803"/>
      <c r="N54" s="2803"/>
      <c r="O54" s="2803"/>
      <c r="P54" s="2803"/>
      <c r="Q54" s="2819"/>
      <c r="R54" s="2820"/>
      <c r="S54" s="2795"/>
      <c r="T54" s="2796"/>
      <c r="U54" s="2797"/>
      <c r="V54" s="2797"/>
      <c r="W54" s="2797"/>
      <c r="X54" s="2797"/>
      <c r="Y54" s="2798"/>
      <c r="Z54" s="2817"/>
      <c r="AA54" s="2821"/>
      <c r="AB54" s="2675"/>
      <c r="AE54" s="2676"/>
    </row>
    <row r="55" spans="1:31" s="2610" customFormat="1" ht="13.5">
      <c r="A55" s="2785"/>
      <c r="B55" s="2786"/>
      <c r="C55" s="2787"/>
      <c r="D55" s="2787"/>
      <c r="E55" s="2787"/>
      <c r="F55" s="2787"/>
      <c r="G55" s="2788"/>
      <c r="H55" s="2801"/>
      <c r="I55" s="2802"/>
      <c r="J55" s="2791"/>
      <c r="K55" s="2803"/>
      <c r="L55" s="2803"/>
      <c r="M55" s="2803"/>
      <c r="N55" s="2803"/>
      <c r="O55" s="2803"/>
      <c r="P55" s="2803"/>
      <c r="Q55" s="2793"/>
      <c r="R55" s="2794"/>
      <c r="S55" s="2795"/>
      <c r="T55" s="2796"/>
      <c r="U55" s="2797"/>
      <c r="V55" s="2797"/>
      <c r="W55" s="2797"/>
      <c r="X55" s="2797"/>
      <c r="Y55" s="2798"/>
      <c r="Z55" s="2801"/>
      <c r="AA55" s="2822"/>
      <c r="AB55" s="2675"/>
      <c r="AE55" s="2676"/>
    </row>
    <row r="56" spans="1:31" s="2610" customFormat="1" ht="13.5">
      <c r="A56" s="2785"/>
      <c r="B56" s="2786"/>
      <c r="C56" s="2787"/>
      <c r="D56" s="2787"/>
      <c r="E56" s="2787"/>
      <c r="F56" s="2787"/>
      <c r="G56" s="2788"/>
      <c r="H56" s="2801"/>
      <c r="I56" s="2802"/>
      <c r="J56" s="2791"/>
      <c r="K56" s="2803"/>
      <c r="L56" s="2803"/>
      <c r="M56" s="2803"/>
      <c r="N56" s="2803"/>
      <c r="O56" s="2803"/>
      <c r="P56" s="2803"/>
      <c r="Q56" s="2793"/>
      <c r="R56" s="2794"/>
      <c r="S56" s="2795"/>
      <c r="T56" s="2796"/>
      <c r="U56" s="2797"/>
      <c r="V56" s="2797"/>
      <c r="W56" s="2797"/>
      <c r="X56" s="2797"/>
      <c r="Y56" s="2798"/>
      <c r="Z56" s="2808"/>
      <c r="AA56" s="2823"/>
      <c r="AB56" s="2675"/>
      <c r="AE56" s="2676"/>
    </row>
    <row r="57" spans="1:31" s="2610" customFormat="1" ht="13.5">
      <c r="A57" s="2824"/>
      <c r="B57" s="2786"/>
      <c r="C57" s="2787"/>
      <c r="D57" s="2787"/>
      <c r="E57" s="2787"/>
      <c r="F57" s="2787"/>
      <c r="G57" s="2788"/>
      <c r="H57" s="2801"/>
      <c r="I57" s="2802"/>
      <c r="J57" s="2825"/>
      <c r="K57" s="2803"/>
      <c r="L57" s="2803"/>
      <c r="M57" s="2803"/>
      <c r="N57" s="2803"/>
      <c r="O57" s="2803"/>
      <c r="P57" s="2803"/>
      <c r="Q57" s="2793"/>
      <c r="R57" s="2794"/>
      <c r="S57" s="2826"/>
      <c r="T57" s="2827"/>
      <c r="U57" s="2828"/>
      <c r="V57" s="2828"/>
      <c r="W57" s="2828"/>
      <c r="X57" s="2828"/>
      <c r="Y57" s="2829"/>
      <c r="Z57" s="2830"/>
      <c r="AA57" s="2831"/>
      <c r="AB57" s="2675"/>
      <c r="AE57" s="2676"/>
    </row>
    <row r="58" spans="1:31" s="2610" customFormat="1" ht="12.75">
      <c r="A58" s="2832">
        <v>5</v>
      </c>
      <c r="B58" s="2805" t="s">
        <v>1102</v>
      </c>
      <c r="C58" s="2806"/>
      <c r="D58" s="2806"/>
      <c r="E58" s="2806"/>
      <c r="F58" s="2806"/>
      <c r="G58" s="2806"/>
      <c r="H58" s="2806"/>
      <c r="I58" s="2806"/>
      <c r="J58" s="2833">
        <v>6</v>
      </c>
      <c r="K58" s="2834" t="s">
        <v>294</v>
      </c>
      <c r="L58" s="2834"/>
      <c r="M58" s="2834"/>
      <c r="N58" s="2834"/>
      <c r="O58" s="2834"/>
      <c r="P58" s="2834"/>
      <c r="Q58" s="2834"/>
      <c r="R58" s="2835"/>
      <c r="S58" s="2804">
        <v>7</v>
      </c>
      <c r="T58" s="2805" t="s">
        <v>1103</v>
      </c>
      <c r="U58" s="2806"/>
      <c r="V58" s="2806"/>
      <c r="W58" s="2806"/>
      <c r="X58" s="2806"/>
      <c r="Y58" s="2806"/>
      <c r="Z58" s="2806"/>
      <c r="AA58" s="2807"/>
      <c r="AB58" s="2675"/>
      <c r="AE58" s="2676"/>
    </row>
    <row r="59" spans="1:31" s="2610" customFormat="1" ht="12.75">
      <c r="A59" s="2836" t="s">
        <v>106</v>
      </c>
      <c r="B59" s="2759" t="s">
        <v>1094</v>
      </c>
      <c r="C59" s="2759"/>
      <c r="D59" s="2759"/>
      <c r="E59" s="2759"/>
      <c r="F59" s="2759"/>
      <c r="G59" s="2760"/>
      <c r="H59" s="2761" t="s">
        <v>1095</v>
      </c>
      <c r="I59" s="2762"/>
      <c r="J59" s="2763" t="s">
        <v>106</v>
      </c>
      <c r="K59" s="2764" t="s">
        <v>1094</v>
      </c>
      <c r="L59" s="2764"/>
      <c r="M59" s="2764"/>
      <c r="N59" s="2764"/>
      <c r="O59" s="2764"/>
      <c r="P59" s="2764"/>
      <c r="Q59" s="2765" t="s">
        <v>1095</v>
      </c>
      <c r="R59" s="2766"/>
      <c r="S59" s="2767" t="s">
        <v>106</v>
      </c>
      <c r="T59" s="2759" t="s">
        <v>1094</v>
      </c>
      <c r="U59" s="2759"/>
      <c r="V59" s="2759"/>
      <c r="W59" s="2759"/>
      <c r="X59" s="2759"/>
      <c r="Y59" s="2760"/>
      <c r="Z59" s="2761" t="s">
        <v>1095</v>
      </c>
      <c r="AA59" s="2768"/>
      <c r="AB59" s="2675"/>
      <c r="AE59" s="2676"/>
    </row>
    <row r="60" spans="1:31" s="2610" customFormat="1" ht="13.5">
      <c r="A60" s="2769"/>
      <c r="B60" s="2837" t="s">
        <v>1098</v>
      </c>
      <c r="C60" s="2838"/>
      <c r="D60" s="2838"/>
      <c r="E60" s="2838"/>
      <c r="F60" s="2838"/>
      <c r="G60" s="2839"/>
      <c r="H60" s="2840"/>
      <c r="I60" s="2841"/>
      <c r="J60" s="2842">
        <v>1</v>
      </c>
      <c r="K60" s="2843" t="s">
        <v>1104</v>
      </c>
      <c r="L60" s="2843"/>
      <c r="M60" s="2843"/>
      <c r="N60" s="2843"/>
      <c r="O60" s="2843"/>
      <c r="P60" s="2843"/>
      <c r="Q60" s="2844"/>
      <c r="R60" s="2845"/>
      <c r="S60" s="2779"/>
      <c r="T60" s="2812" t="s">
        <v>1098</v>
      </c>
      <c r="U60" s="2813"/>
      <c r="V60" s="2813"/>
      <c r="W60" s="2813"/>
      <c r="X60" s="2813"/>
      <c r="Y60" s="2814"/>
      <c r="Z60" s="2783"/>
      <c r="AA60" s="2784"/>
      <c r="AB60" s="2675"/>
      <c r="AE60" s="2676"/>
    </row>
    <row r="61" spans="1:31" s="2610" customFormat="1" ht="33" customHeight="1">
      <c r="A61" s="2785"/>
      <c r="B61" s="2786"/>
      <c r="C61" s="2787"/>
      <c r="D61" s="2787"/>
      <c r="E61" s="2787"/>
      <c r="F61" s="2787"/>
      <c r="G61" s="2788"/>
      <c r="H61" s="2799"/>
      <c r="I61" s="2846"/>
      <c r="J61" s="2847">
        <v>2</v>
      </c>
      <c r="K61" s="2848" t="s">
        <v>1105</v>
      </c>
      <c r="L61" s="2848"/>
      <c r="M61" s="2848"/>
      <c r="N61" s="2848"/>
      <c r="O61" s="2848"/>
      <c r="P61" s="2848"/>
      <c r="Q61" s="2849"/>
      <c r="R61" s="2850"/>
      <c r="S61" s="2795"/>
      <c r="T61" s="2796"/>
      <c r="U61" s="2797"/>
      <c r="V61" s="2797"/>
      <c r="W61" s="2797"/>
      <c r="X61" s="2797"/>
      <c r="Y61" s="2798"/>
      <c r="Z61" s="2799"/>
      <c r="AA61" s="2800"/>
      <c r="AB61" s="2675"/>
      <c r="AE61" s="2676"/>
    </row>
    <row r="62" spans="1:31" s="2610" customFormat="1" ht="13.5">
      <c r="A62" s="2785"/>
      <c r="B62" s="2786"/>
      <c r="C62" s="2787"/>
      <c r="D62" s="2787"/>
      <c r="E62" s="2787"/>
      <c r="F62" s="2787"/>
      <c r="G62" s="2788"/>
      <c r="H62" s="2799"/>
      <c r="I62" s="2846"/>
      <c r="J62" s="2842">
        <v>3</v>
      </c>
      <c r="K62" s="2848" t="s">
        <v>1106</v>
      </c>
      <c r="L62" s="2848"/>
      <c r="M62" s="2848"/>
      <c r="N62" s="2848"/>
      <c r="O62" s="2848"/>
      <c r="P62" s="2848"/>
      <c r="Q62" s="2849"/>
      <c r="R62" s="2850"/>
      <c r="S62" s="2795"/>
      <c r="T62" s="2796"/>
      <c r="U62" s="2797"/>
      <c r="V62" s="2797"/>
      <c r="W62" s="2797"/>
      <c r="X62" s="2797"/>
      <c r="Y62" s="2798"/>
      <c r="Z62" s="2799"/>
      <c r="AA62" s="2800"/>
      <c r="AB62" s="2675"/>
      <c r="AE62" s="2676"/>
    </row>
    <row r="63" spans="1:31" s="2610" customFormat="1" ht="13.5">
      <c r="A63" s="2785"/>
      <c r="B63" s="2786"/>
      <c r="C63" s="2787"/>
      <c r="D63" s="2787"/>
      <c r="E63" s="2787"/>
      <c r="F63" s="2787"/>
      <c r="G63" s="2788"/>
      <c r="H63" s="2799"/>
      <c r="I63" s="2846"/>
      <c r="J63" s="2847">
        <v>4</v>
      </c>
      <c r="K63" s="2848" t="s">
        <v>1107</v>
      </c>
      <c r="L63" s="2848"/>
      <c r="M63" s="2848"/>
      <c r="N63" s="2848"/>
      <c r="O63" s="2848"/>
      <c r="P63" s="2848"/>
      <c r="Q63" s="2849"/>
      <c r="R63" s="2850"/>
      <c r="S63" s="2795"/>
      <c r="T63" s="2796"/>
      <c r="U63" s="2797"/>
      <c r="V63" s="2797"/>
      <c r="W63" s="2797"/>
      <c r="X63" s="2797"/>
      <c r="Y63" s="2798"/>
      <c r="Z63" s="2799"/>
      <c r="AA63" s="2800"/>
      <c r="AB63" s="2675"/>
      <c r="AE63" s="2676"/>
    </row>
    <row r="64" spans="1:31" s="2610" customFormat="1" ht="13.5">
      <c r="A64" s="2785"/>
      <c r="B64" s="2786"/>
      <c r="C64" s="2787"/>
      <c r="D64" s="2787"/>
      <c r="E64" s="2787"/>
      <c r="F64" s="2787"/>
      <c r="G64" s="2788"/>
      <c r="H64" s="2799"/>
      <c r="I64" s="2846"/>
      <c r="J64" s="2851"/>
      <c r="K64" s="2852"/>
      <c r="L64" s="2852"/>
      <c r="M64" s="2852"/>
      <c r="N64" s="2852"/>
      <c r="O64" s="2852"/>
      <c r="P64" s="2852"/>
      <c r="Q64" s="2849"/>
      <c r="R64" s="2850"/>
      <c r="S64" s="2795"/>
      <c r="T64" s="2796"/>
      <c r="U64" s="2797"/>
      <c r="V64" s="2797"/>
      <c r="W64" s="2797"/>
      <c r="X64" s="2797"/>
      <c r="Y64" s="2798"/>
      <c r="Z64" s="2799"/>
      <c r="AA64" s="2800"/>
      <c r="AB64" s="2675"/>
      <c r="AE64" s="2676"/>
    </row>
    <row r="65" spans="1:31" s="2610" customFormat="1" ht="13.5">
      <c r="A65" s="2785"/>
      <c r="B65" s="2786"/>
      <c r="C65" s="2787"/>
      <c r="D65" s="2787"/>
      <c r="E65" s="2787"/>
      <c r="F65" s="2787"/>
      <c r="G65" s="2788"/>
      <c r="H65" s="2801"/>
      <c r="I65" s="2802"/>
      <c r="J65" s="2851"/>
      <c r="K65" s="2852"/>
      <c r="L65" s="2852"/>
      <c r="M65" s="2852"/>
      <c r="N65" s="2852"/>
      <c r="O65" s="2852"/>
      <c r="P65" s="2852"/>
      <c r="Q65" s="2849"/>
      <c r="R65" s="2850"/>
      <c r="S65" s="2795"/>
      <c r="T65" s="2796"/>
      <c r="U65" s="2797"/>
      <c r="V65" s="2797"/>
      <c r="W65" s="2797"/>
      <c r="X65" s="2797"/>
      <c r="Y65" s="2798"/>
      <c r="Z65" s="2799"/>
      <c r="AA65" s="2800"/>
      <c r="AB65" s="2675"/>
      <c r="AE65" s="2676"/>
    </row>
    <row r="66" spans="1:31" s="2610" customFormat="1" ht="13.5">
      <c r="A66" s="2785"/>
      <c r="B66" s="2786"/>
      <c r="C66" s="2787"/>
      <c r="D66" s="2787"/>
      <c r="E66" s="2787"/>
      <c r="F66" s="2787"/>
      <c r="G66" s="2788"/>
      <c r="H66" s="2801"/>
      <c r="I66" s="2802"/>
      <c r="J66" s="2851"/>
      <c r="K66" s="2852"/>
      <c r="L66" s="2852"/>
      <c r="M66" s="2852"/>
      <c r="N66" s="2852"/>
      <c r="O66" s="2852"/>
      <c r="P66" s="2852"/>
      <c r="Q66" s="2849"/>
      <c r="R66" s="2850"/>
      <c r="S66" s="2795"/>
      <c r="T66" s="2796"/>
      <c r="U66" s="2797"/>
      <c r="V66" s="2797"/>
      <c r="W66" s="2797"/>
      <c r="X66" s="2797"/>
      <c r="Y66" s="2798"/>
      <c r="Z66" s="2799"/>
      <c r="AA66" s="2800"/>
      <c r="AB66" s="2675"/>
      <c r="AE66" s="2676"/>
    </row>
    <row r="67" spans="1:31" s="2610" customFormat="1" ht="13.5">
      <c r="A67" s="2785"/>
      <c r="B67" s="2786"/>
      <c r="C67" s="2787"/>
      <c r="D67" s="2787"/>
      <c r="E67" s="2787"/>
      <c r="F67" s="2787"/>
      <c r="G67" s="2788"/>
      <c r="H67" s="2801"/>
      <c r="I67" s="2802"/>
      <c r="J67" s="2851"/>
      <c r="K67" s="2852"/>
      <c r="L67" s="2852"/>
      <c r="M67" s="2852"/>
      <c r="N67" s="2852"/>
      <c r="O67" s="2852"/>
      <c r="P67" s="2852"/>
      <c r="Q67" s="2849"/>
      <c r="R67" s="2850"/>
      <c r="S67" s="2795"/>
      <c r="T67" s="2796"/>
      <c r="U67" s="2797"/>
      <c r="V67" s="2797"/>
      <c r="W67" s="2797"/>
      <c r="X67" s="2797"/>
      <c r="Y67" s="2798"/>
      <c r="Z67" s="2799"/>
      <c r="AA67" s="2800"/>
      <c r="AB67" s="2675"/>
      <c r="AE67" s="2676"/>
    </row>
    <row r="68" spans="1:31" s="2610" customFormat="1" ht="14.25" thickBot="1">
      <c r="A68" s="2853"/>
      <c r="B68" s="2854"/>
      <c r="C68" s="2855"/>
      <c r="D68" s="2855"/>
      <c r="E68" s="2855"/>
      <c r="F68" s="2855"/>
      <c r="G68" s="2856"/>
      <c r="H68" s="2857"/>
      <c r="I68" s="2858"/>
      <c r="J68" s="2859"/>
      <c r="K68" s="2860"/>
      <c r="L68" s="2860"/>
      <c r="M68" s="2860"/>
      <c r="N68" s="2860"/>
      <c r="O68" s="2860"/>
      <c r="P68" s="2860"/>
      <c r="Q68" s="2861"/>
      <c r="R68" s="2862"/>
      <c r="S68" s="2863"/>
      <c r="T68" s="2864"/>
      <c r="U68" s="2865"/>
      <c r="V68" s="2865"/>
      <c r="W68" s="2865"/>
      <c r="X68" s="2865"/>
      <c r="Y68" s="2866"/>
      <c r="Z68" s="2867"/>
      <c r="AA68" s="2868"/>
      <c r="AB68" s="2675"/>
      <c r="AE68" s="2676"/>
    </row>
    <row r="69" spans="1:31" s="2610" customFormat="1" ht="13.5" thickTop="1">
      <c r="A69" s="2869"/>
      <c r="B69" s="2633"/>
      <c r="C69" s="2633"/>
      <c r="D69" s="2633"/>
      <c r="E69" s="2633"/>
      <c r="F69" s="2633"/>
      <c r="G69" s="2633"/>
      <c r="H69" s="2870"/>
      <c r="I69" s="2870"/>
      <c r="J69" s="2871"/>
      <c r="K69" s="2872"/>
      <c r="L69" s="2872"/>
      <c r="M69" s="2872"/>
      <c r="N69" s="2872"/>
      <c r="O69" s="2872"/>
      <c r="P69" s="2872"/>
      <c r="Q69" s="2870"/>
      <c r="R69" s="2870"/>
      <c r="S69" s="2871"/>
      <c r="T69" s="2872"/>
      <c r="U69" s="2872"/>
      <c r="V69" s="2872"/>
      <c r="W69" s="2872"/>
      <c r="X69" s="2872"/>
      <c r="Y69" s="2872"/>
      <c r="Z69" s="2870"/>
      <c r="AA69" s="2870"/>
      <c r="AB69" s="2675"/>
      <c r="AE69" s="2676"/>
    </row>
    <row r="70" spans="1:31">
      <c r="A70" s="2429"/>
      <c r="B70" s="2429"/>
      <c r="C70" s="2429"/>
      <c r="D70" s="2429"/>
      <c r="E70" s="2429"/>
      <c r="F70" s="2429"/>
      <c r="G70" s="2429"/>
      <c r="H70" s="2429"/>
      <c r="I70" s="2429"/>
      <c r="J70" s="2429"/>
      <c r="K70" s="2429"/>
      <c r="L70" s="2429"/>
      <c r="M70" s="2429"/>
      <c r="N70" s="2429"/>
      <c r="O70" s="2429"/>
      <c r="P70" s="2429"/>
      <c r="Q70" s="2429"/>
      <c r="R70" s="2429"/>
      <c r="S70" s="2429"/>
      <c r="T70" s="2429"/>
      <c r="U70" s="2873"/>
      <c r="V70" s="2873"/>
      <c r="W70" s="2873"/>
      <c r="X70" s="2873"/>
      <c r="Y70" s="2429"/>
      <c r="Z70" s="2429"/>
      <c r="AA70" s="2429"/>
      <c r="AB70" s="2429"/>
    </row>
    <row r="71" spans="1:31">
      <c r="U71" s="2874"/>
      <c r="V71" s="2874"/>
      <c r="W71" s="2874"/>
      <c r="X71" s="2874"/>
    </row>
    <row r="72" spans="1:31">
      <c r="U72" s="2875"/>
      <c r="V72" s="2874"/>
      <c r="W72" s="2874"/>
      <c r="X72" s="2874"/>
      <c r="Z72" s="2876"/>
      <c r="AA72" s="2877"/>
    </row>
    <row r="73" spans="1:31">
      <c r="V73" s="2874"/>
      <c r="W73" s="2874"/>
      <c r="X73" s="2874"/>
      <c r="Z73" s="2878"/>
      <c r="AA73" s="2878"/>
      <c r="AB73" s="2878"/>
    </row>
    <row r="74" spans="1:31">
      <c r="V74" s="2879"/>
      <c r="W74" s="2880"/>
      <c r="X74" s="2880"/>
    </row>
    <row r="75" spans="1:31">
      <c r="V75" s="2881"/>
      <c r="W75" s="2881"/>
      <c r="X75" s="2881"/>
    </row>
  </sheetData>
  <mergeCells count="339">
    <mergeCell ref="V74:X74"/>
    <mergeCell ref="V75:X75"/>
    <mergeCell ref="U70:X70"/>
    <mergeCell ref="U71:X71"/>
    <mergeCell ref="V72:X72"/>
    <mergeCell ref="Z72:AA72"/>
    <mergeCell ref="V73:X73"/>
    <mergeCell ref="Z73:AB73"/>
    <mergeCell ref="B69:G69"/>
    <mergeCell ref="H69:I69"/>
    <mergeCell ref="K69:P69"/>
    <mergeCell ref="Q69:R69"/>
    <mergeCell ref="T69:Y69"/>
    <mergeCell ref="Z69:AA69"/>
    <mergeCell ref="B68:G68"/>
    <mergeCell ref="H68:I68"/>
    <mergeCell ref="K68:P68"/>
    <mergeCell ref="Q68:R68"/>
    <mergeCell ref="T68:Y68"/>
    <mergeCell ref="Z68:AA68"/>
    <mergeCell ref="B67:G67"/>
    <mergeCell ref="H67:I67"/>
    <mergeCell ref="K67:P67"/>
    <mergeCell ref="Q67:R67"/>
    <mergeCell ref="T67:Y67"/>
    <mergeCell ref="Z67:AA67"/>
    <mergeCell ref="B66:G66"/>
    <mergeCell ref="H66:I66"/>
    <mergeCell ref="K66:P66"/>
    <mergeCell ref="Q66:R66"/>
    <mergeCell ref="T66:Y66"/>
    <mergeCell ref="Z66:AA66"/>
    <mergeCell ref="B65:G65"/>
    <mergeCell ref="H65:I65"/>
    <mergeCell ref="K65:P65"/>
    <mergeCell ref="Q65:R65"/>
    <mergeCell ref="T65:Y65"/>
    <mergeCell ref="Z65:AA65"/>
    <mergeCell ref="B64:G64"/>
    <mergeCell ref="H64:I64"/>
    <mergeCell ref="K64:P64"/>
    <mergeCell ref="Q64:R64"/>
    <mergeCell ref="T64:Y64"/>
    <mergeCell ref="Z64:AA64"/>
    <mergeCell ref="B63:G63"/>
    <mergeCell ref="H63:I63"/>
    <mergeCell ref="K63:P63"/>
    <mergeCell ref="Q63:R63"/>
    <mergeCell ref="T63:Y63"/>
    <mergeCell ref="Z63:AA63"/>
    <mergeCell ref="B62:G62"/>
    <mergeCell ref="H62:I62"/>
    <mergeCell ref="K62:P62"/>
    <mergeCell ref="Q62:R62"/>
    <mergeCell ref="T62:Y62"/>
    <mergeCell ref="Z62:AA62"/>
    <mergeCell ref="B61:G61"/>
    <mergeCell ref="H61:I61"/>
    <mergeCell ref="K61:P61"/>
    <mergeCell ref="Q61:R61"/>
    <mergeCell ref="T61:Y61"/>
    <mergeCell ref="Z61:AA61"/>
    <mergeCell ref="B60:G60"/>
    <mergeCell ref="H60:I60"/>
    <mergeCell ref="K60:P60"/>
    <mergeCell ref="Q60:R60"/>
    <mergeCell ref="T60:Y60"/>
    <mergeCell ref="Z60:AA60"/>
    <mergeCell ref="B58:I58"/>
    <mergeCell ref="K58:R58"/>
    <mergeCell ref="T58:AA58"/>
    <mergeCell ref="B59:G59"/>
    <mergeCell ref="H59:I59"/>
    <mergeCell ref="K59:P59"/>
    <mergeCell ref="Q59:R59"/>
    <mergeCell ref="T59:Y59"/>
    <mergeCell ref="Z59:AA59"/>
    <mergeCell ref="B57:G57"/>
    <mergeCell ref="H57:I57"/>
    <mergeCell ref="K57:P57"/>
    <mergeCell ref="Q57:R57"/>
    <mergeCell ref="T57:Y57"/>
    <mergeCell ref="Z57:AA57"/>
    <mergeCell ref="B56:G56"/>
    <mergeCell ref="H56:I56"/>
    <mergeCell ref="K56:P56"/>
    <mergeCell ref="Q56:R56"/>
    <mergeCell ref="T56:Y56"/>
    <mergeCell ref="Z56:AA56"/>
    <mergeCell ref="B55:G55"/>
    <mergeCell ref="H55:I55"/>
    <mergeCell ref="K55:P55"/>
    <mergeCell ref="Q55:R55"/>
    <mergeCell ref="T55:Y55"/>
    <mergeCell ref="Z55:AA55"/>
    <mergeCell ref="B54:G54"/>
    <mergeCell ref="H54:I54"/>
    <mergeCell ref="K54:P54"/>
    <mergeCell ref="Q54:R54"/>
    <mergeCell ref="T54:Y54"/>
    <mergeCell ref="Z54:AA54"/>
    <mergeCell ref="Z52:AA52"/>
    <mergeCell ref="B53:G53"/>
    <mergeCell ref="H53:I53"/>
    <mergeCell ref="K53:P53"/>
    <mergeCell ref="Q53:R53"/>
    <mergeCell ref="T53:Y53"/>
    <mergeCell ref="Z53:AA53"/>
    <mergeCell ref="B51:G51"/>
    <mergeCell ref="H51:I51"/>
    <mergeCell ref="K51:P51"/>
    <mergeCell ref="Q51:R51"/>
    <mergeCell ref="T51:AA51"/>
    <mergeCell ref="B52:G52"/>
    <mergeCell ref="H52:I52"/>
    <mergeCell ref="K52:P52"/>
    <mergeCell ref="Q52:R52"/>
    <mergeCell ref="T52:Y52"/>
    <mergeCell ref="B50:G50"/>
    <mergeCell ref="H50:I50"/>
    <mergeCell ref="K50:P50"/>
    <mergeCell ref="Q50:R50"/>
    <mergeCell ref="T50:Y50"/>
    <mergeCell ref="Z50:AA50"/>
    <mergeCell ref="B49:G49"/>
    <mergeCell ref="H49:I49"/>
    <mergeCell ref="K49:P49"/>
    <mergeCell ref="Q49:R49"/>
    <mergeCell ref="T49:Y49"/>
    <mergeCell ref="Z49:AA49"/>
    <mergeCell ref="B48:G48"/>
    <mergeCell ref="H48:I48"/>
    <mergeCell ref="K48:P48"/>
    <mergeCell ref="Q48:R48"/>
    <mergeCell ref="T48:Y48"/>
    <mergeCell ref="Z48:AA48"/>
    <mergeCell ref="B47:G47"/>
    <mergeCell ref="H47:I47"/>
    <mergeCell ref="K47:P47"/>
    <mergeCell ref="Q47:R47"/>
    <mergeCell ref="T47:Y47"/>
    <mergeCell ref="Z47:AA47"/>
    <mergeCell ref="Z45:AA45"/>
    <mergeCell ref="B46:G46"/>
    <mergeCell ref="H46:I46"/>
    <mergeCell ref="K46:P46"/>
    <mergeCell ref="Q46:R46"/>
    <mergeCell ref="T46:Y46"/>
    <mergeCell ref="Z46:AA46"/>
    <mergeCell ref="A42:AA42"/>
    <mergeCell ref="A43:AA43"/>
    <mergeCell ref="B44:I44"/>
    <mergeCell ref="K44:R44"/>
    <mergeCell ref="T44:AA44"/>
    <mergeCell ref="B45:G45"/>
    <mergeCell ref="H45:I45"/>
    <mergeCell ref="K45:P45"/>
    <mergeCell ref="Q45:R45"/>
    <mergeCell ref="T45:Y45"/>
    <mergeCell ref="B41:C41"/>
    <mergeCell ref="D41:G41"/>
    <mergeCell ref="I41:L41"/>
    <mergeCell ref="N41:Q41"/>
    <mergeCell ref="S41:V41"/>
    <mergeCell ref="X41:Z41"/>
    <mergeCell ref="X39:Z39"/>
    <mergeCell ref="B40:C40"/>
    <mergeCell ref="D40:G40"/>
    <mergeCell ref="I40:L40"/>
    <mergeCell ref="N40:Q40"/>
    <mergeCell ref="S40:V40"/>
    <mergeCell ref="X40:Z40"/>
    <mergeCell ref="D38:G38"/>
    <mergeCell ref="I38:L38"/>
    <mergeCell ref="N38:Q38"/>
    <mergeCell ref="S38:V38"/>
    <mergeCell ref="X38:Z38"/>
    <mergeCell ref="B39:C39"/>
    <mergeCell ref="D39:G39"/>
    <mergeCell ref="I39:L39"/>
    <mergeCell ref="N39:Q39"/>
    <mergeCell ref="S39:V39"/>
    <mergeCell ref="X34:Z34"/>
    <mergeCell ref="D36:H37"/>
    <mergeCell ref="I36:W36"/>
    <mergeCell ref="X36:AA37"/>
    <mergeCell ref="I37:M37"/>
    <mergeCell ref="N37:R37"/>
    <mergeCell ref="S37:W37"/>
    <mergeCell ref="B34:C34"/>
    <mergeCell ref="D34:F34"/>
    <mergeCell ref="H34:J34"/>
    <mergeCell ref="L34:N34"/>
    <mergeCell ref="P34:R34"/>
    <mergeCell ref="T34:V34"/>
    <mergeCell ref="X32:Z32"/>
    <mergeCell ref="B33:C33"/>
    <mergeCell ref="D33:F33"/>
    <mergeCell ref="H33:J33"/>
    <mergeCell ref="L33:N33"/>
    <mergeCell ref="P33:R33"/>
    <mergeCell ref="T33:V33"/>
    <mergeCell ref="X33:Z33"/>
    <mergeCell ref="B32:C32"/>
    <mergeCell ref="D32:F32"/>
    <mergeCell ref="H32:J32"/>
    <mergeCell ref="L32:N32"/>
    <mergeCell ref="P32:R32"/>
    <mergeCell ref="T32:V32"/>
    <mergeCell ref="X30:AA30"/>
    <mergeCell ref="D31:F31"/>
    <mergeCell ref="H31:J31"/>
    <mergeCell ref="L31:N31"/>
    <mergeCell ref="P31:R31"/>
    <mergeCell ref="T31:V31"/>
    <mergeCell ref="X31:Z31"/>
    <mergeCell ref="M27:O27"/>
    <mergeCell ref="P27:V27"/>
    <mergeCell ref="W27:AA27"/>
    <mergeCell ref="A29:A41"/>
    <mergeCell ref="D29:AA29"/>
    <mergeCell ref="D30:G30"/>
    <mergeCell ref="H30:K30"/>
    <mergeCell ref="L30:O30"/>
    <mergeCell ref="P30:S30"/>
    <mergeCell ref="T30:W30"/>
    <mergeCell ref="A25:B27"/>
    <mergeCell ref="C25:F27"/>
    <mergeCell ref="G25:I27"/>
    <mergeCell ref="J25:O25"/>
    <mergeCell ref="P25:S25"/>
    <mergeCell ref="V25:Y25"/>
    <mergeCell ref="J26:O26"/>
    <mergeCell ref="P26:S26"/>
    <mergeCell ref="V26:Y26"/>
    <mergeCell ref="J27:L27"/>
    <mergeCell ref="A23:B24"/>
    <mergeCell ref="C23:F24"/>
    <mergeCell ref="G23:I24"/>
    <mergeCell ref="J23:O23"/>
    <mergeCell ref="P23:V23"/>
    <mergeCell ref="W23:AA23"/>
    <mergeCell ref="J24:O24"/>
    <mergeCell ref="P24:AA24"/>
    <mergeCell ref="C22:F22"/>
    <mergeCell ref="G22:I22"/>
    <mergeCell ref="J22:O22"/>
    <mergeCell ref="P22:U22"/>
    <mergeCell ref="V22:Y22"/>
    <mergeCell ref="Z22:AA22"/>
    <mergeCell ref="F19:G19"/>
    <mergeCell ref="H19:J19"/>
    <mergeCell ref="K19:L19"/>
    <mergeCell ref="M19:O19"/>
    <mergeCell ref="P19:Q19"/>
    <mergeCell ref="C21:F21"/>
    <mergeCell ref="G21:I21"/>
    <mergeCell ref="J21:AA21"/>
    <mergeCell ref="S17:U17"/>
    <mergeCell ref="V17:X17"/>
    <mergeCell ref="Y17:AA17"/>
    <mergeCell ref="B18:B19"/>
    <mergeCell ref="C18:G18"/>
    <mergeCell ref="H18:L18"/>
    <mergeCell ref="M18:Q18"/>
    <mergeCell ref="R18:V19"/>
    <mergeCell ref="W18:AA19"/>
    <mergeCell ref="C19:E19"/>
    <mergeCell ref="Q16:R16"/>
    <mergeCell ref="S16:U16"/>
    <mergeCell ref="V16:X16"/>
    <mergeCell ref="Y16:AA16"/>
    <mergeCell ref="D17:E17"/>
    <mergeCell ref="F17:H17"/>
    <mergeCell ref="I17:K17"/>
    <mergeCell ref="L17:M17"/>
    <mergeCell ref="N17:P17"/>
    <mergeCell ref="Q17:R17"/>
    <mergeCell ref="B16:B17"/>
    <mergeCell ref="D16:E16"/>
    <mergeCell ref="F16:H16"/>
    <mergeCell ref="I16:K16"/>
    <mergeCell ref="L16:M16"/>
    <mergeCell ref="N16:P16"/>
    <mergeCell ref="P13:S13"/>
    <mergeCell ref="T13:W13"/>
    <mergeCell ref="X13:AA13"/>
    <mergeCell ref="O14:O15"/>
    <mergeCell ref="S14:S15"/>
    <mergeCell ref="W14:W15"/>
    <mergeCell ref="AA14:AA15"/>
    <mergeCell ref="P15:R15"/>
    <mergeCell ref="T15:V15"/>
    <mergeCell ref="X15:Z15"/>
    <mergeCell ref="A13:A19"/>
    <mergeCell ref="B13:B15"/>
    <mergeCell ref="C13:E13"/>
    <mergeCell ref="F13:H13"/>
    <mergeCell ref="I13:K13"/>
    <mergeCell ref="L13:O13"/>
    <mergeCell ref="C15:E15"/>
    <mergeCell ref="F15:H15"/>
    <mergeCell ref="I15:K15"/>
    <mergeCell ref="L15:N15"/>
    <mergeCell ref="U10:W10"/>
    <mergeCell ref="X10:AA10"/>
    <mergeCell ref="N11:O11"/>
    <mergeCell ref="P11:Q11"/>
    <mergeCell ref="R11:T11"/>
    <mergeCell ref="U11:W11"/>
    <mergeCell ref="X11:AA11"/>
    <mergeCell ref="B10:C11"/>
    <mergeCell ref="D10:E11"/>
    <mergeCell ref="F10:G11"/>
    <mergeCell ref="H10:J11"/>
    <mergeCell ref="K10:M11"/>
    <mergeCell ref="R10:T10"/>
    <mergeCell ref="AE8:AJ8"/>
    <mergeCell ref="A9:A11"/>
    <mergeCell ref="B9:C9"/>
    <mergeCell ref="D9:E9"/>
    <mergeCell ref="F9:G9"/>
    <mergeCell ref="H9:J9"/>
    <mergeCell ref="K9:M9"/>
    <mergeCell ref="N9:O9"/>
    <mergeCell ref="P9:Q9"/>
    <mergeCell ref="R9:AA9"/>
    <mergeCell ref="A7:C7"/>
    <mergeCell ref="D7:N7"/>
    <mergeCell ref="P7:S7"/>
    <mergeCell ref="T7:V7"/>
    <mergeCell ref="W7:Y7"/>
    <mergeCell ref="Z7:AA7"/>
    <mergeCell ref="A2:AA2"/>
    <mergeCell ref="B4:I4"/>
    <mergeCell ref="B5:I5"/>
    <mergeCell ref="K5:N5"/>
    <mergeCell ref="O5:T5"/>
    <mergeCell ref="V5:AA5"/>
  </mergeCells>
  <printOptions horizontalCentered="1"/>
  <pageMargins left="0.2" right="0.2" top="0.75" bottom="0.75" header="0.3" footer="0.3"/>
  <pageSetup paperSize="9" scale="86" orientation="landscape" r:id="rId1"/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I45"/>
  <sheetViews>
    <sheetView view="pageBreakPreview" topLeftCell="A25" zoomScale="85" zoomScaleNormal="100" zoomScaleSheetLayoutView="85" workbookViewId="0">
      <selection activeCell="E39" sqref="E39"/>
    </sheetView>
  </sheetViews>
  <sheetFormatPr defaultRowHeight="15"/>
  <cols>
    <col min="1" max="1" width="9.140625" style="2285"/>
    <col min="2" max="2" width="28.28515625" style="2285" customWidth="1"/>
    <col min="3" max="3" width="25" style="2285" customWidth="1"/>
    <col min="4" max="4" width="21" style="2285" customWidth="1"/>
    <col min="5" max="5" width="25.85546875" style="2285" customWidth="1"/>
    <col min="6" max="6" width="19.140625" style="2285" customWidth="1"/>
    <col min="7" max="8" width="17.7109375" style="2285" customWidth="1"/>
    <col min="9" max="9" width="15" style="2285" customWidth="1"/>
    <col min="10" max="10" width="13.28515625" style="2285" bestFit="1" customWidth="1"/>
    <col min="11" max="254" width="9.140625" style="2285"/>
    <col min="255" max="255" width="13.85546875" style="2285" customWidth="1"/>
    <col min="256" max="256" width="1.85546875" style="2285" customWidth="1"/>
    <col min="257" max="257" width="24.42578125" style="2285" customWidth="1"/>
    <col min="258" max="258" width="17.28515625" style="2285" customWidth="1"/>
    <col min="259" max="259" width="24.5703125" style="2285" customWidth="1"/>
    <col min="260" max="261" width="17.7109375" style="2285" customWidth="1"/>
    <col min="262" max="510" width="9.140625" style="2285"/>
    <col min="511" max="511" width="13.85546875" style="2285" customWidth="1"/>
    <col min="512" max="512" width="1.85546875" style="2285" customWidth="1"/>
    <col min="513" max="513" width="24.42578125" style="2285" customWidth="1"/>
    <col min="514" max="514" width="17.28515625" style="2285" customWidth="1"/>
    <col min="515" max="515" width="24.5703125" style="2285" customWidth="1"/>
    <col min="516" max="517" width="17.7109375" style="2285" customWidth="1"/>
    <col min="518" max="766" width="9.140625" style="2285"/>
    <col min="767" max="767" width="13.85546875" style="2285" customWidth="1"/>
    <col min="768" max="768" width="1.85546875" style="2285" customWidth="1"/>
    <col min="769" max="769" width="24.42578125" style="2285" customWidth="1"/>
    <col min="770" max="770" width="17.28515625" style="2285" customWidth="1"/>
    <col min="771" max="771" width="24.5703125" style="2285" customWidth="1"/>
    <col min="772" max="773" width="17.7109375" style="2285" customWidth="1"/>
    <col min="774" max="1022" width="9.140625" style="2285"/>
    <col min="1023" max="1023" width="13.85546875" style="2285" customWidth="1"/>
    <col min="1024" max="1024" width="1.85546875" style="2285" customWidth="1"/>
    <col min="1025" max="1025" width="24.42578125" style="2285" customWidth="1"/>
    <col min="1026" max="1026" width="17.28515625" style="2285" customWidth="1"/>
    <col min="1027" max="1027" width="24.5703125" style="2285" customWidth="1"/>
    <col min="1028" max="1029" width="17.7109375" style="2285" customWidth="1"/>
    <col min="1030" max="1278" width="9.140625" style="2285"/>
    <col min="1279" max="1279" width="13.85546875" style="2285" customWidth="1"/>
    <col min="1280" max="1280" width="1.85546875" style="2285" customWidth="1"/>
    <col min="1281" max="1281" width="24.42578125" style="2285" customWidth="1"/>
    <col min="1282" max="1282" width="17.28515625" style="2285" customWidth="1"/>
    <col min="1283" max="1283" width="24.5703125" style="2285" customWidth="1"/>
    <col min="1284" max="1285" width="17.7109375" style="2285" customWidth="1"/>
    <col min="1286" max="1534" width="9.140625" style="2285"/>
    <col min="1535" max="1535" width="13.85546875" style="2285" customWidth="1"/>
    <col min="1536" max="1536" width="1.85546875" style="2285" customWidth="1"/>
    <col min="1537" max="1537" width="24.42578125" style="2285" customWidth="1"/>
    <col min="1538" max="1538" width="17.28515625" style="2285" customWidth="1"/>
    <col min="1539" max="1539" width="24.5703125" style="2285" customWidth="1"/>
    <col min="1540" max="1541" width="17.7109375" style="2285" customWidth="1"/>
    <col min="1542" max="1790" width="9.140625" style="2285"/>
    <col min="1791" max="1791" width="13.85546875" style="2285" customWidth="1"/>
    <col min="1792" max="1792" width="1.85546875" style="2285" customWidth="1"/>
    <col min="1793" max="1793" width="24.42578125" style="2285" customWidth="1"/>
    <col min="1794" max="1794" width="17.28515625" style="2285" customWidth="1"/>
    <col min="1795" max="1795" width="24.5703125" style="2285" customWidth="1"/>
    <col min="1796" max="1797" width="17.7109375" style="2285" customWidth="1"/>
    <col min="1798" max="2046" width="9.140625" style="2285"/>
    <col min="2047" max="2047" width="13.85546875" style="2285" customWidth="1"/>
    <col min="2048" max="2048" width="1.85546875" style="2285" customWidth="1"/>
    <col min="2049" max="2049" width="24.42578125" style="2285" customWidth="1"/>
    <col min="2050" max="2050" width="17.28515625" style="2285" customWidth="1"/>
    <col min="2051" max="2051" width="24.5703125" style="2285" customWidth="1"/>
    <col min="2052" max="2053" width="17.7109375" style="2285" customWidth="1"/>
    <col min="2054" max="2302" width="9.140625" style="2285"/>
    <col min="2303" max="2303" width="13.85546875" style="2285" customWidth="1"/>
    <col min="2304" max="2304" width="1.85546875" style="2285" customWidth="1"/>
    <col min="2305" max="2305" width="24.42578125" style="2285" customWidth="1"/>
    <col min="2306" max="2306" width="17.28515625" style="2285" customWidth="1"/>
    <col min="2307" max="2307" width="24.5703125" style="2285" customWidth="1"/>
    <col min="2308" max="2309" width="17.7109375" style="2285" customWidth="1"/>
    <col min="2310" max="2558" width="9.140625" style="2285"/>
    <col min="2559" max="2559" width="13.85546875" style="2285" customWidth="1"/>
    <col min="2560" max="2560" width="1.85546875" style="2285" customWidth="1"/>
    <col min="2561" max="2561" width="24.42578125" style="2285" customWidth="1"/>
    <col min="2562" max="2562" width="17.28515625" style="2285" customWidth="1"/>
    <col min="2563" max="2563" width="24.5703125" style="2285" customWidth="1"/>
    <col min="2564" max="2565" width="17.7109375" style="2285" customWidth="1"/>
    <col min="2566" max="2814" width="9.140625" style="2285"/>
    <col min="2815" max="2815" width="13.85546875" style="2285" customWidth="1"/>
    <col min="2816" max="2816" width="1.85546875" style="2285" customWidth="1"/>
    <col min="2817" max="2817" width="24.42578125" style="2285" customWidth="1"/>
    <col min="2818" max="2818" width="17.28515625" style="2285" customWidth="1"/>
    <col min="2819" max="2819" width="24.5703125" style="2285" customWidth="1"/>
    <col min="2820" max="2821" width="17.7109375" style="2285" customWidth="1"/>
    <col min="2822" max="3070" width="9.140625" style="2285"/>
    <col min="3071" max="3071" width="13.85546875" style="2285" customWidth="1"/>
    <col min="3072" max="3072" width="1.85546875" style="2285" customWidth="1"/>
    <col min="3073" max="3073" width="24.42578125" style="2285" customWidth="1"/>
    <col min="3074" max="3074" width="17.28515625" style="2285" customWidth="1"/>
    <col min="3075" max="3075" width="24.5703125" style="2285" customWidth="1"/>
    <col min="3076" max="3077" width="17.7109375" style="2285" customWidth="1"/>
    <col min="3078" max="3326" width="9.140625" style="2285"/>
    <col min="3327" max="3327" width="13.85546875" style="2285" customWidth="1"/>
    <col min="3328" max="3328" width="1.85546875" style="2285" customWidth="1"/>
    <col min="3329" max="3329" width="24.42578125" style="2285" customWidth="1"/>
    <col min="3330" max="3330" width="17.28515625" style="2285" customWidth="1"/>
    <col min="3331" max="3331" width="24.5703125" style="2285" customWidth="1"/>
    <col min="3332" max="3333" width="17.7109375" style="2285" customWidth="1"/>
    <col min="3334" max="3582" width="9.140625" style="2285"/>
    <col min="3583" max="3583" width="13.85546875" style="2285" customWidth="1"/>
    <col min="3584" max="3584" width="1.85546875" style="2285" customWidth="1"/>
    <col min="3585" max="3585" width="24.42578125" style="2285" customWidth="1"/>
    <col min="3586" max="3586" width="17.28515625" style="2285" customWidth="1"/>
    <col min="3587" max="3587" width="24.5703125" style="2285" customWidth="1"/>
    <col min="3588" max="3589" width="17.7109375" style="2285" customWidth="1"/>
    <col min="3590" max="3838" width="9.140625" style="2285"/>
    <col min="3839" max="3839" width="13.85546875" style="2285" customWidth="1"/>
    <col min="3840" max="3840" width="1.85546875" style="2285" customWidth="1"/>
    <col min="3841" max="3841" width="24.42578125" style="2285" customWidth="1"/>
    <col min="3842" max="3842" width="17.28515625" style="2285" customWidth="1"/>
    <col min="3843" max="3843" width="24.5703125" style="2285" customWidth="1"/>
    <col min="3844" max="3845" width="17.7109375" style="2285" customWidth="1"/>
    <col min="3846" max="4094" width="9.140625" style="2285"/>
    <col min="4095" max="4095" width="13.85546875" style="2285" customWidth="1"/>
    <col min="4096" max="4096" width="1.85546875" style="2285" customWidth="1"/>
    <col min="4097" max="4097" width="24.42578125" style="2285" customWidth="1"/>
    <col min="4098" max="4098" width="17.28515625" style="2285" customWidth="1"/>
    <col min="4099" max="4099" width="24.5703125" style="2285" customWidth="1"/>
    <col min="4100" max="4101" width="17.7109375" style="2285" customWidth="1"/>
    <col min="4102" max="4350" width="9.140625" style="2285"/>
    <col min="4351" max="4351" width="13.85546875" style="2285" customWidth="1"/>
    <col min="4352" max="4352" width="1.85546875" style="2285" customWidth="1"/>
    <col min="4353" max="4353" width="24.42578125" style="2285" customWidth="1"/>
    <col min="4354" max="4354" width="17.28515625" style="2285" customWidth="1"/>
    <col min="4355" max="4355" width="24.5703125" style="2285" customWidth="1"/>
    <col min="4356" max="4357" width="17.7109375" style="2285" customWidth="1"/>
    <col min="4358" max="4606" width="9.140625" style="2285"/>
    <col min="4607" max="4607" width="13.85546875" style="2285" customWidth="1"/>
    <col min="4608" max="4608" width="1.85546875" style="2285" customWidth="1"/>
    <col min="4609" max="4609" width="24.42578125" style="2285" customWidth="1"/>
    <col min="4610" max="4610" width="17.28515625" style="2285" customWidth="1"/>
    <col min="4611" max="4611" width="24.5703125" style="2285" customWidth="1"/>
    <col min="4612" max="4613" width="17.7109375" style="2285" customWidth="1"/>
    <col min="4614" max="4862" width="9.140625" style="2285"/>
    <col min="4863" max="4863" width="13.85546875" style="2285" customWidth="1"/>
    <col min="4864" max="4864" width="1.85546875" style="2285" customWidth="1"/>
    <col min="4865" max="4865" width="24.42578125" style="2285" customWidth="1"/>
    <col min="4866" max="4866" width="17.28515625" style="2285" customWidth="1"/>
    <col min="4867" max="4867" width="24.5703125" style="2285" customWidth="1"/>
    <col min="4868" max="4869" width="17.7109375" style="2285" customWidth="1"/>
    <col min="4870" max="5118" width="9.140625" style="2285"/>
    <col min="5119" max="5119" width="13.85546875" style="2285" customWidth="1"/>
    <col min="5120" max="5120" width="1.85546875" style="2285" customWidth="1"/>
    <col min="5121" max="5121" width="24.42578125" style="2285" customWidth="1"/>
    <col min="5122" max="5122" width="17.28515625" style="2285" customWidth="1"/>
    <col min="5123" max="5123" width="24.5703125" style="2285" customWidth="1"/>
    <col min="5124" max="5125" width="17.7109375" style="2285" customWidth="1"/>
    <col min="5126" max="5374" width="9.140625" style="2285"/>
    <col min="5375" max="5375" width="13.85546875" style="2285" customWidth="1"/>
    <col min="5376" max="5376" width="1.85546875" style="2285" customWidth="1"/>
    <col min="5377" max="5377" width="24.42578125" style="2285" customWidth="1"/>
    <col min="5378" max="5378" width="17.28515625" style="2285" customWidth="1"/>
    <col min="5379" max="5379" width="24.5703125" style="2285" customWidth="1"/>
    <col min="5380" max="5381" width="17.7109375" style="2285" customWidth="1"/>
    <col min="5382" max="5630" width="9.140625" style="2285"/>
    <col min="5631" max="5631" width="13.85546875" style="2285" customWidth="1"/>
    <col min="5632" max="5632" width="1.85546875" style="2285" customWidth="1"/>
    <col min="5633" max="5633" width="24.42578125" style="2285" customWidth="1"/>
    <col min="5634" max="5634" width="17.28515625" style="2285" customWidth="1"/>
    <col min="5635" max="5635" width="24.5703125" style="2285" customWidth="1"/>
    <col min="5636" max="5637" width="17.7109375" style="2285" customWidth="1"/>
    <col min="5638" max="5886" width="9.140625" style="2285"/>
    <col min="5887" max="5887" width="13.85546875" style="2285" customWidth="1"/>
    <col min="5888" max="5888" width="1.85546875" style="2285" customWidth="1"/>
    <col min="5889" max="5889" width="24.42578125" style="2285" customWidth="1"/>
    <col min="5890" max="5890" width="17.28515625" style="2285" customWidth="1"/>
    <col min="5891" max="5891" width="24.5703125" style="2285" customWidth="1"/>
    <col min="5892" max="5893" width="17.7109375" style="2285" customWidth="1"/>
    <col min="5894" max="6142" width="9.140625" style="2285"/>
    <col min="6143" max="6143" width="13.85546875" style="2285" customWidth="1"/>
    <col min="6144" max="6144" width="1.85546875" style="2285" customWidth="1"/>
    <col min="6145" max="6145" width="24.42578125" style="2285" customWidth="1"/>
    <col min="6146" max="6146" width="17.28515625" style="2285" customWidth="1"/>
    <col min="6147" max="6147" width="24.5703125" style="2285" customWidth="1"/>
    <col min="6148" max="6149" width="17.7109375" style="2285" customWidth="1"/>
    <col min="6150" max="6398" width="9.140625" style="2285"/>
    <col min="6399" max="6399" width="13.85546875" style="2285" customWidth="1"/>
    <col min="6400" max="6400" width="1.85546875" style="2285" customWidth="1"/>
    <col min="6401" max="6401" width="24.42578125" style="2285" customWidth="1"/>
    <col min="6402" max="6402" width="17.28515625" style="2285" customWidth="1"/>
    <col min="6403" max="6403" width="24.5703125" style="2285" customWidth="1"/>
    <col min="6404" max="6405" width="17.7109375" style="2285" customWidth="1"/>
    <col min="6406" max="6654" width="9.140625" style="2285"/>
    <col min="6655" max="6655" width="13.85546875" style="2285" customWidth="1"/>
    <col min="6656" max="6656" width="1.85546875" style="2285" customWidth="1"/>
    <col min="6657" max="6657" width="24.42578125" style="2285" customWidth="1"/>
    <col min="6658" max="6658" width="17.28515625" style="2285" customWidth="1"/>
    <col min="6659" max="6659" width="24.5703125" style="2285" customWidth="1"/>
    <col min="6660" max="6661" width="17.7109375" style="2285" customWidth="1"/>
    <col min="6662" max="6910" width="9.140625" style="2285"/>
    <col min="6911" max="6911" width="13.85546875" style="2285" customWidth="1"/>
    <col min="6912" max="6912" width="1.85546875" style="2285" customWidth="1"/>
    <col min="6913" max="6913" width="24.42578125" style="2285" customWidth="1"/>
    <col min="6914" max="6914" width="17.28515625" style="2285" customWidth="1"/>
    <col min="6915" max="6915" width="24.5703125" style="2285" customWidth="1"/>
    <col min="6916" max="6917" width="17.7109375" style="2285" customWidth="1"/>
    <col min="6918" max="7166" width="9.140625" style="2285"/>
    <col min="7167" max="7167" width="13.85546875" style="2285" customWidth="1"/>
    <col min="7168" max="7168" width="1.85546875" style="2285" customWidth="1"/>
    <col min="7169" max="7169" width="24.42578125" style="2285" customWidth="1"/>
    <col min="7170" max="7170" width="17.28515625" style="2285" customWidth="1"/>
    <col min="7171" max="7171" width="24.5703125" style="2285" customWidth="1"/>
    <col min="7172" max="7173" width="17.7109375" style="2285" customWidth="1"/>
    <col min="7174" max="7422" width="9.140625" style="2285"/>
    <col min="7423" max="7423" width="13.85546875" style="2285" customWidth="1"/>
    <col min="7424" max="7424" width="1.85546875" style="2285" customWidth="1"/>
    <col min="7425" max="7425" width="24.42578125" style="2285" customWidth="1"/>
    <col min="7426" max="7426" width="17.28515625" style="2285" customWidth="1"/>
    <col min="7427" max="7427" width="24.5703125" style="2285" customWidth="1"/>
    <col min="7428" max="7429" width="17.7109375" style="2285" customWidth="1"/>
    <col min="7430" max="7678" width="9.140625" style="2285"/>
    <col min="7679" max="7679" width="13.85546875" style="2285" customWidth="1"/>
    <col min="7680" max="7680" width="1.85546875" style="2285" customWidth="1"/>
    <col min="7681" max="7681" width="24.42578125" style="2285" customWidth="1"/>
    <col min="7682" max="7682" width="17.28515625" style="2285" customWidth="1"/>
    <col min="7683" max="7683" width="24.5703125" style="2285" customWidth="1"/>
    <col min="7684" max="7685" width="17.7109375" style="2285" customWidth="1"/>
    <col min="7686" max="7934" width="9.140625" style="2285"/>
    <col min="7935" max="7935" width="13.85546875" style="2285" customWidth="1"/>
    <col min="7936" max="7936" width="1.85546875" style="2285" customWidth="1"/>
    <col min="7937" max="7937" width="24.42578125" style="2285" customWidth="1"/>
    <col min="7938" max="7938" width="17.28515625" style="2285" customWidth="1"/>
    <col min="7939" max="7939" width="24.5703125" style="2285" customWidth="1"/>
    <col min="7940" max="7941" width="17.7109375" style="2285" customWidth="1"/>
    <col min="7942" max="8190" width="9.140625" style="2285"/>
    <col min="8191" max="8191" width="13.85546875" style="2285" customWidth="1"/>
    <col min="8192" max="8192" width="1.85546875" style="2285" customWidth="1"/>
    <col min="8193" max="8193" width="24.42578125" style="2285" customWidth="1"/>
    <col min="8194" max="8194" width="17.28515625" style="2285" customWidth="1"/>
    <col min="8195" max="8195" width="24.5703125" style="2285" customWidth="1"/>
    <col min="8196" max="8197" width="17.7109375" style="2285" customWidth="1"/>
    <col min="8198" max="8446" width="9.140625" style="2285"/>
    <col min="8447" max="8447" width="13.85546875" style="2285" customWidth="1"/>
    <col min="8448" max="8448" width="1.85546875" style="2285" customWidth="1"/>
    <col min="8449" max="8449" width="24.42578125" style="2285" customWidth="1"/>
    <col min="8450" max="8450" width="17.28515625" style="2285" customWidth="1"/>
    <col min="8451" max="8451" width="24.5703125" style="2285" customWidth="1"/>
    <col min="8452" max="8453" width="17.7109375" style="2285" customWidth="1"/>
    <col min="8454" max="8702" width="9.140625" style="2285"/>
    <col min="8703" max="8703" width="13.85546875" style="2285" customWidth="1"/>
    <col min="8704" max="8704" width="1.85546875" style="2285" customWidth="1"/>
    <col min="8705" max="8705" width="24.42578125" style="2285" customWidth="1"/>
    <col min="8706" max="8706" width="17.28515625" style="2285" customWidth="1"/>
    <col min="8707" max="8707" width="24.5703125" style="2285" customWidth="1"/>
    <col min="8708" max="8709" width="17.7109375" style="2285" customWidth="1"/>
    <col min="8710" max="8958" width="9.140625" style="2285"/>
    <col min="8959" max="8959" width="13.85546875" style="2285" customWidth="1"/>
    <col min="8960" max="8960" width="1.85546875" style="2285" customWidth="1"/>
    <col min="8961" max="8961" width="24.42578125" style="2285" customWidth="1"/>
    <col min="8962" max="8962" width="17.28515625" style="2285" customWidth="1"/>
    <col min="8963" max="8963" width="24.5703125" style="2285" customWidth="1"/>
    <col min="8964" max="8965" width="17.7109375" style="2285" customWidth="1"/>
    <col min="8966" max="9214" width="9.140625" style="2285"/>
    <col min="9215" max="9215" width="13.85546875" style="2285" customWidth="1"/>
    <col min="9216" max="9216" width="1.85546875" style="2285" customWidth="1"/>
    <col min="9217" max="9217" width="24.42578125" style="2285" customWidth="1"/>
    <col min="9218" max="9218" width="17.28515625" style="2285" customWidth="1"/>
    <col min="9219" max="9219" width="24.5703125" style="2285" customWidth="1"/>
    <col min="9220" max="9221" width="17.7109375" style="2285" customWidth="1"/>
    <col min="9222" max="9470" width="9.140625" style="2285"/>
    <col min="9471" max="9471" width="13.85546875" style="2285" customWidth="1"/>
    <col min="9472" max="9472" width="1.85546875" style="2285" customWidth="1"/>
    <col min="9473" max="9473" width="24.42578125" style="2285" customWidth="1"/>
    <col min="9474" max="9474" width="17.28515625" style="2285" customWidth="1"/>
    <col min="9475" max="9475" width="24.5703125" style="2285" customWidth="1"/>
    <col min="9476" max="9477" width="17.7109375" style="2285" customWidth="1"/>
    <col min="9478" max="9726" width="9.140625" style="2285"/>
    <col min="9727" max="9727" width="13.85546875" style="2285" customWidth="1"/>
    <col min="9728" max="9728" width="1.85546875" style="2285" customWidth="1"/>
    <col min="9729" max="9729" width="24.42578125" style="2285" customWidth="1"/>
    <col min="9730" max="9730" width="17.28515625" style="2285" customWidth="1"/>
    <col min="9731" max="9731" width="24.5703125" style="2285" customWidth="1"/>
    <col min="9732" max="9733" width="17.7109375" style="2285" customWidth="1"/>
    <col min="9734" max="9982" width="9.140625" style="2285"/>
    <col min="9983" max="9983" width="13.85546875" style="2285" customWidth="1"/>
    <col min="9984" max="9984" width="1.85546875" style="2285" customWidth="1"/>
    <col min="9985" max="9985" width="24.42578125" style="2285" customWidth="1"/>
    <col min="9986" max="9986" width="17.28515625" style="2285" customWidth="1"/>
    <col min="9987" max="9987" width="24.5703125" style="2285" customWidth="1"/>
    <col min="9988" max="9989" width="17.7109375" style="2285" customWidth="1"/>
    <col min="9990" max="10238" width="9.140625" style="2285"/>
    <col min="10239" max="10239" width="13.85546875" style="2285" customWidth="1"/>
    <col min="10240" max="10240" width="1.85546875" style="2285" customWidth="1"/>
    <col min="10241" max="10241" width="24.42578125" style="2285" customWidth="1"/>
    <col min="10242" max="10242" width="17.28515625" style="2285" customWidth="1"/>
    <col min="10243" max="10243" width="24.5703125" style="2285" customWidth="1"/>
    <col min="10244" max="10245" width="17.7109375" style="2285" customWidth="1"/>
    <col min="10246" max="10494" width="9.140625" style="2285"/>
    <col min="10495" max="10495" width="13.85546875" style="2285" customWidth="1"/>
    <col min="10496" max="10496" width="1.85546875" style="2285" customWidth="1"/>
    <col min="10497" max="10497" width="24.42578125" style="2285" customWidth="1"/>
    <col min="10498" max="10498" width="17.28515625" style="2285" customWidth="1"/>
    <col min="10499" max="10499" width="24.5703125" style="2285" customWidth="1"/>
    <col min="10500" max="10501" width="17.7109375" style="2285" customWidth="1"/>
    <col min="10502" max="10750" width="9.140625" style="2285"/>
    <col min="10751" max="10751" width="13.85546875" style="2285" customWidth="1"/>
    <col min="10752" max="10752" width="1.85546875" style="2285" customWidth="1"/>
    <col min="10753" max="10753" width="24.42578125" style="2285" customWidth="1"/>
    <col min="10754" max="10754" width="17.28515625" style="2285" customWidth="1"/>
    <col min="10755" max="10755" width="24.5703125" style="2285" customWidth="1"/>
    <col min="10756" max="10757" width="17.7109375" style="2285" customWidth="1"/>
    <col min="10758" max="11006" width="9.140625" style="2285"/>
    <col min="11007" max="11007" width="13.85546875" style="2285" customWidth="1"/>
    <col min="11008" max="11008" width="1.85546875" style="2285" customWidth="1"/>
    <col min="11009" max="11009" width="24.42578125" style="2285" customWidth="1"/>
    <col min="11010" max="11010" width="17.28515625" style="2285" customWidth="1"/>
    <col min="11011" max="11011" width="24.5703125" style="2285" customWidth="1"/>
    <col min="11012" max="11013" width="17.7109375" style="2285" customWidth="1"/>
    <col min="11014" max="11262" width="9.140625" style="2285"/>
    <col min="11263" max="11263" width="13.85546875" style="2285" customWidth="1"/>
    <col min="11264" max="11264" width="1.85546875" style="2285" customWidth="1"/>
    <col min="11265" max="11265" width="24.42578125" style="2285" customWidth="1"/>
    <col min="11266" max="11266" width="17.28515625" style="2285" customWidth="1"/>
    <col min="11267" max="11267" width="24.5703125" style="2285" customWidth="1"/>
    <col min="11268" max="11269" width="17.7109375" style="2285" customWidth="1"/>
    <col min="11270" max="11518" width="9.140625" style="2285"/>
    <col min="11519" max="11519" width="13.85546875" style="2285" customWidth="1"/>
    <col min="11520" max="11520" width="1.85546875" style="2285" customWidth="1"/>
    <col min="11521" max="11521" width="24.42578125" style="2285" customWidth="1"/>
    <col min="11522" max="11522" width="17.28515625" style="2285" customWidth="1"/>
    <col min="11523" max="11523" width="24.5703125" style="2285" customWidth="1"/>
    <col min="11524" max="11525" width="17.7109375" style="2285" customWidth="1"/>
    <col min="11526" max="11774" width="9.140625" style="2285"/>
    <col min="11775" max="11775" width="13.85546875" style="2285" customWidth="1"/>
    <col min="11776" max="11776" width="1.85546875" style="2285" customWidth="1"/>
    <col min="11777" max="11777" width="24.42578125" style="2285" customWidth="1"/>
    <col min="11778" max="11778" width="17.28515625" style="2285" customWidth="1"/>
    <col min="11779" max="11779" width="24.5703125" style="2285" customWidth="1"/>
    <col min="11780" max="11781" width="17.7109375" style="2285" customWidth="1"/>
    <col min="11782" max="12030" width="9.140625" style="2285"/>
    <col min="12031" max="12031" width="13.85546875" style="2285" customWidth="1"/>
    <col min="12032" max="12032" width="1.85546875" style="2285" customWidth="1"/>
    <col min="12033" max="12033" width="24.42578125" style="2285" customWidth="1"/>
    <col min="12034" max="12034" width="17.28515625" style="2285" customWidth="1"/>
    <col min="12035" max="12035" width="24.5703125" style="2285" customWidth="1"/>
    <col min="12036" max="12037" width="17.7109375" style="2285" customWidth="1"/>
    <col min="12038" max="12286" width="9.140625" style="2285"/>
    <col min="12287" max="12287" width="13.85546875" style="2285" customWidth="1"/>
    <col min="12288" max="12288" width="1.85546875" style="2285" customWidth="1"/>
    <col min="12289" max="12289" width="24.42578125" style="2285" customWidth="1"/>
    <col min="12290" max="12290" width="17.28515625" style="2285" customWidth="1"/>
    <col min="12291" max="12291" width="24.5703125" style="2285" customWidth="1"/>
    <col min="12292" max="12293" width="17.7109375" style="2285" customWidth="1"/>
    <col min="12294" max="12542" width="9.140625" style="2285"/>
    <col min="12543" max="12543" width="13.85546875" style="2285" customWidth="1"/>
    <col min="12544" max="12544" width="1.85546875" style="2285" customWidth="1"/>
    <col min="12545" max="12545" width="24.42578125" style="2285" customWidth="1"/>
    <col min="12546" max="12546" width="17.28515625" style="2285" customWidth="1"/>
    <col min="12547" max="12547" width="24.5703125" style="2285" customWidth="1"/>
    <col min="12548" max="12549" width="17.7109375" style="2285" customWidth="1"/>
    <col min="12550" max="12798" width="9.140625" style="2285"/>
    <col min="12799" max="12799" width="13.85546875" style="2285" customWidth="1"/>
    <col min="12800" max="12800" width="1.85546875" style="2285" customWidth="1"/>
    <col min="12801" max="12801" width="24.42578125" style="2285" customWidth="1"/>
    <col min="12802" max="12802" width="17.28515625" style="2285" customWidth="1"/>
    <col min="12803" max="12803" width="24.5703125" style="2285" customWidth="1"/>
    <col min="12804" max="12805" width="17.7109375" style="2285" customWidth="1"/>
    <col min="12806" max="13054" width="9.140625" style="2285"/>
    <col min="13055" max="13055" width="13.85546875" style="2285" customWidth="1"/>
    <col min="13056" max="13056" width="1.85546875" style="2285" customWidth="1"/>
    <col min="13057" max="13057" width="24.42578125" style="2285" customWidth="1"/>
    <col min="13058" max="13058" width="17.28515625" style="2285" customWidth="1"/>
    <col min="13059" max="13059" width="24.5703125" style="2285" customWidth="1"/>
    <col min="13060" max="13061" width="17.7109375" style="2285" customWidth="1"/>
    <col min="13062" max="13310" width="9.140625" style="2285"/>
    <col min="13311" max="13311" width="13.85546875" style="2285" customWidth="1"/>
    <col min="13312" max="13312" width="1.85546875" style="2285" customWidth="1"/>
    <col min="13313" max="13313" width="24.42578125" style="2285" customWidth="1"/>
    <col min="13314" max="13314" width="17.28515625" style="2285" customWidth="1"/>
    <col min="13315" max="13315" width="24.5703125" style="2285" customWidth="1"/>
    <col min="13316" max="13317" width="17.7109375" style="2285" customWidth="1"/>
    <col min="13318" max="13566" width="9.140625" style="2285"/>
    <col min="13567" max="13567" width="13.85546875" style="2285" customWidth="1"/>
    <col min="13568" max="13568" width="1.85546875" style="2285" customWidth="1"/>
    <col min="13569" max="13569" width="24.42578125" style="2285" customWidth="1"/>
    <col min="13570" max="13570" width="17.28515625" style="2285" customWidth="1"/>
    <col min="13571" max="13571" width="24.5703125" style="2285" customWidth="1"/>
    <col min="13572" max="13573" width="17.7109375" style="2285" customWidth="1"/>
    <col min="13574" max="13822" width="9.140625" style="2285"/>
    <col min="13823" max="13823" width="13.85546875" style="2285" customWidth="1"/>
    <col min="13824" max="13824" width="1.85546875" style="2285" customWidth="1"/>
    <col min="13825" max="13825" width="24.42578125" style="2285" customWidth="1"/>
    <col min="13826" max="13826" width="17.28515625" style="2285" customWidth="1"/>
    <col min="13827" max="13827" width="24.5703125" style="2285" customWidth="1"/>
    <col min="13828" max="13829" width="17.7109375" style="2285" customWidth="1"/>
    <col min="13830" max="14078" width="9.140625" style="2285"/>
    <col min="14079" max="14079" width="13.85546875" style="2285" customWidth="1"/>
    <col min="14080" max="14080" width="1.85546875" style="2285" customWidth="1"/>
    <col min="14081" max="14081" width="24.42578125" style="2285" customWidth="1"/>
    <col min="14082" max="14082" width="17.28515625" style="2285" customWidth="1"/>
    <col min="14083" max="14083" width="24.5703125" style="2285" customWidth="1"/>
    <col min="14084" max="14085" width="17.7109375" style="2285" customWidth="1"/>
    <col min="14086" max="14334" width="9.140625" style="2285"/>
    <col min="14335" max="14335" width="13.85546875" style="2285" customWidth="1"/>
    <col min="14336" max="14336" width="1.85546875" style="2285" customWidth="1"/>
    <col min="14337" max="14337" width="24.42578125" style="2285" customWidth="1"/>
    <col min="14338" max="14338" width="17.28515625" style="2285" customWidth="1"/>
    <col min="14339" max="14339" width="24.5703125" style="2285" customWidth="1"/>
    <col min="14340" max="14341" width="17.7109375" style="2285" customWidth="1"/>
    <col min="14342" max="14590" width="9.140625" style="2285"/>
    <col min="14591" max="14591" width="13.85546875" style="2285" customWidth="1"/>
    <col min="14592" max="14592" width="1.85546875" style="2285" customWidth="1"/>
    <col min="14593" max="14593" width="24.42578125" style="2285" customWidth="1"/>
    <col min="14594" max="14594" width="17.28515625" style="2285" customWidth="1"/>
    <col min="14595" max="14595" width="24.5703125" style="2285" customWidth="1"/>
    <col min="14596" max="14597" width="17.7109375" style="2285" customWidth="1"/>
    <col min="14598" max="14846" width="9.140625" style="2285"/>
    <col min="14847" max="14847" width="13.85546875" style="2285" customWidth="1"/>
    <col min="14848" max="14848" width="1.85546875" style="2285" customWidth="1"/>
    <col min="14849" max="14849" width="24.42578125" style="2285" customWidth="1"/>
    <col min="14850" max="14850" width="17.28515625" style="2285" customWidth="1"/>
    <col min="14851" max="14851" width="24.5703125" style="2285" customWidth="1"/>
    <col min="14852" max="14853" width="17.7109375" style="2285" customWidth="1"/>
    <col min="14854" max="15102" width="9.140625" style="2285"/>
    <col min="15103" max="15103" width="13.85546875" style="2285" customWidth="1"/>
    <col min="15104" max="15104" width="1.85546875" style="2285" customWidth="1"/>
    <col min="15105" max="15105" width="24.42578125" style="2285" customWidth="1"/>
    <col min="15106" max="15106" width="17.28515625" style="2285" customWidth="1"/>
    <col min="15107" max="15107" width="24.5703125" style="2285" customWidth="1"/>
    <col min="15108" max="15109" width="17.7109375" style="2285" customWidth="1"/>
    <col min="15110" max="15358" width="9.140625" style="2285"/>
    <col min="15359" max="15359" width="13.85546875" style="2285" customWidth="1"/>
    <col min="15360" max="15360" width="1.85546875" style="2285" customWidth="1"/>
    <col min="15361" max="15361" width="24.42578125" style="2285" customWidth="1"/>
    <col min="15362" max="15362" width="17.28515625" style="2285" customWidth="1"/>
    <col min="15363" max="15363" width="24.5703125" style="2285" customWidth="1"/>
    <col min="15364" max="15365" width="17.7109375" style="2285" customWidth="1"/>
    <col min="15366" max="15614" width="9.140625" style="2285"/>
    <col min="15615" max="15615" width="13.85546875" style="2285" customWidth="1"/>
    <col min="15616" max="15616" width="1.85546875" style="2285" customWidth="1"/>
    <col min="15617" max="15617" width="24.42578125" style="2285" customWidth="1"/>
    <col min="15618" max="15618" width="17.28515625" style="2285" customWidth="1"/>
    <col min="15619" max="15619" width="24.5703125" style="2285" customWidth="1"/>
    <col min="15620" max="15621" width="17.7109375" style="2285" customWidth="1"/>
    <col min="15622" max="15870" width="9.140625" style="2285"/>
    <col min="15871" max="15871" width="13.85546875" style="2285" customWidth="1"/>
    <col min="15872" max="15872" width="1.85546875" style="2285" customWidth="1"/>
    <col min="15873" max="15873" width="24.42578125" style="2285" customWidth="1"/>
    <col min="15874" max="15874" width="17.28515625" style="2285" customWidth="1"/>
    <col min="15875" max="15875" width="24.5703125" style="2285" customWidth="1"/>
    <col min="15876" max="15877" width="17.7109375" style="2285" customWidth="1"/>
    <col min="15878" max="16126" width="9.140625" style="2285"/>
    <col min="16127" max="16127" width="13.85546875" style="2285" customWidth="1"/>
    <col min="16128" max="16128" width="1.85546875" style="2285" customWidth="1"/>
    <col min="16129" max="16129" width="24.42578125" style="2285" customWidth="1"/>
    <col min="16130" max="16130" width="17.28515625" style="2285" customWidth="1"/>
    <col min="16131" max="16131" width="24.5703125" style="2285" customWidth="1"/>
    <col min="16132" max="16133" width="17.7109375" style="2285" customWidth="1"/>
    <col min="16134" max="16384" width="9.140625" style="2285"/>
  </cols>
  <sheetData>
    <row r="1" spans="1:9" ht="35.25">
      <c r="A1" s="2284" t="s">
        <v>978</v>
      </c>
      <c r="B1" s="2284"/>
      <c r="C1" s="2284"/>
      <c r="D1" s="2284"/>
    </row>
    <row r="2" spans="1:9" ht="24" thickBot="1">
      <c r="A2" s="2286" t="s">
        <v>979</v>
      </c>
      <c r="B2" s="2286"/>
      <c r="C2" s="2287" t="s">
        <v>980</v>
      </c>
      <c r="D2" s="2287"/>
      <c r="E2" s="2287"/>
      <c r="F2" s="2287"/>
      <c r="G2" s="2287"/>
    </row>
    <row r="3" spans="1:9" ht="15.75">
      <c r="A3" s="2288" t="s">
        <v>981</v>
      </c>
      <c r="B3" s="2289" t="s">
        <v>982</v>
      </c>
      <c r="C3" s="2289" t="s">
        <v>983</v>
      </c>
      <c r="D3" s="2290" t="s">
        <v>984</v>
      </c>
      <c r="E3" s="2291" t="s">
        <v>985</v>
      </c>
      <c r="F3" s="2292" t="s">
        <v>986</v>
      </c>
      <c r="G3" s="2293" t="s">
        <v>987</v>
      </c>
    </row>
    <row r="4" spans="1:9" ht="15.75">
      <c r="A4" s="2294"/>
      <c r="B4" s="2295">
        <v>730</v>
      </c>
      <c r="C4" s="2296">
        <v>300</v>
      </c>
      <c r="D4" s="2297">
        <f>B4+C4</f>
        <v>1030</v>
      </c>
      <c r="E4" s="2298">
        <v>41489</v>
      </c>
      <c r="F4" s="2299">
        <f>D4+E4</f>
        <v>42519</v>
      </c>
      <c r="G4" s="2300">
        <f>'[12]Form One'!N11</f>
        <v>789</v>
      </c>
    </row>
    <row r="5" spans="1:9" ht="16.5" thickBot="1">
      <c r="A5" s="2301"/>
      <c r="B5" s="2302" t="s">
        <v>988</v>
      </c>
      <c r="C5" s="2303"/>
      <c r="D5" s="2304"/>
      <c r="E5" s="2305"/>
      <c r="F5" s="2306"/>
      <c r="G5" s="2307"/>
    </row>
    <row r="6" spans="1:9" ht="18.75" thickBot="1">
      <c r="A6" s="2308"/>
      <c r="B6" s="2309"/>
      <c r="C6" s="2309"/>
      <c r="D6" s="2309"/>
    </row>
    <row r="7" spans="1:9" ht="15.75">
      <c r="A7" s="2310" t="s">
        <v>989</v>
      </c>
      <c r="B7" s="2310"/>
      <c r="C7" s="2310"/>
      <c r="D7" s="2311"/>
      <c r="E7" s="2312" t="s">
        <v>990</v>
      </c>
      <c r="F7" s="2313"/>
      <c r="G7" s="2314">
        <f>G23-E45</f>
        <v>1925464.770983587</v>
      </c>
    </row>
    <row r="8" spans="1:9" ht="15.75" thickBot="1">
      <c r="E8" s="2315" t="s">
        <v>991</v>
      </c>
      <c r="F8" s="2316">
        <v>0.2</v>
      </c>
      <c r="G8" s="2317">
        <f>-F8*G23</f>
        <v>-636792.89799999958</v>
      </c>
    </row>
    <row r="9" spans="1:9" ht="16.5" thickBot="1">
      <c r="A9" s="2318"/>
      <c r="B9" s="2319" t="s">
        <v>992</v>
      </c>
      <c r="C9" s="2318"/>
      <c r="D9" s="2318"/>
      <c r="E9" s="2315" t="s">
        <v>993</v>
      </c>
      <c r="F9" s="2316">
        <v>0.05</v>
      </c>
      <c r="G9" s="2317">
        <f>-F9*G23</f>
        <v>-159198.22449999989</v>
      </c>
    </row>
    <row r="10" spans="1:9" ht="15.75">
      <c r="B10" s="2320" t="s">
        <v>994</v>
      </c>
      <c r="C10" s="2321" t="s">
        <v>995</v>
      </c>
      <c r="D10" s="2322"/>
      <c r="E10" s="2315" t="s">
        <v>996</v>
      </c>
      <c r="F10" s="2316">
        <v>0</v>
      </c>
      <c r="G10" s="2317">
        <f>-F10*G23</f>
        <v>0</v>
      </c>
    </row>
    <row r="11" spans="1:9" ht="16.5" thickBot="1">
      <c r="A11" s="2318"/>
      <c r="B11" s="2323">
        <v>42248</v>
      </c>
      <c r="C11" s="2324">
        <f>B11+30</f>
        <v>42278</v>
      </c>
      <c r="D11" s="2318"/>
      <c r="E11" s="2315" t="s">
        <v>997</v>
      </c>
      <c r="F11" s="2316">
        <v>0</v>
      </c>
      <c r="G11" s="2317">
        <f>-F11*G23</f>
        <v>0</v>
      </c>
    </row>
    <row r="12" spans="1:9" ht="16.5" thickBot="1">
      <c r="A12" s="2325"/>
      <c r="B12" s="2326"/>
      <c r="C12" s="2326"/>
      <c r="D12" s="2326"/>
      <c r="E12" s="2327" t="s">
        <v>998</v>
      </c>
      <c r="F12" s="2328"/>
      <c r="G12" s="2329">
        <f>G7-(G8+G9+G10+G11)</f>
        <v>2721455.8934835866</v>
      </c>
    </row>
    <row r="13" spans="1:9" ht="16.5" thickBot="1">
      <c r="A13" s="2330"/>
      <c r="B13" s="2330"/>
      <c r="C13" s="2330"/>
      <c r="D13" s="2330"/>
    </row>
    <row r="14" spans="1:9" ht="15" customHeight="1">
      <c r="A14" s="2331" t="s">
        <v>999</v>
      </c>
      <c r="B14" s="2332" t="s">
        <v>4</v>
      </c>
      <c r="C14" s="2333" t="s">
        <v>1000</v>
      </c>
      <c r="D14" s="2334" t="s">
        <v>1001</v>
      </c>
      <c r="E14" s="2334" t="s">
        <v>1002</v>
      </c>
      <c r="F14" s="2334" t="s">
        <v>1003</v>
      </c>
      <c r="G14" s="2334" t="s">
        <v>1004</v>
      </c>
      <c r="H14" s="2334" t="s">
        <v>1005</v>
      </c>
      <c r="I14" s="2335" t="s">
        <v>1006</v>
      </c>
    </row>
    <row r="15" spans="1:9" ht="15" customHeight="1" thickBot="1">
      <c r="A15" s="2336"/>
      <c r="B15" s="2337"/>
      <c r="C15" s="2338"/>
      <c r="D15" s="2339"/>
      <c r="E15" s="2339"/>
      <c r="F15" s="2339"/>
      <c r="G15" s="2339"/>
      <c r="H15" s="2339"/>
      <c r="I15" s="2340"/>
    </row>
    <row r="16" spans="1:9">
      <c r="A16" s="2341" t="s">
        <v>1007</v>
      </c>
      <c r="B16" s="2342" t="s">
        <v>1008</v>
      </c>
      <c r="C16" s="2343">
        <v>4403495</v>
      </c>
      <c r="D16" s="2344">
        <v>2683500</v>
      </c>
      <c r="E16" s="2344">
        <f>'[12] BOQ Rev'!L28</f>
        <v>11500</v>
      </c>
      <c r="F16" s="2344">
        <f>'[12] BOQ Rev'!M28</f>
        <v>11500</v>
      </c>
      <c r="G16" s="2345">
        <v>11500</v>
      </c>
      <c r="H16" s="2345">
        <f>G16+D16</f>
        <v>2695000</v>
      </c>
      <c r="I16" s="2346">
        <f>H16/C16</f>
        <v>0.61201386625850607</v>
      </c>
    </row>
    <row r="17" spans="1:9">
      <c r="A17" s="2347" t="s">
        <v>1009</v>
      </c>
      <c r="B17" s="2348" t="s">
        <v>1010</v>
      </c>
      <c r="C17" s="2349">
        <v>2625000</v>
      </c>
      <c r="D17" s="2350">
        <v>2148832.84</v>
      </c>
      <c r="E17" s="2350">
        <f>'[12] BOQ Rev'!L31</f>
        <v>0</v>
      </c>
      <c r="F17" s="2350">
        <f>'[12] BOQ Rev'!M31</f>
        <v>0</v>
      </c>
      <c r="G17" s="2351">
        <v>0</v>
      </c>
      <c r="H17" s="2351">
        <f t="shared" ref="H17:H22" si="0">G17+D17</f>
        <v>2148832.84</v>
      </c>
      <c r="I17" s="2352">
        <f t="shared" ref="I17:I22" si="1">H17/C17</f>
        <v>0.81860298666666664</v>
      </c>
    </row>
    <row r="18" spans="1:9">
      <c r="A18" s="2347" t="s">
        <v>1011</v>
      </c>
      <c r="B18" s="2348" t="s">
        <v>1012</v>
      </c>
      <c r="C18" s="2349">
        <v>42901535.5</v>
      </c>
      <c r="D18" s="2350">
        <v>5681846.3222500002</v>
      </c>
      <c r="E18" s="2350">
        <f>'[12] BOQ Rev'!L82</f>
        <v>0</v>
      </c>
      <c r="F18" s="2350">
        <f>'[12] BOQ Rev'!M82</f>
        <v>297438</v>
      </c>
      <c r="G18" s="2351">
        <v>353088.00000000012</v>
      </c>
      <c r="H18" s="2351">
        <f t="shared" si="0"/>
        <v>6034934.3222500002</v>
      </c>
      <c r="I18" s="2352">
        <f t="shared" si="1"/>
        <v>0.14066942480998146</v>
      </c>
    </row>
    <row r="19" spans="1:9">
      <c r="A19" s="2347" t="s">
        <v>1013</v>
      </c>
      <c r="B19" s="2348" t="s">
        <v>1014</v>
      </c>
      <c r="C19" s="2349">
        <v>144033679.11000001</v>
      </c>
      <c r="D19" s="2350">
        <v>94263374.863521293</v>
      </c>
      <c r="E19" s="2350">
        <f>'[12] BOQ Rev'!L99</f>
        <v>2064330.1890000002</v>
      </c>
      <c r="F19" s="2350">
        <f>'[12] BOQ Rev'!M99</f>
        <v>134221.80000000002</v>
      </c>
      <c r="G19" s="2351">
        <v>2797776.4899999974</v>
      </c>
      <c r="H19" s="2351">
        <f t="shared" si="0"/>
        <v>97061151.353521287</v>
      </c>
      <c r="I19" s="2352">
        <f t="shared" si="1"/>
        <v>0.67387816483806318</v>
      </c>
    </row>
    <row r="20" spans="1:9" ht="38.25">
      <c r="A20" s="2347" t="s">
        <v>1015</v>
      </c>
      <c r="B20" s="2353" t="s">
        <v>1016</v>
      </c>
      <c r="C20" s="2349">
        <v>11616753.75</v>
      </c>
      <c r="D20" s="2350">
        <v>0</v>
      </c>
      <c r="E20" s="2350">
        <f>'[12] BOQ Rev'!L102</f>
        <v>0</v>
      </c>
      <c r="F20" s="2350">
        <f>'[12] BOQ Rev'!M102</f>
        <v>0</v>
      </c>
      <c r="G20" s="2351">
        <v>0</v>
      </c>
      <c r="H20" s="2351">
        <f t="shared" si="0"/>
        <v>0</v>
      </c>
      <c r="I20" s="2352">
        <f t="shared" si="1"/>
        <v>0</v>
      </c>
    </row>
    <row r="21" spans="1:9">
      <c r="A21" s="2347" t="s">
        <v>1017</v>
      </c>
      <c r="B21" s="2348" t="s">
        <v>431</v>
      </c>
      <c r="C21" s="2349">
        <v>20817885</v>
      </c>
      <c r="D21" s="2350">
        <v>11283222.213699998</v>
      </c>
      <c r="E21" s="2350">
        <f>'[12] BOQ Rev'!L163</f>
        <v>0</v>
      </c>
      <c r="F21" s="2350">
        <f>'[12] BOQ Rev'!M163</f>
        <v>0</v>
      </c>
      <c r="G21" s="2351">
        <v>21600</v>
      </c>
      <c r="H21" s="2351">
        <f t="shared" si="0"/>
        <v>11304822.213699998</v>
      </c>
      <c r="I21" s="2352">
        <f t="shared" si="1"/>
        <v>0.54303413693081681</v>
      </c>
    </row>
    <row r="22" spans="1:9">
      <c r="A22" s="2347" t="s">
        <v>1018</v>
      </c>
      <c r="B22" s="2348" t="s">
        <v>433</v>
      </c>
      <c r="C22" s="2349">
        <v>1070200</v>
      </c>
      <c r="D22" s="2350">
        <v>0</v>
      </c>
      <c r="E22" s="2350">
        <f>'[12] BOQ Rev'!L174</f>
        <v>0</v>
      </c>
      <c r="F22" s="2350">
        <f>'[12] BOQ Rev'!M174</f>
        <v>0</v>
      </c>
      <c r="G22" s="2351">
        <v>0</v>
      </c>
      <c r="H22" s="2351">
        <f t="shared" si="0"/>
        <v>0</v>
      </c>
      <c r="I22" s="2352">
        <f t="shared" si="1"/>
        <v>0</v>
      </c>
    </row>
    <row r="23" spans="1:9" ht="16.5">
      <c r="A23" s="2354" t="s">
        <v>118</v>
      </c>
      <c r="B23" s="2355"/>
      <c r="C23" s="2356">
        <f t="shared" ref="C23:H23" si="2">SUM(C16:C22)</f>
        <v>227468548.36000001</v>
      </c>
      <c r="D23" s="2356">
        <f t="shared" si="2"/>
        <v>116060776.23947129</v>
      </c>
      <c r="E23" s="2356">
        <f t="shared" si="2"/>
        <v>2075830.1890000002</v>
      </c>
      <c r="F23" s="2356">
        <f t="shared" si="2"/>
        <v>443159.80000000005</v>
      </c>
      <c r="G23" s="2356">
        <f t="shared" si="2"/>
        <v>3183964.4899999974</v>
      </c>
      <c r="H23" s="2356">
        <f t="shared" si="2"/>
        <v>119244740.72947128</v>
      </c>
      <c r="I23" s="2357"/>
    </row>
    <row r="24" spans="1:9" ht="17.25" thickBot="1">
      <c r="A24" s="2358"/>
      <c r="B24" s="2359"/>
      <c r="C24" s="2360"/>
      <c r="D24" s="2361"/>
      <c r="E24" s="2362"/>
      <c r="F24" s="2362"/>
      <c r="G24" s="2362"/>
      <c r="H24" s="2362"/>
      <c r="I24" s="2363"/>
    </row>
    <row r="27" spans="1:9" ht="15.75" thickBot="1">
      <c r="A27" s="2364" t="s">
        <v>335</v>
      </c>
      <c r="B27" s="2364"/>
    </row>
    <row r="28" spans="1:9" ht="15.75" thickBot="1">
      <c r="A28" s="2365" t="s">
        <v>264</v>
      </c>
      <c r="B28" s="2366"/>
      <c r="C28" s="2366"/>
      <c r="D28" s="2367" t="s">
        <v>191</v>
      </c>
      <c r="E28" s="2367" t="s">
        <v>493</v>
      </c>
      <c r="F28" s="2367" t="s">
        <v>1019</v>
      </c>
      <c r="G28" s="2368" t="s">
        <v>727</v>
      </c>
    </row>
    <row r="29" spans="1:9">
      <c r="A29" s="2369" t="s">
        <v>1020</v>
      </c>
      <c r="B29" s="2370"/>
      <c r="C29" s="2370"/>
      <c r="D29" s="2371">
        <v>564334.88433500007</v>
      </c>
      <c r="E29" s="2372">
        <f>'[12]Salary Expense Permaent emp.'!X81</f>
        <v>312638.06</v>
      </c>
      <c r="F29" s="2373"/>
      <c r="G29" s="2374"/>
    </row>
    <row r="30" spans="1:9">
      <c r="A30" s="2375" t="s">
        <v>1021</v>
      </c>
      <c r="B30" s="2376"/>
      <c r="C30" s="2377"/>
      <c r="D30" s="2378">
        <f>'[12]Salary Expense Permaent emp.'!I81+('[12]Salary Expense Permaent emp.'!J81*30)+'[12]Salary Expense Permaent emp.'!K81</f>
        <v>0</v>
      </c>
      <c r="E30" s="2379">
        <f>'[12]Salary Expense Permaent emp.'!Y81+('[12]Salary Expense Permaent emp.'!Z81*30)+'[12]Salary Expense Permaent emp.'!AC81</f>
        <v>15150</v>
      </c>
      <c r="F30" s="2380"/>
      <c r="G30" s="2381"/>
    </row>
    <row r="31" spans="1:9">
      <c r="A31" s="2382" t="s">
        <v>1022</v>
      </c>
      <c r="B31" s="2383"/>
      <c r="C31" s="2383"/>
      <c r="D31" s="2378">
        <f>'[12]Salary Expense Permaent emp.'!I82+('[12]Salary Expense Permaent emp.'!J82*30)+'[12]Salary Expense Permaent emp.'!K82</f>
        <v>0</v>
      </c>
      <c r="E31" s="2379">
        <f>'[12]Salary Expense Permaent emp.'!AB81</f>
        <v>109160</v>
      </c>
      <c r="F31" s="2380"/>
      <c r="G31" s="2381"/>
    </row>
    <row r="32" spans="1:9">
      <c r="A32" s="2382" t="s">
        <v>1023</v>
      </c>
      <c r="B32" s="2383"/>
      <c r="C32" s="2383"/>
      <c r="D32" s="2384">
        <f>'[12]Salary Expense Permaent emp.'!L81</f>
        <v>0</v>
      </c>
      <c r="E32" s="2384">
        <f>'[12]Salary Expense Permaent emp.'!AD81</f>
        <v>2964.7403846153848</v>
      </c>
      <c r="F32" s="2385"/>
      <c r="G32" s="2386"/>
    </row>
    <row r="33" spans="1:9">
      <c r="A33" s="2382" t="s">
        <v>1024</v>
      </c>
      <c r="B33" s="2383"/>
      <c r="C33" s="2383"/>
      <c r="D33" s="2384">
        <f>'[12]Salary Expense Permaent emp.'!M81</f>
        <v>0</v>
      </c>
      <c r="E33" s="2384">
        <f>'[12]Salary Expense Permaent emp.'!AE81</f>
        <v>34390.186600000001</v>
      </c>
      <c r="F33" s="2385"/>
      <c r="G33" s="2386"/>
    </row>
    <row r="34" spans="1:9">
      <c r="A34" s="2382" t="s">
        <v>1025</v>
      </c>
      <c r="B34" s="2383"/>
      <c r="C34" s="2383"/>
      <c r="D34" s="2384">
        <f>'[12]Salary Expense Daily Labor'!H28</f>
        <v>0</v>
      </c>
      <c r="E34" s="2384">
        <f>'[12]Salary Expense Daily Labor'!T28</f>
        <v>66419</v>
      </c>
      <c r="F34" s="2385"/>
      <c r="G34" s="2386"/>
    </row>
    <row r="35" spans="1:9">
      <c r="A35" s="2382" t="s">
        <v>1026</v>
      </c>
      <c r="B35" s="2383"/>
      <c r="C35" s="2383"/>
      <c r="D35" s="2384">
        <f>'[12]Salary Expense Daily Labor'!I28</f>
        <v>0</v>
      </c>
      <c r="E35" s="2384">
        <f>'[12]Salary Expense Daily Labor'!U28</f>
        <v>1317.81</v>
      </c>
      <c r="F35" s="2385"/>
      <c r="G35" s="2386"/>
    </row>
    <row r="36" spans="1:9">
      <c r="A36" s="2382" t="s">
        <v>1027</v>
      </c>
      <c r="B36" s="2383"/>
      <c r="C36" s="2383"/>
      <c r="D36" s="2384">
        <f>'[12]Own Eqt. Expence with fuel '!H22</f>
        <v>0</v>
      </c>
      <c r="E36" s="2384">
        <f>'[12]Own Eqt. Expence with fuel '!O22</f>
        <v>306107.66666666669</v>
      </c>
      <c r="F36" s="2385"/>
      <c r="G36" s="2386"/>
    </row>
    <row r="37" spans="1:9">
      <c r="A37" s="2382" t="s">
        <v>208</v>
      </c>
      <c r="B37" s="2383"/>
      <c r="C37" s="2383"/>
      <c r="D37" s="2384">
        <f>'[12]Rental Eqt expence with Fuel'!H22</f>
        <v>0</v>
      </c>
      <c r="E37" s="2384">
        <f>'[12]Rental Eqt expence with Fuel'!N22</f>
        <v>57300</v>
      </c>
      <c r="F37" s="2385"/>
      <c r="G37" s="2386"/>
    </row>
    <row r="38" spans="1:9">
      <c r="A38" s="2382" t="s">
        <v>1028</v>
      </c>
      <c r="B38" s="2383"/>
      <c r="C38" s="2383"/>
      <c r="D38" s="2384">
        <f>'[12]Rental Eqt expence with Fuel'!F22</f>
        <v>0</v>
      </c>
      <c r="E38" s="2384">
        <f>'[12]Rental Eqt expence with Fuel'!L22</f>
        <v>14527</v>
      </c>
      <c r="F38" s="2385"/>
      <c r="G38" s="2386"/>
    </row>
    <row r="39" spans="1:9">
      <c r="A39" s="2382" t="s">
        <v>1029</v>
      </c>
      <c r="B39" s="2383"/>
      <c r="C39" s="2383"/>
      <c r="D39" s="2384">
        <f>'[12]Own Eqt. Expence with fuel '!F22</f>
        <v>0</v>
      </c>
      <c r="E39" s="2384">
        <f>'[12]Own Eqt. Expence with fuel '!M22</f>
        <v>188351.19</v>
      </c>
      <c r="F39" s="2385"/>
      <c r="G39" s="2386"/>
    </row>
    <row r="40" spans="1:9">
      <c r="A40" s="2382" t="s">
        <v>1030</v>
      </c>
      <c r="B40" s="2383"/>
      <c r="C40" s="2383"/>
      <c r="D40" s="2384">
        <f>D39*0.1</f>
        <v>0</v>
      </c>
      <c r="E40" s="2384">
        <f>'[12]Own Eqt. Expence with fuel '!M23</f>
        <v>0</v>
      </c>
      <c r="F40" s="2385"/>
      <c r="G40" s="2386"/>
    </row>
    <row r="41" spans="1:9">
      <c r="A41" s="2382" t="s">
        <v>1031</v>
      </c>
      <c r="B41" s="2383"/>
      <c r="C41" s="2383"/>
      <c r="D41" s="2384">
        <f>D36*0.1</f>
        <v>0</v>
      </c>
      <c r="E41" s="2384">
        <f>'[12]Own Eqt. Expence with fuel '!M24</f>
        <v>0</v>
      </c>
      <c r="F41" s="2385"/>
      <c r="G41" s="2386"/>
    </row>
    <row r="42" spans="1:9">
      <c r="A42" s="2382" t="s">
        <v>1032</v>
      </c>
      <c r="B42" s="2383"/>
      <c r="C42" s="2383"/>
      <c r="D42" s="2384">
        <f>'[12]Cons. Material Requirement'!E20</f>
        <v>0</v>
      </c>
      <c r="E42" s="2384">
        <f>'[12]Cons. Material Requirement'!G20</f>
        <v>35765</v>
      </c>
      <c r="F42" s="2385"/>
      <c r="G42" s="2386"/>
      <c r="I42" s="2387"/>
    </row>
    <row r="43" spans="1:9">
      <c r="A43" s="2382" t="s">
        <v>1033</v>
      </c>
      <c r="B43" s="2383"/>
      <c r="C43" s="2383"/>
      <c r="D43" s="2384">
        <f>'[12]Others Expense'!B11</f>
        <v>0</v>
      </c>
      <c r="E43" s="2384">
        <f>'[12]Others Expense'!C11</f>
        <v>0</v>
      </c>
      <c r="F43" s="2385"/>
      <c r="G43" s="2386"/>
    </row>
    <row r="44" spans="1:9">
      <c r="A44" s="2375" t="s">
        <v>1034</v>
      </c>
      <c r="B44" s="2376"/>
      <c r="C44" s="2377"/>
      <c r="D44" s="2388">
        <f>(SUM(D29:D43))*0.1</f>
        <v>56433.48843350001</v>
      </c>
      <c r="E44" s="2388">
        <f>(SUM(E29:E43))*0.1</f>
        <v>114409.06536512822</v>
      </c>
      <c r="F44" s="2389"/>
      <c r="G44" s="2390"/>
    </row>
    <row r="45" spans="1:9" ht="15.75" thickBot="1">
      <c r="A45" s="2358" t="s">
        <v>118</v>
      </c>
      <c r="B45" s="2391"/>
      <c r="C45" s="2391"/>
      <c r="D45" s="2392">
        <f>SUM(D29:D44)</f>
        <v>620768.37276850012</v>
      </c>
      <c r="E45" s="2392">
        <f>SUM(E29:E44)</f>
        <v>1258499.7190164104</v>
      </c>
      <c r="F45" s="2393"/>
      <c r="G45" s="2394"/>
    </row>
  </sheetData>
  <mergeCells count="33">
    <mergeCell ref="A41:C41"/>
    <mergeCell ref="A42:C42"/>
    <mergeCell ref="A43:C43"/>
    <mergeCell ref="A44:C44"/>
    <mergeCell ref="A45:C45"/>
    <mergeCell ref="A35:C35"/>
    <mergeCell ref="A36:C36"/>
    <mergeCell ref="A37:C37"/>
    <mergeCell ref="A38:C38"/>
    <mergeCell ref="A39:C39"/>
    <mergeCell ref="A40:C40"/>
    <mergeCell ref="A29:C29"/>
    <mergeCell ref="A30:C30"/>
    <mergeCell ref="A31:C31"/>
    <mergeCell ref="A32:C32"/>
    <mergeCell ref="A33:C33"/>
    <mergeCell ref="A34:C34"/>
    <mergeCell ref="H14:H15"/>
    <mergeCell ref="I14:I15"/>
    <mergeCell ref="A23:B23"/>
    <mergeCell ref="A24:B24"/>
    <mergeCell ref="A27:B27"/>
    <mergeCell ref="A28:C28"/>
    <mergeCell ref="A1:D1"/>
    <mergeCell ref="A2:B2"/>
    <mergeCell ref="C2:G2"/>
    <mergeCell ref="A3:A5"/>
    <mergeCell ref="A7:D7"/>
    <mergeCell ref="C14:C15"/>
    <mergeCell ref="D14:D15"/>
    <mergeCell ref="E14:E15"/>
    <mergeCell ref="F14:F15"/>
    <mergeCell ref="G14:G15"/>
  </mergeCells>
  <printOptions horizontalCentered="1"/>
  <pageMargins left="0.7" right="0.7" top="0.25" bottom="0.25" header="0.3" footer="0.3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Y184"/>
  <sheetViews>
    <sheetView tabSelected="1" showWhiteSpace="0" view="pageBreakPreview" zoomScaleSheetLayoutView="100" zoomScalePageLayoutView="79" workbookViewId="0">
      <pane ySplit="5" topLeftCell="A111" activePane="bottomLeft" state="frozen"/>
      <selection pane="bottomLeft" activeCell="M118" sqref="M118"/>
    </sheetView>
  </sheetViews>
  <sheetFormatPr defaultRowHeight="12.75"/>
  <cols>
    <col min="1" max="1" width="10.140625" style="3094" customWidth="1"/>
    <col min="2" max="2" width="39.5703125" style="2951" customWidth="1"/>
    <col min="3" max="3" width="6.85546875" style="2951" customWidth="1"/>
    <col min="4" max="4" width="10.5703125" style="2888" customWidth="1"/>
    <col min="5" max="5" width="10.7109375" style="2951" hidden="1" customWidth="1"/>
    <col min="6" max="6" width="11.140625" style="2951" hidden="1" customWidth="1"/>
    <col min="7" max="7" width="11.28515625" style="3095" hidden="1" customWidth="1"/>
    <col min="8" max="11" width="11.42578125" style="3095" customWidth="1"/>
    <col min="12" max="12" width="14.140625" style="3095" customWidth="1"/>
    <col min="13" max="13" width="12.42578125" style="3095" bestFit="1" customWidth="1"/>
    <col min="14" max="14" width="14.140625" style="3095" customWidth="1"/>
    <col min="15" max="15" width="14.42578125" style="2951" customWidth="1"/>
    <col min="16" max="16" width="6" style="2951" hidden="1" customWidth="1"/>
    <col min="17" max="17" width="4.7109375" style="2951" hidden="1" customWidth="1"/>
    <col min="18" max="18" width="15.140625" style="2951" customWidth="1"/>
    <col min="19" max="19" width="15" style="2951" customWidth="1"/>
    <col min="20" max="20" width="14.85546875" style="2950" customWidth="1"/>
    <col min="21" max="22" width="12.42578125" style="2951" bestFit="1" customWidth="1"/>
    <col min="23" max="23" width="14.5703125" style="2951" bestFit="1" customWidth="1"/>
    <col min="24" max="24" width="9.140625" style="2951"/>
    <col min="25" max="25" width="11.140625" style="2950" bestFit="1" customWidth="1"/>
    <col min="26" max="16384" width="9.140625" style="2951"/>
  </cols>
  <sheetData>
    <row r="1" spans="1:25" s="2883" customFormat="1" ht="21.75" customHeight="1">
      <c r="A1" s="2882" t="s">
        <v>1108</v>
      </c>
      <c r="B1" s="2882"/>
      <c r="C1" s="2882"/>
      <c r="D1" s="2882"/>
      <c r="E1" s="2882"/>
      <c r="F1" s="2882"/>
      <c r="G1" s="2882"/>
      <c r="H1" s="2882"/>
      <c r="I1" s="2882"/>
      <c r="J1" s="2882"/>
      <c r="K1" s="2882"/>
      <c r="L1" s="2882"/>
      <c r="M1" s="2882"/>
      <c r="N1" s="2882"/>
      <c r="O1" s="2882"/>
      <c r="P1" s="2882"/>
      <c r="Q1" s="2882"/>
      <c r="R1" s="2882"/>
      <c r="T1" s="2884"/>
      <c r="Y1" s="2884"/>
    </row>
    <row r="2" spans="1:25" s="2883" customFormat="1" ht="17.25" customHeight="1">
      <c r="A2" s="2885" t="s">
        <v>1109</v>
      </c>
      <c r="B2" s="2885"/>
      <c r="C2" s="2885"/>
      <c r="D2" s="2885"/>
      <c r="E2" s="2885"/>
      <c r="F2" s="2885"/>
      <c r="G2" s="2885"/>
      <c r="H2" s="2885"/>
      <c r="I2" s="2885"/>
      <c r="J2" s="2885"/>
      <c r="K2" s="2885"/>
      <c r="L2" s="2885"/>
      <c r="M2" s="2885"/>
      <c r="N2" s="2885"/>
      <c r="O2" s="2885"/>
      <c r="P2" s="2885"/>
      <c r="Q2" s="2885"/>
      <c r="R2" s="2885"/>
      <c r="T2" s="2884"/>
      <c r="Y2" s="2884"/>
    </row>
    <row r="3" spans="1:25" s="2883" customFormat="1" ht="17.25" customHeight="1" thickBot="1">
      <c r="A3" s="2886"/>
      <c r="B3" s="2887"/>
      <c r="C3" s="2888"/>
      <c r="E3" s="2889"/>
      <c r="F3" s="2889"/>
      <c r="G3" s="2890"/>
      <c r="H3" s="2890"/>
      <c r="I3" s="2890"/>
      <c r="J3" s="2890"/>
      <c r="K3" s="2890"/>
      <c r="L3" s="2890"/>
      <c r="M3" s="2890"/>
      <c r="N3" s="2890"/>
      <c r="O3" s="2891"/>
      <c r="P3" s="2891"/>
      <c r="Q3" s="2892"/>
      <c r="T3" s="2884"/>
      <c r="Y3" s="2884"/>
    </row>
    <row r="4" spans="1:25" s="2896" customFormat="1" ht="18" customHeight="1" thickTop="1">
      <c r="A4" s="2893" t="s">
        <v>1110</v>
      </c>
      <c r="B4" s="2894" t="s">
        <v>4</v>
      </c>
      <c r="C4" s="2894" t="s">
        <v>5</v>
      </c>
      <c r="D4" s="3142" t="s">
        <v>1111</v>
      </c>
      <c r="E4" s="3143" t="s">
        <v>1112</v>
      </c>
      <c r="F4" s="3144"/>
      <c r="G4" s="3144"/>
      <c r="H4" s="3144"/>
      <c r="I4" s="3145"/>
      <c r="J4" s="3146"/>
      <c r="K4" s="3146"/>
      <c r="L4" s="3146"/>
      <c r="M4" s="3146"/>
      <c r="N4" s="3146"/>
      <c r="O4" s="3147" t="s">
        <v>234</v>
      </c>
      <c r="P4" s="3147"/>
      <c r="Q4" s="3147"/>
      <c r="R4" s="3147"/>
      <c r="S4" s="3148"/>
      <c r="T4" s="2895">
        <v>791224.66</v>
      </c>
      <c r="U4" s="2896">
        <v>673917.34</v>
      </c>
      <c r="V4" s="2897">
        <f>SUM(T4:U4)</f>
        <v>1465142</v>
      </c>
      <c r="W4" s="2897">
        <f>V4*88</f>
        <v>128932496</v>
      </c>
      <c r="Y4" s="2895"/>
    </row>
    <row r="5" spans="1:25" s="2901" customFormat="1" ht="57.75" customHeight="1" thickBot="1">
      <c r="A5" s="2898"/>
      <c r="B5" s="2899"/>
      <c r="C5" s="2899"/>
      <c r="D5" s="3149"/>
      <c r="E5" s="3150" t="s">
        <v>1113</v>
      </c>
      <c r="F5" s="3150" t="s">
        <v>1114</v>
      </c>
      <c r="G5" s="3150" t="s">
        <v>1115</v>
      </c>
      <c r="H5" s="3150" t="s">
        <v>1116</v>
      </c>
      <c r="I5" s="3150" t="s">
        <v>1117</v>
      </c>
      <c r="J5" s="3150" t="s">
        <v>1118</v>
      </c>
      <c r="K5" s="3150" t="s">
        <v>1119</v>
      </c>
      <c r="L5" s="3150" t="s">
        <v>1120</v>
      </c>
      <c r="M5" s="3150" t="s">
        <v>1121</v>
      </c>
      <c r="N5" s="3150" t="s">
        <v>1122</v>
      </c>
      <c r="O5" s="3151" t="s">
        <v>1123</v>
      </c>
      <c r="P5" s="3151" t="s">
        <v>1114</v>
      </c>
      <c r="Q5" s="3151" t="s">
        <v>1124</v>
      </c>
      <c r="R5" s="3151" t="s">
        <v>1116</v>
      </c>
      <c r="S5" s="3152" t="s">
        <v>1052</v>
      </c>
      <c r="T5" s="2900">
        <v>33575.01</v>
      </c>
      <c r="U5" s="2901">
        <v>26748.73</v>
      </c>
      <c r="V5" s="2902">
        <f>SUM(T5:U5)</f>
        <v>60323.740000000005</v>
      </c>
      <c r="Y5" s="2900"/>
    </row>
    <row r="6" spans="1:25" s="2913" customFormat="1" ht="23.25" customHeight="1" thickTop="1">
      <c r="A6" s="2903">
        <v>1000</v>
      </c>
      <c r="B6" s="2904" t="s">
        <v>1125</v>
      </c>
      <c r="C6" s="2905"/>
      <c r="D6" s="2906"/>
      <c r="E6" s="2907"/>
      <c r="F6" s="2907"/>
      <c r="G6" s="2908"/>
      <c r="H6" s="2908"/>
      <c r="I6" s="2909"/>
      <c r="J6" s="2909"/>
      <c r="K6" s="2909"/>
      <c r="L6" s="2909"/>
      <c r="M6" s="2909"/>
      <c r="N6" s="2909"/>
      <c r="O6" s="2910"/>
      <c r="P6" s="2910"/>
      <c r="Q6" s="2910"/>
      <c r="R6" s="2910"/>
      <c r="S6" s="2911"/>
      <c r="T6" s="2912"/>
      <c r="Y6" s="2912"/>
    </row>
    <row r="7" spans="1:25" s="2925" customFormat="1" ht="16.5" customHeight="1">
      <c r="A7" s="2914" t="s">
        <v>1126</v>
      </c>
      <c r="B7" s="2915" t="s">
        <v>1127</v>
      </c>
      <c r="C7" s="2916" t="s">
        <v>1128</v>
      </c>
      <c r="D7" s="2917">
        <v>5000</v>
      </c>
      <c r="E7" s="2918">
        <v>30</v>
      </c>
      <c r="F7" s="2918">
        <v>30</v>
      </c>
      <c r="G7" s="2919">
        <v>30</v>
      </c>
      <c r="H7" s="2919">
        <v>30</v>
      </c>
      <c r="I7" s="2920">
        <v>30</v>
      </c>
      <c r="J7" s="2920"/>
      <c r="K7" s="2920"/>
      <c r="L7" s="2921">
        <f>D7*J7</f>
        <v>0</v>
      </c>
      <c r="M7" s="2920">
        <f t="shared" ref="M7:M27" si="0">D7*K7</f>
        <v>0</v>
      </c>
      <c r="N7" s="2922" t="str">
        <f>IF(L7&gt;0,1-((L7-M7)/L7),"-")</f>
        <v>-</v>
      </c>
      <c r="O7" s="2919"/>
      <c r="P7" s="2919">
        <f t="shared" ref="P7:P27" si="1">D7*F7</f>
        <v>150000</v>
      </c>
      <c r="Q7" s="2919">
        <f t="shared" ref="Q7:Q27" si="2">D7*G7</f>
        <v>150000</v>
      </c>
      <c r="R7" s="2919">
        <f t="shared" ref="R7:R27" si="3">D7*H7</f>
        <v>150000</v>
      </c>
      <c r="S7" s="2923">
        <f t="shared" ref="S7:S27" si="4">D7*I7</f>
        <v>150000</v>
      </c>
      <c r="T7" s="2924"/>
      <c r="Y7" s="2924"/>
    </row>
    <row r="8" spans="1:25" s="2925" customFormat="1" ht="24">
      <c r="A8" s="2914" t="s">
        <v>1129</v>
      </c>
      <c r="B8" s="2915" t="s">
        <v>1130</v>
      </c>
      <c r="C8" s="2916" t="s">
        <v>1131</v>
      </c>
      <c r="D8" s="2917">
        <v>50000</v>
      </c>
      <c r="E8" s="2918">
        <v>1</v>
      </c>
      <c r="F8" s="2918">
        <v>1</v>
      </c>
      <c r="G8" s="2919">
        <v>1</v>
      </c>
      <c r="H8" s="2919">
        <v>1</v>
      </c>
      <c r="I8" s="2920">
        <v>1</v>
      </c>
      <c r="J8" s="2920"/>
      <c r="K8" s="2920"/>
      <c r="L8" s="2921">
        <f t="shared" ref="L8:L27" si="5">D8*J8</f>
        <v>0</v>
      </c>
      <c r="M8" s="2920">
        <f t="shared" si="0"/>
        <v>0</v>
      </c>
      <c r="N8" s="2922" t="str">
        <f t="shared" ref="N8:N71" si="6">IF(L8&gt;0,1-((L8-M8)/L8),"-")</f>
        <v>-</v>
      </c>
      <c r="O8" s="2919"/>
      <c r="P8" s="2919">
        <f t="shared" si="1"/>
        <v>50000</v>
      </c>
      <c r="Q8" s="2919">
        <f t="shared" si="2"/>
        <v>50000</v>
      </c>
      <c r="R8" s="2919">
        <f t="shared" si="3"/>
        <v>50000</v>
      </c>
      <c r="S8" s="2923">
        <f t="shared" si="4"/>
        <v>50000</v>
      </c>
      <c r="T8" s="2924"/>
      <c r="Y8" s="2924"/>
    </row>
    <row r="9" spans="1:25" s="2925" customFormat="1" ht="15.75" customHeight="1">
      <c r="A9" s="2914" t="s">
        <v>1132</v>
      </c>
      <c r="B9" s="2915" t="s">
        <v>1133</v>
      </c>
      <c r="C9" s="2916" t="s">
        <v>1128</v>
      </c>
      <c r="D9" s="2917">
        <v>5000</v>
      </c>
      <c r="E9" s="2918">
        <v>25</v>
      </c>
      <c r="F9" s="2918">
        <v>25</v>
      </c>
      <c r="G9" s="2919">
        <v>25</v>
      </c>
      <c r="H9" s="2919">
        <v>25</v>
      </c>
      <c r="I9" s="2920"/>
      <c r="J9" s="2920"/>
      <c r="K9" s="2920"/>
      <c r="L9" s="2921">
        <f t="shared" si="5"/>
        <v>0</v>
      </c>
      <c r="M9" s="2920">
        <f t="shared" si="0"/>
        <v>0</v>
      </c>
      <c r="N9" s="2922" t="str">
        <f t="shared" si="6"/>
        <v>-</v>
      </c>
      <c r="O9" s="2919"/>
      <c r="P9" s="2919">
        <f t="shared" si="1"/>
        <v>125000</v>
      </c>
      <c r="Q9" s="2919">
        <f t="shared" si="2"/>
        <v>125000</v>
      </c>
      <c r="R9" s="2919">
        <f t="shared" si="3"/>
        <v>125000</v>
      </c>
      <c r="S9" s="2923">
        <f t="shared" si="4"/>
        <v>0</v>
      </c>
      <c r="T9" s="2924"/>
      <c r="Y9" s="2924"/>
    </row>
    <row r="10" spans="1:25" s="2925" customFormat="1" ht="24">
      <c r="A10" s="2914" t="s">
        <v>1134</v>
      </c>
      <c r="B10" s="2915" t="s">
        <v>1135</v>
      </c>
      <c r="C10" s="2916" t="s">
        <v>1131</v>
      </c>
      <c r="D10" s="2917">
        <v>50000</v>
      </c>
      <c r="E10" s="2918">
        <v>1</v>
      </c>
      <c r="F10" s="2918">
        <v>1</v>
      </c>
      <c r="G10" s="2919">
        <v>1</v>
      </c>
      <c r="H10" s="2919">
        <v>1</v>
      </c>
      <c r="I10" s="2920"/>
      <c r="J10" s="2920"/>
      <c r="K10" s="2920"/>
      <c r="L10" s="2921">
        <f t="shared" si="5"/>
        <v>0</v>
      </c>
      <c r="M10" s="2920">
        <f t="shared" si="0"/>
        <v>0</v>
      </c>
      <c r="N10" s="2922" t="str">
        <f t="shared" si="6"/>
        <v>-</v>
      </c>
      <c r="O10" s="2919"/>
      <c r="P10" s="2919">
        <f t="shared" si="1"/>
        <v>50000</v>
      </c>
      <c r="Q10" s="2919">
        <f t="shared" si="2"/>
        <v>50000</v>
      </c>
      <c r="R10" s="2919">
        <f t="shared" si="3"/>
        <v>50000</v>
      </c>
      <c r="S10" s="2923">
        <f t="shared" si="4"/>
        <v>0</v>
      </c>
      <c r="T10" s="2924">
        <v>30847.63</v>
      </c>
      <c r="U10" s="2925">
        <v>25625.27</v>
      </c>
      <c r="Y10" s="2924"/>
    </row>
    <row r="11" spans="1:25" s="2925" customFormat="1" ht="18" customHeight="1">
      <c r="A11" s="2914">
        <v>2</v>
      </c>
      <c r="B11" s="2915" t="s">
        <v>1136</v>
      </c>
      <c r="C11" s="2916"/>
      <c r="D11" s="2917"/>
      <c r="E11" s="2918"/>
      <c r="F11" s="2918"/>
      <c r="G11" s="2919"/>
      <c r="H11" s="2919"/>
      <c r="I11" s="2920"/>
      <c r="J11" s="2920"/>
      <c r="K11" s="2920"/>
      <c r="L11" s="2921">
        <f t="shared" si="5"/>
        <v>0</v>
      </c>
      <c r="M11" s="2920">
        <f t="shared" si="0"/>
        <v>0</v>
      </c>
      <c r="N11" s="2922" t="str">
        <f t="shared" si="6"/>
        <v>-</v>
      </c>
      <c r="O11" s="2919"/>
      <c r="P11" s="2919">
        <f t="shared" si="1"/>
        <v>0</v>
      </c>
      <c r="Q11" s="2919">
        <f t="shared" si="2"/>
        <v>0</v>
      </c>
      <c r="R11" s="2919">
        <f t="shared" si="3"/>
        <v>0</v>
      </c>
      <c r="S11" s="2923">
        <f t="shared" si="4"/>
        <v>0</v>
      </c>
      <c r="T11" s="2924">
        <f>SUM(T10,T5)</f>
        <v>64422.64</v>
      </c>
      <c r="U11" s="2925">
        <f>SUM(U10,U5)</f>
        <v>52374</v>
      </c>
      <c r="Y11" s="2924"/>
    </row>
    <row r="12" spans="1:25" s="2925" customFormat="1" ht="24">
      <c r="A12" s="2914" t="s">
        <v>1126</v>
      </c>
      <c r="B12" s="2915" t="s">
        <v>1137</v>
      </c>
      <c r="C12" s="2916" t="s">
        <v>1131</v>
      </c>
      <c r="D12" s="2917">
        <v>50000</v>
      </c>
      <c r="E12" s="2918">
        <v>1</v>
      </c>
      <c r="F12" s="2918">
        <v>1</v>
      </c>
      <c r="G12" s="2919">
        <v>1</v>
      </c>
      <c r="H12" s="2919">
        <v>1</v>
      </c>
      <c r="I12" s="2920"/>
      <c r="J12" s="2920"/>
      <c r="K12" s="2920"/>
      <c r="L12" s="2921">
        <f t="shared" si="5"/>
        <v>0</v>
      </c>
      <c r="M12" s="2920">
        <f t="shared" si="0"/>
        <v>0</v>
      </c>
      <c r="N12" s="2922" t="str">
        <f t="shared" si="6"/>
        <v>-</v>
      </c>
      <c r="O12" s="2919"/>
      <c r="P12" s="2919">
        <f t="shared" si="1"/>
        <v>50000</v>
      </c>
      <c r="Q12" s="2919">
        <f t="shared" si="2"/>
        <v>50000</v>
      </c>
      <c r="R12" s="2919">
        <f t="shared" si="3"/>
        <v>50000</v>
      </c>
      <c r="S12" s="2923">
        <f t="shared" si="4"/>
        <v>0</v>
      </c>
      <c r="T12" s="2924"/>
      <c r="Y12" s="2924"/>
    </row>
    <row r="13" spans="1:25" s="2925" customFormat="1" ht="18" customHeight="1">
      <c r="A13" s="2914" t="s">
        <v>1129</v>
      </c>
      <c r="B13" s="2915" t="s">
        <v>1138</v>
      </c>
      <c r="C13" s="2916" t="s">
        <v>255</v>
      </c>
      <c r="D13" s="2917">
        <v>5000</v>
      </c>
      <c r="E13" s="2918">
        <v>20</v>
      </c>
      <c r="F13" s="2918">
        <v>20</v>
      </c>
      <c r="G13" s="2919">
        <v>20</v>
      </c>
      <c r="H13" s="2919">
        <v>20</v>
      </c>
      <c r="I13" s="2920"/>
      <c r="J13" s="2920"/>
      <c r="K13" s="2920"/>
      <c r="L13" s="2921">
        <f t="shared" si="5"/>
        <v>0</v>
      </c>
      <c r="M13" s="2920">
        <f t="shared" si="0"/>
        <v>0</v>
      </c>
      <c r="N13" s="2922" t="str">
        <f t="shared" si="6"/>
        <v>-</v>
      </c>
      <c r="O13" s="2919"/>
      <c r="P13" s="2919">
        <f t="shared" si="1"/>
        <v>100000</v>
      </c>
      <c r="Q13" s="2919">
        <f t="shared" si="2"/>
        <v>100000</v>
      </c>
      <c r="R13" s="2919">
        <f t="shared" si="3"/>
        <v>100000</v>
      </c>
      <c r="S13" s="2923">
        <f t="shared" si="4"/>
        <v>0</v>
      </c>
      <c r="T13" s="2924"/>
      <c r="Y13" s="2924"/>
    </row>
    <row r="14" spans="1:25" s="2925" customFormat="1" ht="24">
      <c r="A14" s="2914">
        <v>3</v>
      </c>
      <c r="B14" s="2915" t="s">
        <v>1139</v>
      </c>
      <c r="C14" s="2916"/>
      <c r="D14" s="2917"/>
      <c r="E14" s="2918"/>
      <c r="F14" s="2918"/>
      <c r="G14" s="2919"/>
      <c r="H14" s="2919"/>
      <c r="I14" s="2920"/>
      <c r="J14" s="2920"/>
      <c r="K14" s="2920"/>
      <c r="L14" s="2921">
        <f t="shared" si="5"/>
        <v>0</v>
      </c>
      <c r="M14" s="2920">
        <f t="shared" si="0"/>
        <v>0</v>
      </c>
      <c r="N14" s="2922" t="str">
        <f t="shared" si="6"/>
        <v>-</v>
      </c>
      <c r="O14" s="2919"/>
      <c r="P14" s="2919">
        <f t="shared" si="1"/>
        <v>0</v>
      </c>
      <c r="Q14" s="2919">
        <f t="shared" si="2"/>
        <v>0</v>
      </c>
      <c r="R14" s="2919">
        <f t="shared" si="3"/>
        <v>0</v>
      </c>
      <c r="S14" s="2923">
        <f t="shared" si="4"/>
        <v>0</v>
      </c>
      <c r="T14" s="2924"/>
      <c r="Y14" s="2924"/>
    </row>
    <row r="15" spans="1:25" s="2925" customFormat="1" ht="18" customHeight="1">
      <c r="A15" s="2914" t="s">
        <v>1126</v>
      </c>
      <c r="B15" s="2915" t="s">
        <v>1140</v>
      </c>
      <c r="C15" s="2916" t="s">
        <v>255</v>
      </c>
      <c r="D15" s="2917">
        <v>2500</v>
      </c>
      <c r="E15" s="2918">
        <v>60</v>
      </c>
      <c r="F15" s="2918">
        <v>60</v>
      </c>
      <c r="G15" s="2919">
        <v>60</v>
      </c>
      <c r="H15" s="2919">
        <v>60</v>
      </c>
      <c r="I15" s="2920"/>
      <c r="J15" s="2920"/>
      <c r="K15" s="2920"/>
      <c r="L15" s="2921">
        <f t="shared" si="5"/>
        <v>0</v>
      </c>
      <c r="M15" s="2920">
        <f t="shared" si="0"/>
        <v>0</v>
      </c>
      <c r="N15" s="2922" t="str">
        <f t="shared" si="6"/>
        <v>-</v>
      </c>
      <c r="O15" s="2919"/>
      <c r="P15" s="2919">
        <f t="shared" si="1"/>
        <v>150000</v>
      </c>
      <c r="Q15" s="2919">
        <f t="shared" si="2"/>
        <v>150000</v>
      </c>
      <c r="R15" s="2919">
        <f t="shared" si="3"/>
        <v>150000</v>
      </c>
      <c r="S15" s="2923">
        <f t="shared" si="4"/>
        <v>0</v>
      </c>
      <c r="T15" s="2924"/>
      <c r="Y15" s="2924"/>
    </row>
    <row r="16" spans="1:25" s="2925" customFormat="1" ht="15">
      <c r="A16" s="2914" t="s">
        <v>1129</v>
      </c>
      <c r="B16" s="2915" t="s">
        <v>1141</v>
      </c>
      <c r="C16" s="2916" t="s">
        <v>1131</v>
      </c>
      <c r="D16" s="2917">
        <v>600000</v>
      </c>
      <c r="E16" s="2918">
        <v>1</v>
      </c>
      <c r="F16" s="2918">
        <v>1</v>
      </c>
      <c r="G16" s="2919">
        <v>1</v>
      </c>
      <c r="H16" s="2919">
        <v>1</v>
      </c>
      <c r="I16" s="2926"/>
      <c r="J16" s="2926"/>
      <c r="K16" s="2926"/>
      <c r="L16" s="2921">
        <f t="shared" si="5"/>
        <v>0</v>
      </c>
      <c r="M16" s="2920">
        <f t="shared" si="0"/>
        <v>0</v>
      </c>
      <c r="N16" s="2922" t="str">
        <f t="shared" si="6"/>
        <v>-</v>
      </c>
      <c r="O16" s="2919"/>
      <c r="P16" s="2919">
        <f t="shared" si="1"/>
        <v>600000</v>
      </c>
      <c r="Q16" s="2919">
        <f t="shared" si="2"/>
        <v>600000</v>
      </c>
      <c r="R16" s="2919">
        <f t="shared" si="3"/>
        <v>600000</v>
      </c>
      <c r="S16" s="2923">
        <f t="shared" si="4"/>
        <v>0</v>
      </c>
      <c r="T16" s="2924"/>
      <c r="Y16" s="2924"/>
    </row>
    <row r="17" spans="1:25" s="2925" customFormat="1" ht="24">
      <c r="A17" s="2914" t="s">
        <v>1132</v>
      </c>
      <c r="B17" s="2915" t="s">
        <v>1142</v>
      </c>
      <c r="C17" s="2916" t="s">
        <v>1143</v>
      </c>
      <c r="D17" s="2917">
        <v>1000</v>
      </c>
      <c r="E17" s="2918">
        <v>33</v>
      </c>
      <c r="F17" s="2918">
        <v>33</v>
      </c>
      <c r="G17" s="2919">
        <v>33</v>
      </c>
      <c r="H17" s="2919">
        <v>33</v>
      </c>
      <c r="I17" s="2920"/>
      <c r="J17" s="2920"/>
      <c r="K17" s="2920"/>
      <c r="L17" s="2921">
        <f t="shared" si="5"/>
        <v>0</v>
      </c>
      <c r="M17" s="2920">
        <f t="shared" si="0"/>
        <v>0</v>
      </c>
      <c r="N17" s="2922" t="str">
        <f t="shared" si="6"/>
        <v>-</v>
      </c>
      <c r="O17" s="2919"/>
      <c r="P17" s="2919">
        <f t="shared" si="1"/>
        <v>33000</v>
      </c>
      <c r="Q17" s="2919">
        <f t="shared" si="2"/>
        <v>33000</v>
      </c>
      <c r="R17" s="2919">
        <f t="shared" si="3"/>
        <v>33000</v>
      </c>
      <c r="S17" s="2923">
        <f t="shared" si="4"/>
        <v>0</v>
      </c>
      <c r="T17" s="2924"/>
      <c r="Y17" s="2924"/>
    </row>
    <row r="18" spans="1:25" s="2925" customFormat="1" ht="24">
      <c r="A18" s="2914">
        <v>4</v>
      </c>
      <c r="B18" s="2915" t="s">
        <v>1144</v>
      </c>
      <c r="C18" s="2916" t="s">
        <v>1131</v>
      </c>
      <c r="D18" s="2917">
        <v>400000</v>
      </c>
      <c r="E18" s="2918">
        <v>1</v>
      </c>
      <c r="F18" s="2918">
        <v>1</v>
      </c>
      <c r="G18" s="2919">
        <v>1</v>
      </c>
      <c r="H18" s="2919">
        <v>1</v>
      </c>
      <c r="I18" s="2920"/>
      <c r="J18" s="2920"/>
      <c r="K18" s="2920"/>
      <c r="L18" s="2921">
        <f t="shared" si="5"/>
        <v>0</v>
      </c>
      <c r="M18" s="2920">
        <f t="shared" si="0"/>
        <v>0</v>
      </c>
      <c r="N18" s="2922" t="str">
        <f t="shared" si="6"/>
        <v>-</v>
      </c>
      <c r="O18" s="2919"/>
      <c r="P18" s="2919">
        <f t="shared" si="1"/>
        <v>400000</v>
      </c>
      <c r="Q18" s="2919">
        <f t="shared" si="2"/>
        <v>400000</v>
      </c>
      <c r="R18" s="2919">
        <f t="shared" si="3"/>
        <v>400000</v>
      </c>
      <c r="S18" s="2923">
        <f t="shared" si="4"/>
        <v>0</v>
      </c>
      <c r="T18" s="2924"/>
      <c r="Y18" s="2924"/>
    </row>
    <row r="19" spans="1:25" s="2925" customFormat="1" ht="31.5" customHeight="1">
      <c r="A19" s="2914">
        <v>5</v>
      </c>
      <c r="B19" s="2915" t="s">
        <v>1145</v>
      </c>
      <c r="C19" s="2916" t="s">
        <v>1131</v>
      </c>
      <c r="D19" s="2917">
        <v>100000</v>
      </c>
      <c r="E19" s="2918">
        <v>1</v>
      </c>
      <c r="F19" s="2918">
        <v>1</v>
      </c>
      <c r="G19" s="2919">
        <v>1</v>
      </c>
      <c r="H19" s="2919">
        <v>1</v>
      </c>
      <c r="I19" s="2920"/>
      <c r="J19" s="2920"/>
      <c r="K19" s="2920"/>
      <c r="L19" s="2921">
        <f t="shared" si="5"/>
        <v>0</v>
      </c>
      <c r="M19" s="2920">
        <f t="shared" si="0"/>
        <v>0</v>
      </c>
      <c r="N19" s="2922" t="str">
        <f t="shared" si="6"/>
        <v>-</v>
      </c>
      <c r="O19" s="2919"/>
      <c r="P19" s="2919">
        <f t="shared" si="1"/>
        <v>100000</v>
      </c>
      <c r="Q19" s="2919">
        <f t="shared" si="2"/>
        <v>100000</v>
      </c>
      <c r="R19" s="2919">
        <f t="shared" si="3"/>
        <v>100000</v>
      </c>
      <c r="S19" s="2923">
        <f t="shared" si="4"/>
        <v>0</v>
      </c>
      <c r="T19" s="2924"/>
      <c r="Y19" s="2924"/>
    </row>
    <row r="20" spans="1:25" s="2925" customFormat="1" ht="15">
      <c r="A20" s="2914">
        <v>6</v>
      </c>
      <c r="B20" s="2915" t="s">
        <v>1146</v>
      </c>
      <c r="C20" s="2916" t="s">
        <v>1131</v>
      </c>
      <c r="D20" s="2917">
        <v>20000</v>
      </c>
      <c r="E20" s="2918">
        <v>3</v>
      </c>
      <c r="F20" s="2918">
        <v>3</v>
      </c>
      <c r="G20" s="2919">
        <v>3</v>
      </c>
      <c r="H20" s="2919">
        <v>3</v>
      </c>
      <c r="I20" s="2920"/>
      <c r="J20" s="2920"/>
      <c r="K20" s="2920"/>
      <c r="L20" s="2921">
        <f t="shared" si="5"/>
        <v>0</v>
      </c>
      <c r="M20" s="2920">
        <f t="shared" si="0"/>
        <v>0</v>
      </c>
      <c r="N20" s="2922" t="str">
        <f t="shared" si="6"/>
        <v>-</v>
      </c>
      <c r="O20" s="2919"/>
      <c r="P20" s="2919">
        <f t="shared" si="1"/>
        <v>60000</v>
      </c>
      <c r="Q20" s="2919">
        <f t="shared" si="2"/>
        <v>60000</v>
      </c>
      <c r="R20" s="2919">
        <f t="shared" si="3"/>
        <v>60000</v>
      </c>
      <c r="S20" s="2923">
        <f t="shared" si="4"/>
        <v>0</v>
      </c>
      <c r="T20" s="2924"/>
      <c r="Y20" s="2924"/>
    </row>
    <row r="21" spans="1:25" s="2925" customFormat="1" ht="36">
      <c r="A21" s="2914">
        <v>7</v>
      </c>
      <c r="B21" s="2915" t="s">
        <v>1147</v>
      </c>
      <c r="C21" s="2916" t="s">
        <v>106</v>
      </c>
      <c r="D21" s="2917">
        <v>10000</v>
      </c>
      <c r="E21" s="2918">
        <v>3</v>
      </c>
      <c r="F21" s="2918">
        <v>3</v>
      </c>
      <c r="G21" s="2919">
        <v>3</v>
      </c>
      <c r="H21" s="2919">
        <v>3</v>
      </c>
      <c r="I21" s="2926"/>
      <c r="J21" s="2926">
        <v>0.15</v>
      </c>
      <c r="K21" s="2926">
        <v>0.15</v>
      </c>
      <c r="L21" s="2921">
        <f t="shared" si="5"/>
        <v>1500</v>
      </c>
      <c r="M21" s="2920">
        <f t="shared" si="0"/>
        <v>1500</v>
      </c>
      <c r="N21" s="2922">
        <f t="shared" si="6"/>
        <v>1</v>
      </c>
      <c r="O21" s="2919">
        <v>1500</v>
      </c>
      <c r="P21" s="2919">
        <f t="shared" si="1"/>
        <v>30000</v>
      </c>
      <c r="Q21" s="2919">
        <f t="shared" si="2"/>
        <v>30000</v>
      </c>
      <c r="R21" s="2919">
        <f t="shared" si="3"/>
        <v>30000</v>
      </c>
      <c r="S21" s="2923">
        <f t="shared" si="4"/>
        <v>0</v>
      </c>
      <c r="T21" s="2924"/>
      <c r="Y21" s="2924"/>
    </row>
    <row r="22" spans="1:25" s="2925" customFormat="1" ht="24">
      <c r="A22" s="2927">
        <v>8</v>
      </c>
      <c r="B22" s="2928" t="s">
        <v>1148</v>
      </c>
      <c r="C22" s="2916" t="s">
        <v>106</v>
      </c>
      <c r="D22" s="2917">
        <v>2000000</v>
      </c>
      <c r="E22" s="2918">
        <v>1</v>
      </c>
      <c r="F22" s="2918">
        <v>1</v>
      </c>
      <c r="G22" s="2919">
        <v>1</v>
      </c>
      <c r="H22" s="2919">
        <v>1</v>
      </c>
      <c r="I22" s="2926"/>
      <c r="J22" s="2926"/>
      <c r="K22" s="2926"/>
      <c r="L22" s="2921">
        <f t="shared" si="5"/>
        <v>0</v>
      </c>
      <c r="M22" s="2920">
        <f t="shared" si="0"/>
        <v>0</v>
      </c>
      <c r="N22" s="2922" t="str">
        <f t="shared" si="6"/>
        <v>-</v>
      </c>
      <c r="O22" s="2919"/>
      <c r="P22" s="2919">
        <f t="shared" si="1"/>
        <v>2000000</v>
      </c>
      <c r="Q22" s="2919">
        <f t="shared" si="2"/>
        <v>2000000</v>
      </c>
      <c r="R22" s="2919">
        <f t="shared" si="3"/>
        <v>2000000</v>
      </c>
      <c r="S22" s="2923">
        <f t="shared" si="4"/>
        <v>0</v>
      </c>
      <c r="T22" s="2924"/>
      <c r="Y22" s="2924"/>
    </row>
    <row r="23" spans="1:25" s="2925" customFormat="1" ht="37.5" customHeight="1">
      <c r="A23" s="2914" t="s">
        <v>1149</v>
      </c>
      <c r="B23" s="2915" t="s">
        <v>1150</v>
      </c>
      <c r="C23" s="2916" t="s">
        <v>1151</v>
      </c>
      <c r="D23" s="2917">
        <v>10000</v>
      </c>
      <c r="E23" s="2918">
        <v>45</v>
      </c>
      <c r="F23" s="2918">
        <v>45</v>
      </c>
      <c r="G23" s="2919">
        <v>45</v>
      </c>
      <c r="H23" s="2918">
        <v>45</v>
      </c>
      <c r="I23" s="2926"/>
      <c r="J23" s="2926">
        <v>1</v>
      </c>
      <c r="K23" s="2926">
        <v>1</v>
      </c>
      <c r="L23" s="2921">
        <f t="shared" si="5"/>
        <v>10000</v>
      </c>
      <c r="M23" s="2920">
        <f t="shared" si="0"/>
        <v>10000</v>
      </c>
      <c r="N23" s="2922">
        <f t="shared" si="6"/>
        <v>1</v>
      </c>
      <c r="O23" s="2919">
        <v>10000</v>
      </c>
      <c r="P23" s="2919">
        <f t="shared" si="1"/>
        <v>450000</v>
      </c>
      <c r="Q23" s="2919">
        <f t="shared" si="2"/>
        <v>450000</v>
      </c>
      <c r="R23" s="2919">
        <f t="shared" si="3"/>
        <v>450000</v>
      </c>
      <c r="S23" s="2923">
        <f t="shared" si="4"/>
        <v>0</v>
      </c>
      <c r="T23" s="2924"/>
      <c r="Y23" s="2924"/>
    </row>
    <row r="24" spans="1:25" s="2925" customFormat="1" ht="21" customHeight="1">
      <c r="A24" s="2914">
        <v>9</v>
      </c>
      <c r="B24" s="2915" t="s">
        <v>1152</v>
      </c>
      <c r="C24" s="2916" t="s">
        <v>106</v>
      </c>
      <c r="D24" s="2917">
        <v>10</v>
      </c>
      <c r="E24" s="2918">
        <v>45</v>
      </c>
      <c r="F24" s="2918">
        <v>45</v>
      </c>
      <c r="G24" s="2919">
        <v>45</v>
      </c>
      <c r="H24" s="2919">
        <v>45</v>
      </c>
      <c r="I24" s="2926"/>
      <c r="J24" s="2926"/>
      <c r="K24" s="2926"/>
      <c r="L24" s="2921">
        <f t="shared" si="5"/>
        <v>0</v>
      </c>
      <c r="M24" s="2920">
        <f t="shared" si="0"/>
        <v>0</v>
      </c>
      <c r="N24" s="2922" t="str">
        <f t="shared" si="6"/>
        <v>-</v>
      </c>
      <c r="O24" s="2919"/>
      <c r="P24" s="2919">
        <f t="shared" si="1"/>
        <v>450</v>
      </c>
      <c r="Q24" s="2919">
        <f t="shared" si="2"/>
        <v>450</v>
      </c>
      <c r="R24" s="2919">
        <f t="shared" si="3"/>
        <v>450</v>
      </c>
      <c r="S24" s="2923">
        <f t="shared" si="4"/>
        <v>0</v>
      </c>
      <c r="T24" s="2924"/>
      <c r="Y24" s="2924"/>
    </row>
    <row r="25" spans="1:25" s="2925" customFormat="1" ht="20.25" customHeight="1">
      <c r="A25" s="2914" t="s">
        <v>1153</v>
      </c>
      <c r="B25" s="2915" t="s">
        <v>1154</v>
      </c>
      <c r="C25" s="2916" t="s">
        <v>1155</v>
      </c>
      <c r="D25" s="2917">
        <v>1</v>
      </c>
      <c r="E25" s="2918">
        <v>25000</v>
      </c>
      <c r="F25" s="2918">
        <v>25000</v>
      </c>
      <c r="G25" s="2919">
        <v>25000</v>
      </c>
      <c r="H25" s="2919">
        <v>25000</v>
      </c>
      <c r="I25" s="2926"/>
      <c r="J25" s="2926"/>
      <c r="K25" s="2926"/>
      <c r="L25" s="2921">
        <f t="shared" si="5"/>
        <v>0</v>
      </c>
      <c r="M25" s="2920">
        <f t="shared" si="0"/>
        <v>0</v>
      </c>
      <c r="N25" s="2922" t="str">
        <f t="shared" si="6"/>
        <v>-</v>
      </c>
      <c r="O25" s="2919"/>
      <c r="P25" s="2919">
        <f t="shared" si="1"/>
        <v>25000</v>
      </c>
      <c r="Q25" s="2919">
        <f t="shared" si="2"/>
        <v>25000</v>
      </c>
      <c r="R25" s="2919">
        <f t="shared" si="3"/>
        <v>25000</v>
      </c>
      <c r="S25" s="2923">
        <f t="shared" si="4"/>
        <v>0</v>
      </c>
      <c r="T25" s="2924"/>
      <c r="Y25" s="2924"/>
    </row>
    <row r="26" spans="1:25" s="2925" customFormat="1" ht="24.75" customHeight="1">
      <c r="A26" s="2914" t="s">
        <v>1156</v>
      </c>
      <c r="B26" s="2915" t="s">
        <v>1157</v>
      </c>
      <c r="C26" s="2916" t="s">
        <v>1151</v>
      </c>
      <c r="D26" s="2917">
        <v>1</v>
      </c>
      <c r="E26" s="2918">
        <v>45</v>
      </c>
      <c r="F26" s="2918">
        <v>45</v>
      </c>
      <c r="G26" s="2919">
        <v>45</v>
      </c>
      <c r="H26" s="2919">
        <v>45</v>
      </c>
      <c r="I26" s="2926"/>
      <c r="J26" s="2926"/>
      <c r="K26" s="2926"/>
      <c r="L26" s="2921">
        <f t="shared" si="5"/>
        <v>0</v>
      </c>
      <c r="M26" s="2920">
        <f t="shared" si="0"/>
        <v>0</v>
      </c>
      <c r="N26" s="2922" t="str">
        <f t="shared" si="6"/>
        <v>-</v>
      </c>
      <c r="O26" s="2919"/>
      <c r="P26" s="2919">
        <f t="shared" si="1"/>
        <v>45</v>
      </c>
      <c r="Q26" s="2919">
        <f t="shared" si="2"/>
        <v>45</v>
      </c>
      <c r="R26" s="2919">
        <f t="shared" si="3"/>
        <v>45</v>
      </c>
      <c r="S26" s="2923">
        <f t="shared" si="4"/>
        <v>0</v>
      </c>
      <c r="T26" s="2924"/>
      <c r="Y26" s="2924"/>
    </row>
    <row r="27" spans="1:25" s="2925" customFormat="1" ht="24.75" thickBot="1">
      <c r="A27" s="2929"/>
      <c r="B27" s="2930" t="s">
        <v>1158</v>
      </c>
      <c r="C27" s="2931" t="s">
        <v>1131</v>
      </c>
      <c r="D27" s="2932">
        <v>10000</v>
      </c>
      <c r="E27" s="2933">
        <v>3</v>
      </c>
      <c r="F27" s="2933">
        <v>3</v>
      </c>
      <c r="G27" s="2934">
        <v>3</v>
      </c>
      <c r="H27" s="2934">
        <v>3</v>
      </c>
      <c r="I27" s="2935"/>
      <c r="J27" s="2935"/>
      <c r="K27" s="2935"/>
      <c r="L27" s="2921">
        <f t="shared" si="5"/>
        <v>0</v>
      </c>
      <c r="M27" s="2920">
        <f t="shared" si="0"/>
        <v>0</v>
      </c>
      <c r="N27" s="2922" t="str">
        <f t="shared" si="6"/>
        <v>-</v>
      </c>
      <c r="O27" s="2919"/>
      <c r="P27" s="2919">
        <f t="shared" si="1"/>
        <v>30000</v>
      </c>
      <c r="Q27" s="2919">
        <f t="shared" si="2"/>
        <v>30000</v>
      </c>
      <c r="R27" s="2919">
        <f t="shared" si="3"/>
        <v>30000</v>
      </c>
      <c r="S27" s="2923">
        <f t="shared" si="4"/>
        <v>0</v>
      </c>
      <c r="T27" s="2924"/>
      <c r="Y27" s="2924"/>
    </row>
    <row r="28" spans="1:25" s="2942" customFormat="1" ht="17.25" customHeight="1" thickBot="1">
      <c r="A28" s="2936"/>
      <c r="B28" s="2937" t="s">
        <v>1159</v>
      </c>
      <c r="C28" s="2937"/>
      <c r="D28" s="2937"/>
      <c r="E28" s="2937"/>
      <c r="F28" s="2937"/>
      <c r="G28" s="2937"/>
      <c r="H28" s="2937"/>
      <c r="I28" s="2938"/>
      <c r="J28" s="2938"/>
      <c r="K28" s="2938"/>
      <c r="L28" s="2938">
        <f>SUM(L7:L27)</f>
        <v>11500</v>
      </c>
      <c r="M28" s="2938">
        <f>SUM(M7:M27)</f>
        <v>11500</v>
      </c>
      <c r="N28" s="2939">
        <f t="shared" si="6"/>
        <v>1</v>
      </c>
      <c r="O28" s="2937">
        <f>SUM(O7:O27)</f>
        <v>11500</v>
      </c>
      <c r="P28" s="2937">
        <f>SUM(P7:P27)</f>
        <v>4403495</v>
      </c>
      <c r="Q28" s="2937">
        <f>SUM(Q7:Q27)</f>
        <v>4403495</v>
      </c>
      <c r="R28" s="2937">
        <f>SUM(R7:R27)</f>
        <v>4403495</v>
      </c>
      <c r="S28" s="2940">
        <f>SUM(S7:S27)</f>
        <v>200000</v>
      </c>
      <c r="T28" s="2941"/>
      <c r="Y28" s="2941"/>
    </row>
    <row r="29" spans="1:25" ht="18.75" customHeight="1">
      <c r="A29" s="2943">
        <v>2000</v>
      </c>
      <c r="B29" s="2944" t="s">
        <v>1160</v>
      </c>
      <c r="C29" s="2945"/>
      <c r="D29" s="2946"/>
      <c r="E29" s="2945"/>
      <c r="F29" s="2945"/>
      <c r="G29" s="2947"/>
      <c r="H29" s="2947"/>
      <c r="I29" s="2948"/>
      <c r="J29" s="2948"/>
      <c r="K29" s="2948"/>
      <c r="L29" s="2948"/>
      <c r="M29" s="2948"/>
      <c r="N29" s="2922" t="str">
        <f t="shared" si="6"/>
        <v>-</v>
      </c>
      <c r="O29" s="2947"/>
      <c r="P29" s="2947"/>
      <c r="Q29" s="2947"/>
      <c r="R29" s="2947"/>
      <c r="S29" s="2949"/>
    </row>
    <row r="30" spans="1:25" ht="19.5" customHeight="1" thickBot="1">
      <c r="A30" s="2929">
        <v>21.01</v>
      </c>
      <c r="B30" s="2952" t="s">
        <v>1161</v>
      </c>
      <c r="C30" s="2931" t="s">
        <v>238</v>
      </c>
      <c r="D30" s="2932">
        <v>35000</v>
      </c>
      <c r="E30" s="2953">
        <v>75</v>
      </c>
      <c r="F30" s="2953">
        <v>54.15</v>
      </c>
      <c r="G30" s="2934">
        <v>75</v>
      </c>
      <c r="H30" s="2934">
        <v>75</v>
      </c>
      <c r="I30" s="2935">
        <v>27.65</v>
      </c>
      <c r="J30" s="2935"/>
      <c r="K30" s="2935"/>
      <c r="L30" s="2935">
        <f>D30*J30</f>
        <v>0</v>
      </c>
      <c r="M30" s="2935">
        <f>D30*K30</f>
        <v>0</v>
      </c>
      <c r="N30" s="2922" t="str">
        <f t="shared" si="6"/>
        <v>-</v>
      </c>
      <c r="O30" s="2934"/>
      <c r="P30" s="2934">
        <f>D30*F30</f>
        <v>1895250</v>
      </c>
      <c r="Q30" s="2934">
        <f>D30*G30</f>
        <v>2625000</v>
      </c>
      <c r="R30" s="2934">
        <f>D30*H30</f>
        <v>2625000</v>
      </c>
      <c r="S30" s="2954">
        <f>D30*I30</f>
        <v>967750</v>
      </c>
      <c r="U30" s="2955"/>
    </row>
    <row r="31" spans="1:25" s="2942" customFormat="1" ht="18.75" customHeight="1" thickBot="1">
      <c r="A31" s="2936"/>
      <c r="B31" s="2937" t="s">
        <v>1159</v>
      </c>
      <c r="C31" s="2937"/>
      <c r="D31" s="2937"/>
      <c r="E31" s="2937"/>
      <c r="F31" s="2937"/>
      <c r="G31" s="2937"/>
      <c r="H31" s="2937"/>
      <c r="I31" s="2938"/>
      <c r="J31" s="2938"/>
      <c r="K31" s="2938"/>
      <c r="L31" s="2938">
        <f t="shared" ref="L31:Q31" si="7">L30</f>
        <v>0</v>
      </c>
      <c r="M31" s="2938">
        <f t="shared" si="7"/>
        <v>0</v>
      </c>
      <c r="N31" s="2938" t="str">
        <f t="shared" si="6"/>
        <v>-</v>
      </c>
      <c r="O31" s="2937">
        <f t="shared" si="7"/>
        <v>0</v>
      </c>
      <c r="P31" s="2937">
        <f>SUM(P30)</f>
        <v>1895250</v>
      </c>
      <c r="Q31" s="2937">
        <f t="shared" si="7"/>
        <v>2625000</v>
      </c>
      <c r="R31" s="2937">
        <f>R30</f>
        <v>2625000</v>
      </c>
      <c r="S31" s="2940">
        <f>S30</f>
        <v>967750</v>
      </c>
      <c r="T31" s="2941"/>
      <c r="Y31" s="2941"/>
    </row>
    <row r="32" spans="1:25" ht="15.75" customHeight="1">
      <c r="A32" s="2943">
        <v>3000</v>
      </c>
      <c r="B32" s="2944" t="s">
        <v>1162</v>
      </c>
      <c r="C32" s="2945"/>
      <c r="D32" s="2946"/>
      <c r="E32" s="2945"/>
      <c r="F32" s="2945"/>
      <c r="G32" s="2947"/>
      <c r="H32" s="2947"/>
      <c r="I32" s="2948"/>
      <c r="J32" s="2948"/>
      <c r="K32" s="2948"/>
      <c r="L32" s="2948">
        <f t="shared" ref="L32:L81" si="8">D32*J32</f>
        <v>0</v>
      </c>
      <c r="M32" s="2948">
        <f t="shared" ref="M32:M81" si="9">D32*K32</f>
        <v>0</v>
      </c>
      <c r="N32" s="2922" t="str">
        <f t="shared" si="6"/>
        <v>-</v>
      </c>
      <c r="O32" s="2947"/>
      <c r="P32" s="2947"/>
      <c r="Q32" s="2947"/>
      <c r="R32" s="2947"/>
      <c r="S32" s="2949"/>
    </row>
    <row r="33" spans="1:21" ht="15.75" customHeight="1">
      <c r="A33" s="2927">
        <v>31.01</v>
      </c>
      <c r="B33" s="2928" t="s">
        <v>1163</v>
      </c>
      <c r="C33" s="2956"/>
      <c r="D33" s="2957"/>
      <c r="E33" s="2956"/>
      <c r="F33" s="2956"/>
      <c r="G33" s="2958"/>
      <c r="H33" s="2958"/>
      <c r="I33" s="2959"/>
      <c r="J33" s="2959"/>
      <c r="K33" s="2959"/>
      <c r="L33" s="2948">
        <f t="shared" si="8"/>
        <v>0</v>
      </c>
      <c r="M33" s="2948">
        <f t="shared" si="9"/>
        <v>0</v>
      </c>
      <c r="N33" s="2922" t="str">
        <f t="shared" si="6"/>
        <v>-</v>
      </c>
      <c r="O33" s="2958"/>
      <c r="P33" s="2958"/>
      <c r="Q33" s="2958"/>
      <c r="R33" s="2958"/>
      <c r="S33" s="2960">
        <f t="shared" ref="S33:S81" si="10">D33*I33</f>
        <v>0</v>
      </c>
    </row>
    <row r="34" spans="1:21" ht="17.25" customHeight="1">
      <c r="A34" s="2927" t="s">
        <v>1164</v>
      </c>
      <c r="B34" s="2928" t="s">
        <v>1165</v>
      </c>
      <c r="C34" s="2916" t="s">
        <v>1166</v>
      </c>
      <c r="D34" s="2961">
        <v>75</v>
      </c>
      <c r="E34" s="2962">
        <v>18960</v>
      </c>
      <c r="F34" s="2962">
        <v>1103.75</v>
      </c>
      <c r="G34" s="2919">
        <v>13702</v>
      </c>
      <c r="H34" s="2919">
        <v>13702</v>
      </c>
      <c r="I34" s="2926"/>
      <c r="J34" s="2926"/>
      <c r="K34" s="2926"/>
      <c r="L34" s="2948">
        <f t="shared" si="8"/>
        <v>0</v>
      </c>
      <c r="M34" s="2948">
        <f t="shared" si="9"/>
        <v>0</v>
      </c>
      <c r="N34" s="2922" t="str">
        <f t="shared" si="6"/>
        <v>-</v>
      </c>
      <c r="O34" s="2919"/>
      <c r="P34" s="2919">
        <f t="shared" ref="P34:P81" si="11">D34*F34</f>
        <v>82781.25</v>
      </c>
      <c r="Q34" s="2919">
        <f t="shared" ref="Q34:Q41" si="12">D34*G34</f>
        <v>1027650</v>
      </c>
      <c r="R34" s="2919">
        <f t="shared" ref="R34:R41" si="13">D34*H34</f>
        <v>1027650</v>
      </c>
      <c r="S34" s="2923">
        <f t="shared" si="10"/>
        <v>0</v>
      </c>
    </row>
    <row r="35" spans="1:21" ht="24">
      <c r="A35" s="2927" t="s">
        <v>1167</v>
      </c>
      <c r="B35" s="2928" t="s">
        <v>1168</v>
      </c>
      <c r="C35" s="2916" t="s">
        <v>1166</v>
      </c>
      <c r="D35" s="2961">
        <v>80</v>
      </c>
      <c r="E35" s="2962">
        <v>7865</v>
      </c>
      <c r="F35" s="2918"/>
      <c r="G35" s="2919">
        <v>1612</v>
      </c>
      <c r="H35" s="2919">
        <v>1612</v>
      </c>
      <c r="I35" s="2926"/>
      <c r="J35" s="2926"/>
      <c r="K35" s="2926"/>
      <c r="L35" s="2948">
        <f t="shared" si="8"/>
        <v>0</v>
      </c>
      <c r="M35" s="2948">
        <f t="shared" si="9"/>
        <v>0</v>
      </c>
      <c r="N35" s="2922" t="str">
        <f t="shared" si="6"/>
        <v>-</v>
      </c>
      <c r="O35" s="2919"/>
      <c r="P35" s="2919">
        <f t="shared" si="11"/>
        <v>0</v>
      </c>
      <c r="Q35" s="2919">
        <f t="shared" si="12"/>
        <v>128960</v>
      </c>
      <c r="R35" s="2919">
        <f t="shared" si="13"/>
        <v>128960</v>
      </c>
      <c r="S35" s="2923">
        <f t="shared" si="10"/>
        <v>0</v>
      </c>
      <c r="U35" s="2951">
        <f>75-16.02</f>
        <v>58.980000000000004</v>
      </c>
    </row>
    <row r="36" spans="1:21" ht="15">
      <c r="A36" s="2927" t="s">
        <v>1169</v>
      </c>
      <c r="B36" s="2928" t="s">
        <v>1170</v>
      </c>
      <c r="C36" s="2916" t="s">
        <v>1166</v>
      </c>
      <c r="D36" s="2961">
        <v>115</v>
      </c>
      <c r="E36" s="2962">
        <v>1865</v>
      </c>
      <c r="F36" s="2918"/>
      <c r="G36" s="2919">
        <v>806</v>
      </c>
      <c r="H36" s="2919">
        <v>806</v>
      </c>
      <c r="I36" s="2926"/>
      <c r="J36" s="2926"/>
      <c r="K36" s="2926"/>
      <c r="L36" s="2948">
        <f t="shared" si="8"/>
        <v>0</v>
      </c>
      <c r="M36" s="2948">
        <f t="shared" si="9"/>
        <v>0</v>
      </c>
      <c r="N36" s="2922" t="str">
        <f t="shared" si="6"/>
        <v>-</v>
      </c>
      <c r="O36" s="2919"/>
      <c r="P36" s="2919">
        <f t="shared" si="11"/>
        <v>0</v>
      </c>
      <c r="Q36" s="2919">
        <f t="shared" si="12"/>
        <v>92690</v>
      </c>
      <c r="R36" s="2919">
        <f t="shared" si="13"/>
        <v>92690</v>
      </c>
      <c r="S36" s="2923">
        <f t="shared" si="10"/>
        <v>0</v>
      </c>
    </row>
    <row r="37" spans="1:21" ht="15">
      <c r="A37" s="2963"/>
      <c r="B37" s="2964"/>
      <c r="C37" s="2916" t="s">
        <v>1166</v>
      </c>
      <c r="D37" s="2917"/>
      <c r="E37" s="2918">
        <v>0</v>
      </c>
      <c r="F37" s="2918"/>
      <c r="G37" s="2919"/>
      <c r="H37" s="2919"/>
      <c r="I37" s="2926"/>
      <c r="J37" s="2926"/>
      <c r="K37" s="2926"/>
      <c r="L37" s="2948">
        <f t="shared" si="8"/>
        <v>0</v>
      </c>
      <c r="M37" s="2948">
        <f t="shared" si="9"/>
        <v>0</v>
      </c>
      <c r="N37" s="2922" t="str">
        <f t="shared" si="6"/>
        <v>-</v>
      </c>
      <c r="O37" s="2919"/>
      <c r="P37" s="2919">
        <f t="shared" si="11"/>
        <v>0</v>
      </c>
      <c r="Q37" s="2919">
        <f t="shared" si="12"/>
        <v>0</v>
      </c>
      <c r="R37" s="2919">
        <f t="shared" si="13"/>
        <v>0</v>
      </c>
      <c r="S37" s="2923">
        <f t="shared" si="10"/>
        <v>0</v>
      </c>
    </row>
    <row r="38" spans="1:21" ht="17.25" customHeight="1">
      <c r="A38" s="2914">
        <v>32.01</v>
      </c>
      <c r="B38" s="2965" t="s">
        <v>1171</v>
      </c>
      <c r="C38" s="2916"/>
      <c r="D38" s="2917"/>
      <c r="E38" s="2918"/>
      <c r="F38" s="2918"/>
      <c r="G38" s="2919"/>
      <c r="H38" s="2919"/>
      <c r="I38" s="2926"/>
      <c r="J38" s="2926"/>
      <c r="K38" s="2926"/>
      <c r="L38" s="2948">
        <f t="shared" si="8"/>
        <v>0</v>
      </c>
      <c r="M38" s="2948">
        <f t="shared" si="9"/>
        <v>0</v>
      </c>
      <c r="N38" s="2922" t="str">
        <f t="shared" si="6"/>
        <v>-</v>
      </c>
      <c r="O38" s="2919"/>
      <c r="P38" s="2919">
        <f t="shared" si="11"/>
        <v>0</v>
      </c>
      <c r="Q38" s="2919">
        <f t="shared" si="12"/>
        <v>0</v>
      </c>
      <c r="R38" s="2919">
        <f t="shared" si="13"/>
        <v>0</v>
      </c>
      <c r="S38" s="2923">
        <f t="shared" si="10"/>
        <v>0</v>
      </c>
    </row>
    <row r="39" spans="1:21" ht="15" customHeight="1">
      <c r="A39" s="2927" t="s">
        <v>42</v>
      </c>
      <c r="B39" s="2928" t="s">
        <v>1172</v>
      </c>
      <c r="C39" s="2916" t="s">
        <v>1166</v>
      </c>
      <c r="D39" s="2917">
        <v>75</v>
      </c>
      <c r="E39" s="2918">
        <v>3476</v>
      </c>
      <c r="F39" s="2918">
        <v>8681.83</v>
      </c>
      <c r="G39" s="2919">
        <v>7500</v>
      </c>
      <c r="H39" s="2919">
        <v>7500</v>
      </c>
      <c r="I39" s="2926">
        <v>4504.0499999999993</v>
      </c>
      <c r="J39" s="2926"/>
      <c r="K39" s="2926"/>
      <c r="L39" s="2926">
        <f t="shared" si="8"/>
        <v>0</v>
      </c>
      <c r="M39" s="2926">
        <f t="shared" si="9"/>
        <v>0</v>
      </c>
      <c r="N39" s="2926" t="str">
        <f t="shared" si="6"/>
        <v>-</v>
      </c>
      <c r="O39" s="2919"/>
      <c r="P39" s="2919">
        <f t="shared" si="11"/>
        <v>651137.25</v>
      </c>
      <c r="Q39" s="2919">
        <f t="shared" si="12"/>
        <v>562500</v>
      </c>
      <c r="R39" s="2919">
        <f t="shared" si="13"/>
        <v>562500</v>
      </c>
      <c r="S39" s="2923">
        <f t="shared" si="10"/>
        <v>337803.74999999994</v>
      </c>
    </row>
    <row r="40" spans="1:21" ht="17.25" customHeight="1">
      <c r="A40" s="2927" t="s">
        <v>44</v>
      </c>
      <c r="B40" s="2928" t="s">
        <v>1173</v>
      </c>
      <c r="C40" s="2916" t="s">
        <v>1166</v>
      </c>
      <c r="D40" s="2917">
        <v>80</v>
      </c>
      <c r="E40" s="2918">
        <v>2165</v>
      </c>
      <c r="F40" s="2918">
        <v>0</v>
      </c>
      <c r="G40" s="2919">
        <v>0</v>
      </c>
      <c r="H40" s="2919">
        <v>0</v>
      </c>
      <c r="I40" s="2926"/>
      <c r="J40" s="2926"/>
      <c r="K40" s="2926"/>
      <c r="L40" s="2926">
        <f t="shared" si="8"/>
        <v>0</v>
      </c>
      <c r="M40" s="2926">
        <f t="shared" si="9"/>
        <v>0</v>
      </c>
      <c r="N40" s="2926" t="str">
        <f t="shared" si="6"/>
        <v>-</v>
      </c>
      <c r="O40" s="2919"/>
      <c r="P40" s="2919">
        <f t="shared" si="11"/>
        <v>0</v>
      </c>
      <c r="Q40" s="2919">
        <f t="shared" si="12"/>
        <v>0</v>
      </c>
      <c r="R40" s="2919">
        <f t="shared" si="13"/>
        <v>0</v>
      </c>
      <c r="S40" s="2923">
        <f t="shared" si="10"/>
        <v>0</v>
      </c>
    </row>
    <row r="41" spans="1:21" ht="17.25" customHeight="1">
      <c r="A41" s="2927" t="s">
        <v>1174</v>
      </c>
      <c r="B41" s="2928" t="s">
        <v>1175</v>
      </c>
      <c r="C41" s="2916" t="s">
        <v>1166</v>
      </c>
      <c r="D41" s="2917">
        <v>115</v>
      </c>
      <c r="E41" s="2918">
        <v>986</v>
      </c>
      <c r="F41" s="2918">
        <v>868.18</v>
      </c>
      <c r="G41" s="2919">
        <v>1209</v>
      </c>
      <c r="H41" s="2919">
        <v>1209</v>
      </c>
      <c r="I41" s="2926"/>
      <c r="J41" s="2926"/>
      <c r="K41" s="2926"/>
      <c r="L41" s="2948">
        <f t="shared" si="8"/>
        <v>0</v>
      </c>
      <c r="M41" s="2948">
        <f t="shared" si="9"/>
        <v>0</v>
      </c>
      <c r="N41" s="2922" t="str">
        <f t="shared" si="6"/>
        <v>-</v>
      </c>
      <c r="O41" s="2919"/>
      <c r="P41" s="2919">
        <f t="shared" si="11"/>
        <v>99840.7</v>
      </c>
      <c r="Q41" s="2919">
        <f t="shared" si="12"/>
        <v>139035</v>
      </c>
      <c r="R41" s="2919">
        <f t="shared" si="13"/>
        <v>139035</v>
      </c>
      <c r="S41" s="2923">
        <f t="shared" si="10"/>
        <v>0</v>
      </c>
    </row>
    <row r="42" spans="1:21" ht="17.25" customHeight="1">
      <c r="A42" s="2927">
        <v>3200</v>
      </c>
      <c r="B42" s="2928" t="s">
        <v>1176</v>
      </c>
      <c r="C42" s="2916"/>
      <c r="D42" s="2917"/>
      <c r="E42" s="2918"/>
      <c r="F42" s="2918"/>
      <c r="G42" s="2919"/>
      <c r="H42" s="2919"/>
      <c r="I42" s="2926"/>
      <c r="J42" s="2926"/>
      <c r="K42" s="2926"/>
      <c r="L42" s="2948">
        <f t="shared" si="8"/>
        <v>0</v>
      </c>
      <c r="M42" s="2948">
        <f t="shared" si="9"/>
        <v>0</v>
      </c>
      <c r="N42" s="2922" t="str">
        <f t="shared" si="6"/>
        <v>-</v>
      </c>
      <c r="O42" s="2919"/>
      <c r="P42" s="2919">
        <f t="shared" si="11"/>
        <v>0</v>
      </c>
      <c r="Q42" s="2919"/>
      <c r="R42" s="2919"/>
      <c r="S42" s="2923">
        <f t="shared" si="10"/>
        <v>0</v>
      </c>
    </row>
    <row r="43" spans="1:21" ht="17.25" customHeight="1">
      <c r="A43" s="2927" t="s">
        <v>42</v>
      </c>
      <c r="B43" s="2928" t="s">
        <v>1177</v>
      </c>
      <c r="C43" s="2916"/>
      <c r="D43" s="2917"/>
      <c r="E43" s="2918"/>
      <c r="F43" s="2918"/>
      <c r="G43" s="2919"/>
      <c r="H43" s="2919"/>
      <c r="I43" s="2926"/>
      <c r="J43" s="2926"/>
      <c r="K43" s="2926"/>
      <c r="L43" s="2948">
        <f t="shared" si="8"/>
        <v>0</v>
      </c>
      <c r="M43" s="2948">
        <f t="shared" si="9"/>
        <v>0</v>
      </c>
      <c r="N43" s="2922" t="str">
        <f t="shared" si="6"/>
        <v>-</v>
      </c>
      <c r="O43" s="2919"/>
      <c r="P43" s="2919">
        <f t="shared" si="11"/>
        <v>0</v>
      </c>
      <c r="Q43" s="2919"/>
      <c r="R43" s="2919"/>
      <c r="S43" s="2923">
        <f t="shared" si="10"/>
        <v>0</v>
      </c>
    </row>
    <row r="44" spans="1:21" ht="17.25" customHeight="1">
      <c r="A44" s="2927" t="s">
        <v>1178</v>
      </c>
      <c r="B44" s="2928" t="s">
        <v>1179</v>
      </c>
      <c r="C44" s="2916" t="s">
        <v>273</v>
      </c>
      <c r="D44" s="2961">
        <v>250</v>
      </c>
      <c r="E44" s="2962">
        <v>0</v>
      </c>
      <c r="F44" s="2918"/>
      <c r="G44" s="2919"/>
      <c r="H44" s="2919"/>
      <c r="I44" s="2926"/>
      <c r="J44" s="2926"/>
      <c r="K44" s="2926"/>
      <c r="L44" s="2948">
        <f t="shared" si="8"/>
        <v>0</v>
      </c>
      <c r="M44" s="2948">
        <f t="shared" si="9"/>
        <v>0</v>
      </c>
      <c r="N44" s="2922" t="str">
        <f t="shared" si="6"/>
        <v>-</v>
      </c>
      <c r="O44" s="2919">
        <f>D44*E44</f>
        <v>0</v>
      </c>
      <c r="P44" s="2919">
        <f t="shared" si="11"/>
        <v>0</v>
      </c>
      <c r="Q44" s="2919">
        <f>D44*G44</f>
        <v>0</v>
      </c>
      <c r="R44" s="2919">
        <f>D44*H44</f>
        <v>0</v>
      </c>
      <c r="S44" s="2923">
        <f t="shared" si="10"/>
        <v>0</v>
      </c>
    </row>
    <row r="45" spans="1:21" ht="17.25" customHeight="1">
      <c r="A45" s="2927" t="s">
        <v>1180</v>
      </c>
      <c r="B45" s="2928" t="s">
        <v>1181</v>
      </c>
      <c r="C45" s="2916" t="s">
        <v>273</v>
      </c>
      <c r="D45" s="2961">
        <v>250</v>
      </c>
      <c r="E45" s="2962">
        <v>0</v>
      </c>
      <c r="F45" s="2918"/>
      <c r="G45" s="2919"/>
      <c r="H45" s="2919"/>
      <c r="I45" s="2926"/>
      <c r="J45" s="2926"/>
      <c r="K45" s="2926"/>
      <c r="L45" s="2948">
        <f t="shared" si="8"/>
        <v>0</v>
      </c>
      <c r="M45" s="2948">
        <f t="shared" si="9"/>
        <v>0</v>
      </c>
      <c r="N45" s="2922" t="str">
        <f t="shared" si="6"/>
        <v>-</v>
      </c>
      <c r="O45" s="2919">
        <f>D45*E45</f>
        <v>0</v>
      </c>
      <c r="P45" s="2919">
        <f t="shared" si="11"/>
        <v>0</v>
      </c>
      <c r="Q45" s="2919">
        <f>D45*G45</f>
        <v>0</v>
      </c>
      <c r="R45" s="2919">
        <f>D45*H45</f>
        <v>0</v>
      </c>
      <c r="S45" s="2923">
        <f t="shared" si="10"/>
        <v>0</v>
      </c>
    </row>
    <row r="46" spans="1:21" ht="17.25" customHeight="1">
      <c r="A46" s="2927" t="s">
        <v>49</v>
      </c>
      <c r="B46" s="2928" t="s">
        <v>1182</v>
      </c>
      <c r="C46" s="2916"/>
      <c r="D46" s="2961"/>
      <c r="E46" s="2962"/>
      <c r="F46" s="2918"/>
      <c r="G46" s="2919"/>
      <c r="H46" s="2919"/>
      <c r="I46" s="2926"/>
      <c r="J46" s="2926"/>
      <c r="K46" s="2926"/>
      <c r="L46" s="2948">
        <f t="shared" si="8"/>
        <v>0</v>
      </c>
      <c r="M46" s="2948">
        <f t="shared" si="9"/>
        <v>0</v>
      </c>
      <c r="N46" s="2922" t="str">
        <f t="shared" si="6"/>
        <v>-</v>
      </c>
      <c r="O46" s="2919"/>
      <c r="P46" s="2919">
        <f t="shared" si="11"/>
        <v>0</v>
      </c>
      <c r="Q46" s="2919"/>
      <c r="R46" s="2919"/>
      <c r="S46" s="2923">
        <f t="shared" si="10"/>
        <v>0</v>
      </c>
    </row>
    <row r="47" spans="1:21" ht="17.25" customHeight="1">
      <c r="A47" s="2927" t="s">
        <v>1183</v>
      </c>
      <c r="B47" s="2928" t="s">
        <v>1184</v>
      </c>
      <c r="C47" s="2916"/>
      <c r="D47" s="2961">
        <v>125</v>
      </c>
      <c r="E47" s="2962">
        <v>2488</v>
      </c>
      <c r="F47" s="2918"/>
      <c r="G47" s="2919">
        <v>3557.5</v>
      </c>
      <c r="H47" s="2919">
        <v>3557.5</v>
      </c>
      <c r="I47" s="2926">
        <f>T48-708.76+30</f>
        <v>3246.4199999999992</v>
      </c>
      <c r="J47" s="2926"/>
      <c r="K47" s="2926">
        <v>120</v>
      </c>
      <c r="L47" s="2948">
        <f t="shared" si="8"/>
        <v>0</v>
      </c>
      <c r="M47" s="2948">
        <f t="shared" si="9"/>
        <v>15000</v>
      </c>
      <c r="N47" s="2922" t="str">
        <f t="shared" si="6"/>
        <v>-</v>
      </c>
      <c r="O47" s="2919"/>
      <c r="P47" s="2919">
        <f t="shared" si="11"/>
        <v>0</v>
      </c>
      <c r="Q47" s="2919">
        <f>D47*G47</f>
        <v>444687.5</v>
      </c>
      <c r="R47" s="2919">
        <f>D47*H47</f>
        <v>444687.5</v>
      </c>
      <c r="S47" s="2923">
        <f t="shared" si="10"/>
        <v>405802.49999999988</v>
      </c>
    </row>
    <row r="48" spans="1:21" ht="17.25" customHeight="1">
      <c r="A48" s="2927" t="s">
        <v>1185</v>
      </c>
      <c r="B48" s="2928" t="s">
        <v>1181</v>
      </c>
      <c r="C48" s="2916"/>
      <c r="D48" s="2961">
        <v>125</v>
      </c>
      <c r="E48" s="2962">
        <v>640</v>
      </c>
      <c r="F48" s="2918"/>
      <c r="G48" s="2919">
        <v>0</v>
      </c>
      <c r="H48" s="2966">
        <v>0</v>
      </c>
      <c r="I48" s="2926"/>
      <c r="J48" s="2926"/>
      <c r="K48" s="2926"/>
      <c r="L48" s="2948">
        <f t="shared" si="8"/>
        <v>0</v>
      </c>
      <c r="M48" s="2948">
        <f t="shared" si="9"/>
        <v>0</v>
      </c>
      <c r="N48" s="2922" t="str">
        <f t="shared" si="6"/>
        <v>-</v>
      </c>
      <c r="O48" s="2919"/>
      <c r="P48" s="2919">
        <f t="shared" si="11"/>
        <v>0</v>
      </c>
      <c r="Q48" s="2919">
        <f>D48*G48</f>
        <v>0</v>
      </c>
      <c r="R48" s="2919">
        <f>D48*H48</f>
        <v>0</v>
      </c>
      <c r="S48" s="2923">
        <f t="shared" si="10"/>
        <v>0</v>
      </c>
      <c r="T48" s="2950">
        <v>3925.1799999999994</v>
      </c>
    </row>
    <row r="49" spans="1:25" ht="15.75" customHeight="1">
      <c r="A49" s="2914" t="s">
        <v>49</v>
      </c>
      <c r="B49" s="2915" t="s">
        <v>1186</v>
      </c>
      <c r="C49" s="2916" t="s">
        <v>1187</v>
      </c>
      <c r="D49" s="2917"/>
      <c r="E49" s="2918"/>
      <c r="F49" s="2918"/>
      <c r="G49" s="2919"/>
      <c r="H49" s="2919"/>
      <c r="I49" s="2926"/>
      <c r="J49" s="2926"/>
      <c r="K49" s="2926"/>
      <c r="L49" s="2948">
        <f t="shared" si="8"/>
        <v>0</v>
      </c>
      <c r="M49" s="2948">
        <f t="shared" si="9"/>
        <v>0</v>
      </c>
      <c r="N49" s="2922" t="str">
        <f t="shared" si="6"/>
        <v>-</v>
      </c>
      <c r="O49" s="2919"/>
      <c r="P49" s="2919">
        <f t="shared" si="11"/>
        <v>0</v>
      </c>
      <c r="Q49" s="2919"/>
      <c r="R49" s="2919"/>
      <c r="S49" s="2923">
        <f t="shared" si="10"/>
        <v>0</v>
      </c>
    </row>
    <row r="50" spans="1:25" ht="15.75" customHeight="1">
      <c r="A50" s="2914" t="s">
        <v>1188</v>
      </c>
      <c r="B50" s="2915" t="s">
        <v>1189</v>
      </c>
      <c r="C50" s="2916"/>
      <c r="D50" s="2961">
        <v>100</v>
      </c>
      <c r="E50" s="2962">
        <v>512</v>
      </c>
      <c r="F50" s="2962">
        <v>602.79999999999995</v>
      </c>
      <c r="G50" s="2919">
        <v>512</v>
      </c>
      <c r="H50" s="2919">
        <v>512</v>
      </c>
      <c r="I50" s="2926">
        <f>708.76-30</f>
        <v>678.76</v>
      </c>
      <c r="J50" s="2926"/>
      <c r="K50" s="2926"/>
      <c r="L50" s="2948">
        <f t="shared" si="8"/>
        <v>0</v>
      </c>
      <c r="M50" s="2948">
        <f t="shared" si="9"/>
        <v>0</v>
      </c>
      <c r="N50" s="2922" t="str">
        <f t="shared" si="6"/>
        <v>-</v>
      </c>
      <c r="O50" s="2919"/>
      <c r="P50" s="2919">
        <f t="shared" si="11"/>
        <v>60279.999999999993</v>
      </c>
      <c r="Q50" s="2919">
        <f>D50*G50</f>
        <v>51200</v>
      </c>
      <c r="R50" s="2919">
        <f>D50*H50</f>
        <v>51200</v>
      </c>
      <c r="S50" s="2923">
        <f t="shared" si="10"/>
        <v>67876</v>
      </c>
    </row>
    <row r="51" spans="1:25" ht="15.75" customHeight="1">
      <c r="A51" s="2914" t="s">
        <v>49</v>
      </c>
      <c r="B51" s="2915" t="s">
        <v>1190</v>
      </c>
      <c r="C51" s="2916"/>
      <c r="D51" s="2961">
        <v>125</v>
      </c>
      <c r="E51" s="2962">
        <v>2420</v>
      </c>
      <c r="F51" s="2962">
        <v>4446.0200000000004</v>
      </c>
      <c r="G51" s="2919">
        <v>0</v>
      </c>
      <c r="H51" s="2919">
        <v>0</v>
      </c>
      <c r="I51" s="2926"/>
      <c r="J51" s="2926"/>
      <c r="K51" s="2926"/>
      <c r="L51" s="2926">
        <f t="shared" si="8"/>
        <v>0</v>
      </c>
      <c r="M51" s="2926">
        <f t="shared" si="9"/>
        <v>0</v>
      </c>
      <c r="N51" s="2922" t="str">
        <f t="shared" si="6"/>
        <v>-</v>
      </c>
      <c r="O51" s="2919"/>
      <c r="P51" s="2919">
        <f t="shared" si="11"/>
        <v>555752.5</v>
      </c>
      <c r="Q51" s="2919">
        <f>D51*G51</f>
        <v>0</v>
      </c>
      <c r="R51" s="2919">
        <f>D51*H51</f>
        <v>0</v>
      </c>
      <c r="S51" s="2923">
        <f t="shared" si="10"/>
        <v>0</v>
      </c>
    </row>
    <row r="52" spans="1:25" ht="18" customHeight="1">
      <c r="A52" s="2967">
        <v>32.03</v>
      </c>
      <c r="B52" s="2968" t="s">
        <v>1191</v>
      </c>
      <c r="C52" s="2916" t="s">
        <v>1187</v>
      </c>
      <c r="D52" s="2917"/>
      <c r="E52" s="2918"/>
      <c r="F52" s="2918"/>
      <c r="G52" s="2919"/>
      <c r="H52" s="2919"/>
      <c r="I52" s="2926"/>
      <c r="J52" s="2926"/>
      <c r="K52" s="2926"/>
      <c r="L52" s="2926">
        <f t="shared" si="8"/>
        <v>0</v>
      </c>
      <c r="M52" s="2926">
        <f t="shared" si="9"/>
        <v>0</v>
      </c>
      <c r="N52" s="2922" t="str">
        <f t="shared" si="6"/>
        <v>-</v>
      </c>
      <c r="O52" s="2919"/>
      <c r="P52" s="2919">
        <f t="shared" si="11"/>
        <v>0</v>
      </c>
      <c r="Q52" s="2919"/>
      <c r="R52" s="2919"/>
      <c r="S52" s="2923">
        <f t="shared" si="10"/>
        <v>0</v>
      </c>
    </row>
    <row r="53" spans="1:25" ht="18.75" customHeight="1">
      <c r="A53" s="2927" t="s">
        <v>1192</v>
      </c>
      <c r="B53" s="2928" t="s">
        <v>1193</v>
      </c>
      <c r="C53" s="2916" t="s">
        <v>99</v>
      </c>
      <c r="D53" s="2961">
        <v>5000</v>
      </c>
      <c r="E53" s="2962">
        <v>0</v>
      </c>
      <c r="F53" s="2962"/>
      <c r="G53" s="2919"/>
      <c r="H53" s="2919"/>
      <c r="I53" s="2926"/>
      <c r="J53" s="2926"/>
      <c r="K53" s="2926"/>
      <c r="L53" s="2926">
        <f t="shared" si="8"/>
        <v>0</v>
      </c>
      <c r="M53" s="2926">
        <f t="shared" si="9"/>
        <v>0</v>
      </c>
      <c r="N53" s="2922" t="str">
        <f t="shared" si="6"/>
        <v>-</v>
      </c>
      <c r="O53" s="2919"/>
      <c r="P53" s="2919">
        <f t="shared" si="11"/>
        <v>0</v>
      </c>
      <c r="Q53" s="2919">
        <f t="shared" ref="Q53:Q77" si="14">D53*G53</f>
        <v>0</v>
      </c>
      <c r="R53" s="2919">
        <f t="shared" ref="R53:R77" si="15">D53*H53</f>
        <v>0</v>
      </c>
      <c r="S53" s="2923">
        <f t="shared" si="10"/>
        <v>0</v>
      </c>
    </row>
    <row r="54" spans="1:25" ht="18.75" customHeight="1">
      <c r="A54" s="2927" t="s">
        <v>1194</v>
      </c>
      <c r="B54" s="2928" t="s">
        <v>1195</v>
      </c>
      <c r="C54" s="2916" t="s">
        <v>99</v>
      </c>
      <c r="D54" s="2961">
        <v>4800</v>
      </c>
      <c r="E54" s="2962">
        <v>320</v>
      </c>
      <c r="F54" s="2962">
        <v>324</v>
      </c>
      <c r="G54" s="2969">
        <v>300</v>
      </c>
      <c r="H54" s="2919">
        <v>300</v>
      </c>
      <c r="I54" s="2926">
        <v>169</v>
      </c>
      <c r="J54" s="2926"/>
      <c r="K54" s="2926"/>
      <c r="L54" s="2926">
        <f t="shared" si="8"/>
        <v>0</v>
      </c>
      <c r="M54" s="2926">
        <f t="shared" si="9"/>
        <v>0</v>
      </c>
      <c r="N54" s="2922" t="str">
        <f t="shared" si="6"/>
        <v>-</v>
      </c>
      <c r="O54" s="2919"/>
      <c r="P54" s="2919">
        <f t="shared" si="11"/>
        <v>1555200</v>
      </c>
      <c r="Q54" s="2919">
        <f t="shared" si="14"/>
        <v>1440000</v>
      </c>
      <c r="R54" s="2919">
        <f t="shared" si="15"/>
        <v>1440000</v>
      </c>
      <c r="S54" s="2923">
        <f t="shared" si="10"/>
        <v>811200</v>
      </c>
    </row>
    <row r="55" spans="1:25" ht="18.75" customHeight="1">
      <c r="A55" s="2927" t="s">
        <v>1196</v>
      </c>
      <c r="B55" s="2928" t="s">
        <v>1197</v>
      </c>
      <c r="C55" s="2916" t="s">
        <v>99</v>
      </c>
      <c r="D55" s="2961">
        <v>4500</v>
      </c>
      <c r="E55" s="2962"/>
      <c r="F55" s="2962"/>
      <c r="G55" s="2969"/>
      <c r="H55" s="2919"/>
      <c r="I55" s="2926"/>
      <c r="J55" s="2926"/>
      <c r="K55" s="2926"/>
      <c r="L55" s="2926">
        <f t="shared" si="8"/>
        <v>0</v>
      </c>
      <c r="M55" s="2926">
        <f t="shared" si="9"/>
        <v>0</v>
      </c>
      <c r="N55" s="2922" t="str">
        <f t="shared" si="6"/>
        <v>-</v>
      </c>
      <c r="O55" s="2919"/>
      <c r="P55" s="2919">
        <f t="shared" si="11"/>
        <v>0</v>
      </c>
      <c r="Q55" s="2919">
        <f t="shared" si="14"/>
        <v>0</v>
      </c>
      <c r="R55" s="2919">
        <f t="shared" si="15"/>
        <v>0</v>
      </c>
      <c r="S55" s="2923">
        <f t="shared" si="10"/>
        <v>0</v>
      </c>
    </row>
    <row r="56" spans="1:25" ht="18" customHeight="1">
      <c r="A56" s="2927" t="s">
        <v>1198</v>
      </c>
      <c r="B56" s="2928" t="s">
        <v>1199</v>
      </c>
      <c r="C56" s="2916" t="s">
        <v>99</v>
      </c>
      <c r="D56" s="2961">
        <v>5500</v>
      </c>
      <c r="E56" s="2962">
        <v>0</v>
      </c>
      <c r="F56" s="2962"/>
      <c r="G56" s="2969"/>
      <c r="H56" s="2919"/>
      <c r="I56" s="2926"/>
      <c r="J56" s="2926"/>
      <c r="K56" s="2926"/>
      <c r="L56" s="2926">
        <f t="shared" si="8"/>
        <v>0</v>
      </c>
      <c r="M56" s="2926">
        <f t="shared" si="9"/>
        <v>0</v>
      </c>
      <c r="N56" s="2922" t="str">
        <f t="shared" si="6"/>
        <v>-</v>
      </c>
      <c r="O56" s="2919"/>
      <c r="P56" s="2919">
        <f t="shared" si="11"/>
        <v>0</v>
      </c>
      <c r="Q56" s="2919">
        <f t="shared" si="14"/>
        <v>0</v>
      </c>
      <c r="R56" s="2919">
        <f t="shared" si="15"/>
        <v>0</v>
      </c>
      <c r="S56" s="2923">
        <f t="shared" si="10"/>
        <v>0</v>
      </c>
    </row>
    <row r="57" spans="1:25" ht="18" customHeight="1">
      <c r="A57" s="2927" t="s">
        <v>1200</v>
      </c>
      <c r="B57" s="2928" t="s">
        <v>1199</v>
      </c>
      <c r="C57" s="2916" t="s">
        <v>99</v>
      </c>
      <c r="D57" s="2961">
        <v>5400</v>
      </c>
      <c r="E57" s="2962">
        <v>160</v>
      </c>
      <c r="F57" s="2962">
        <v>34</v>
      </c>
      <c r="G57" s="2969">
        <v>24</v>
      </c>
      <c r="H57" s="2919">
        <v>24</v>
      </c>
      <c r="I57" s="2926">
        <v>24</v>
      </c>
      <c r="J57" s="2926"/>
      <c r="K57" s="2926"/>
      <c r="L57" s="2926">
        <f t="shared" si="8"/>
        <v>0</v>
      </c>
      <c r="M57" s="2926">
        <f t="shared" si="9"/>
        <v>0</v>
      </c>
      <c r="N57" s="2922" t="str">
        <f t="shared" si="6"/>
        <v>-</v>
      </c>
      <c r="O57" s="2919"/>
      <c r="P57" s="2919">
        <f t="shared" si="11"/>
        <v>183600</v>
      </c>
      <c r="Q57" s="2919">
        <f t="shared" si="14"/>
        <v>129600</v>
      </c>
      <c r="R57" s="2919">
        <f t="shared" si="15"/>
        <v>129600</v>
      </c>
      <c r="S57" s="2923">
        <f t="shared" si="10"/>
        <v>129600</v>
      </c>
    </row>
    <row r="58" spans="1:25" ht="18" customHeight="1">
      <c r="A58" s="2927" t="s">
        <v>1201</v>
      </c>
      <c r="B58" s="2928" t="s">
        <v>1199</v>
      </c>
      <c r="C58" s="2916" t="s">
        <v>99</v>
      </c>
      <c r="D58" s="2961">
        <v>5000</v>
      </c>
      <c r="E58" s="2962">
        <v>0</v>
      </c>
      <c r="F58" s="2962"/>
      <c r="G58" s="2969"/>
      <c r="H58" s="2919"/>
      <c r="I58" s="2926"/>
      <c r="J58" s="2926"/>
      <c r="K58" s="2926"/>
      <c r="L58" s="2926">
        <f t="shared" si="8"/>
        <v>0</v>
      </c>
      <c r="M58" s="2926">
        <f t="shared" si="9"/>
        <v>0</v>
      </c>
      <c r="N58" s="2922" t="str">
        <f t="shared" si="6"/>
        <v>-</v>
      </c>
      <c r="O58" s="2919"/>
      <c r="P58" s="2919">
        <f t="shared" si="11"/>
        <v>0</v>
      </c>
      <c r="Q58" s="2919">
        <f t="shared" si="14"/>
        <v>0</v>
      </c>
      <c r="R58" s="2919">
        <f t="shared" si="15"/>
        <v>0</v>
      </c>
      <c r="S58" s="2923">
        <f t="shared" si="10"/>
        <v>0</v>
      </c>
    </row>
    <row r="59" spans="1:25" ht="15" customHeight="1">
      <c r="A59" s="2927" t="s">
        <v>1202</v>
      </c>
      <c r="B59" s="2928" t="s">
        <v>1203</v>
      </c>
      <c r="C59" s="2916" t="s">
        <v>99</v>
      </c>
      <c r="D59" s="2961">
        <v>6000</v>
      </c>
      <c r="E59" s="2962">
        <v>240</v>
      </c>
      <c r="F59" s="2962">
        <v>249</v>
      </c>
      <c r="G59" s="2969">
        <v>182</v>
      </c>
      <c r="H59" s="2919">
        <v>182</v>
      </c>
      <c r="I59" s="2926">
        <v>122</v>
      </c>
      <c r="J59" s="2926"/>
      <c r="K59" s="2926"/>
      <c r="L59" s="2926">
        <f t="shared" si="8"/>
        <v>0</v>
      </c>
      <c r="M59" s="2926">
        <f t="shared" si="9"/>
        <v>0</v>
      </c>
      <c r="N59" s="2922" t="str">
        <f t="shared" si="6"/>
        <v>-</v>
      </c>
      <c r="O59" s="2919"/>
      <c r="P59" s="2919">
        <f t="shared" si="11"/>
        <v>1494000</v>
      </c>
      <c r="Q59" s="2919">
        <f t="shared" si="14"/>
        <v>1092000</v>
      </c>
      <c r="R59" s="2919">
        <f t="shared" si="15"/>
        <v>1092000</v>
      </c>
      <c r="S59" s="2923">
        <f t="shared" si="10"/>
        <v>732000</v>
      </c>
    </row>
    <row r="60" spans="1:25" ht="24">
      <c r="A60" s="2970" t="s">
        <v>1204</v>
      </c>
      <c r="B60" s="2971" t="s">
        <v>1205</v>
      </c>
      <c r="C60" s="2972"/>
      <c r="D60" s="2973"/>
      <c r="E60" s="2918"/>
      <c r="F60" s="2918"/>
      <c r="G60" s="2919"/>
      <c r="H60" s="2919"/>
      <c r="I60" s="2926"/>
      <c r="J60" s="2926"/>
      <c r="K60" s="2926"/>
      <c r="L60" s="2948">
        <f t="shared" si="8"/>
        <v>0</v>
      </c>
      <c r="M60" s="2948">
        <f t="shared" si="9"/>
        <v>0</v>
      </c>
      <c r="N60" s="2922" t="str">
        <f t="shared" si="6"/>
        <v>-</v>
      </c>
      <c r="O60" s="2919"/>
      <c r="P60" s="2919">
        <f t="shared" si="11"/>
        <v>0</v>
      </c>
      <c r="Q60" s="2919">
        <f t="shared" si="14"/>
        <v>0</v>
      </c>
      <c r="R60" s="2919">
        <f t="shared" si="15"/>
        <v>0</v>
      </c>
      <c r="S60" s="2923">
        <f t="shared" si="10"/>
        <v>0</v>
      </c>
      <c r="U60" s="2951">
        <v>4241.83</v>
      </c>
      <c r="V60" s="2951">
        <v>2180.7399999999998</v>
      </c>
    </row>
    <row r="61" spans="1:25" ht="36">
      <c r="A61" s="2974" t="s">
        <v>1206</v>
      </c>
      <c r="B61" s="2975" t="s">
        <v>1207</v>
      </c>
      <c r="C61" s="2976" t="s">
        <v>1166</v>
      </c>
      <c r="D61" s="2977">
        <v>4900</v>
      </c>
      <c r="E61" s="2978">
        <v>60</v>
      </c>
      <c r="F61" s="2978">
        <v>58.08</v>
      </c>
      <c r="G61" s="2979">
        <v>441.33</v>
      </c>
      <c r="H61" s="2979">
        <v>441.33</v>
      </c>
      <c r="I61" s="2980">
        <v>347.57</v>
      </c>
      <c r="J61" s="2980"/>
      <c r="K61" s="2980"/>
      <c r="L61" s="2980">
        <f t="shared" si="8"/>
        <v>0</v>
      </c>
      <c r="M61" s="2980">
        <f t="shared" si="9"/>
        <v>0</v>
      </c>
      <c r="N61" s="2980" t="str">
        <f t="shared" si="6"/>
        <v>-</v>
      </c>
      <c r="O61" s="2979">
        <f>'[12] Action Plan 2'!E56</f>
        <v>449722</v>
      </c>
      <c r="P61" s="2979">
        <f t="shared" si="11"/>
        <v>284592</v>
      </c>
      <c r="Q61" s="2979">
        <f t="shared" si="14"/>
        <v>2162517</v>
      </c>
      <c r="R61" s="2979">
        <f t="shared" si="15"/>
        <v>2162517</v>
      </c>
      <c r="S61" s="2981">
        <f t="shared" si="10"/>
        <v>1703093</v>
      </c>
      <c r="T61" s="2950">
        <v>423.89000000000004</v>
      </c>
      <c r="U61" s="2951">
        <v>2355.9699999999998</v>
      </c>
      <c r="V61" s="2951">
        <v>6651.7</v>
      </c>
    </row>
    <row r="62" spans="1:25" s="2990" customFormat="1" ht="21" customHeight="1">
      <c r="A62" s="2982" t="s">
        <v>1208</v>
      </c>
      <c r="B62" s="2983" t="s">
        <v>1209</v>
      </c>
      <c r="C62" s="2984" t="s">
        <v>1166</v>
      </c>
      <c r="D62" s="2985">
        <v>4700</v>
      </c>
      <c r="E62" s="2986">
        <v>245</v>
      </c>
      <c r="F62" s="2986">
        <v>574.08000000000004</v>
      </c>
      <c r="G62" s="2987">
        <v>145</v>
      </c>
      <c r="H62" s="2987">
        <v>145</v>
      </c>
      <c r="I62" s="2988">
        <v>32.764339999999997</v>
      </c>
      <c r="J62" s="2988"/>
      <c r="K62" s="2988"/>
      <c r="L62" s="2948">
        <f t="shared" si="8"/>
        <v>0</v>
      </c>
      <c r="M62" s="2948">
        <f t="shared" si="9"/>
        <v>0</v>
      </c>
      <c r="N62" s="2922" t="str">
        <f t="shared" si="6"/>
        <v>-</v>
      </c>
      <c r="O62" s="2958"/>
      <c r="P62" s="2958">
        <f t="shared" si="11"/>
        <v>2698176</v>
      </c>
      <c r="Q62" s="2958">
        <f t="shared" si="14"/>
        <v>681500</v>
      </c>
      <c r="R62" s="2958">
        <f t="shared" si="15"/>
        <v>681500</v>
      </c>
      <c r="S62" s="2960">
        <f t="shared" si="10"/>
        <v>153992.39799999999</v>
      </c>
      <c r="T62" s="2989"/>
      <c r="U62" s="2990">
        <v>6357.08</v>
      </c>
      <c r="Y62" s="2989"/>
    </row>
    <row r="63" spans="1:25" ht="18.75" customHeight="1">
      <c r="A63" s="2967">
        <v>32.1</v>
      </c>
      <c r="B63" s="2968" t="s">
        <v>1210</v>
      </c>
      <c r="C63" s="2916" t="s">
        <v>1187</v>
      </c>
      <c r="D63" s="2961"/>
      <c r="E63" s="2962"/>
      <c r="F63" s="2962"/>
      <c r="G63" s="2919"/>
      <c r="H63" s="2919"/>
      <c r="I63" s="2926"/>
      <c r="J63" s="2926"/>
      <c r="K63" s="2926"/>
      <c r="L63" s="2948">
        <f t="shared" si="8"/>
        <v>0</v>
      </c>
      <c r="M63" s="2948">
        <f t="shared" si="9"/>
        <v>0</v>
      </c>
      <c r="N63" s="2922" t="str">
        <f t="shared" si="6"/>
        <v>-</v>
      </c>
      <c r="O63" s="2919"/>
      <c r="P63" s="2919">
        <f t="shared" si="11"/>
        <v>0</v>
      </c>
      <c r="Q63" s="2919">
        <f t="shared" si="14"/>
        <v>0</v>
      </c>
      <c r="R63" s="2919">
        <f t="shared" si="15"/>
        <v>0</v>
      </c>
      <c r="S63" s="2923">
        <f t="shared" si="10"/>
        <v>0</v>
      </c>
      <c r="U63" s="2951">
        <v>2551.35</v>
      </c>
    </row>
    <row r="64" spans="1:25" ht="19.5" customHeight="1">
      <c r="A64" s="2927" t="s">
        <v>69</v>
      </c>
      <c r="B64" s="2928" t="s">
        <v>1211</v>
      </c>
      <c r="C64" s="2916" t="s">
        <v>1212</v>
      </c>
      <c r="D64" s="2961">
        <v>49000</v>
      </c>
      <c r="E64" s="2962">
        <v>9.8000000000000007</v>
      </c>
      <c r="F64" s="2962">
        <v>22.58</v>
      </c>
      <c r="G64" s="2919">
        <v>45.9</v>
      </c>
      <c r="H64" s="2991">
        <v>45.9</v>
      </c>
      <c r="I64" s="2926">
        <f>37031.03/1000</f>
        <v>37.031030000000001</v>
      </c>
      <c r="J64" s="2926"/>
      <c r="K64" s="2926"/>
      <c r="L64" s="2948">
        <f t="shared" si="8"/>
        <v>0</v>
      </c>
      <c r="M64" s="2948">
        <f t="shared" si="9"/>
        <v>0</v>
      </c>
      <c r="N64" s="2922" t="str">
        <f t="shared" si="6"/>
        <v>-</v>
      </c>
      <c r="O64" s="2919">
        <f>'[12] Action Plan 2'!E62</f>
        <v>462070</v>
      </c>
      <c r="P64" s="2919">
        <f t="shared" si="11"/>
        <v>1106420</v>
      </c>
      <c r="Q64" s="2919">
        <f t="shared" si="14"/>
        <v>2249100</v>
      </c>
      <c r="R64" s="2919">
        <f t="shared" si="15"/>
        <v>2249100</v>
      </c>
      <c r="S64" s="2923">
        <f t="shared" si="10"/>
        <v>1814520.47</v>
      </c>
      <c r="T64" s="2950">
        <v>347.57</v>
      </c>
      <c r="U64" s="2951">
        <v>3403.58</v>
      </c>
    </row>
    <row r="65" spans="1:25" ht="19.5" customHeight="1">
      <c r="A65" s="2927" t="s">
        <v>69</v>
      </c>
      <c r="B65" s="2928" t="s">
        <v>1213</v>
      </c>
      <c r="C65" s="2916" t="s">
        <v>1212</v>
      </c>
      <c r="D65" s="2961">
        <v>49000</v>
      </c>
      <c r="E65" s="2962">
        <v>1.2</v>
      </c>
      <c r="F65" s="2962"/>
      <c r="G65" s="2919">
        <v>0</v>
      </c>
      <c r="H65" s="2919">
        <v>0</v>
      </c>
      <c r="I65" s="2926"/>
      <c r="J65" s="2926"/>
      <c r="K65" s="2926"/>
      <c r="L65" s="2948">
        <f t="shared" si="8"/>
        <v>0</v>
      </c>
      <c r="M65" s="2948">
        <f t="shared" si="9"/>
        <v>0</v>
      </c>
      <c r="N65" s="2922" t="str">
        <f t="shared" si="6"/>
        <v>-</v>
      </c>
      <c r="O65" s="2919"/>
      <c r="P65" s="2919">
        <f t="shared" si="11"/>
        <v>0</v>
      </c>
      <c r="Q65" s="2919">
        <f t="shared" si="14"/>
        <v>0</v>
      </c>
      <c r="R65" s="2919">
        <f t="shared" si="15"/>
        <v>0</v>
      </c>
      <c r="S65" s="2923">
        <f t="shared" si="10"/>
        <v>0</v>
      </c>
      <c r="T65" s="2950">
        <v>32.764339999999997</v>
      </c>
      <c r="U65" s="2951">
        <v>5942</v>
      </c>
    </row>
    <row r="66" spans="1:25" ht="36">
      <c r="A66" s="2992" t="s">
        <v>1214</v>
      </c>
      <c r="B66" s="2993" t="s">
        <v>1215</v>
      </c>
      <c r="C66" s="2994" t="s">
        <v>99</v>
      </c>
      <c r="D66" s="2995">
        <v>600</v>
      </c>
      <c r="E66" s="2962">
        <v>680</v>
      </c>
      <c r="F66" s="2962"/>
      <c r="G66" s="2919">
        <v>0</v>
      </c>
      <c r="H66" s="2919">
        <v>0</v>
      </c>
      <c r="I66" s="2926"/>
      <c r="J66" s="2926"/>
      <c r="K66" s="2926"/>
      <c r="L66" s="2948">
        <f t="shared" si="8"/>
        <v>0</v>
      </c>
      <c r="M66" s="2948">
        <f t="shared" si="9"/>
        <v>0</v>
      </c>
      <c r="N66" s="2922" t="str">
        <f t="shared" si="6"/>
        <v>-</v>
      </c>
      <c r="O66" s="2919"/>
      <c r="P66" s="2919">
        <f t="shared" si="11"/>
        <v>0</v>
      </c>
      <c r="Q66" s="2919">
        <f t="shared" si="14"/>
        <v>0</v>
      </c>
      <c r="R66" s="2919">
        <f t="shared" si="15"/>
        <v>0</v>
      </c>
      <c r="S66" s="2923">
        <f t="shared" si="10"/>
        <v>0</v>
      </c>
      <c r="U66" s="2951">
        <v>1087.2</v>
      </c>
    </row>
    <row r="67" spans="1:25" ht="13.5" customHeight="1">
      <c r="A67" s="2992">
        <v>34</v>
      </c>
      <c r="B67" s="2993" t="s">
        <v>1216</v>
      </c>
      <c r="C67" s="2994"/>
      <c r="D67" s="2995"/>
      <c r="E67" s="2962"/>
      <c r="F67" s="2962"/>
      <c r="G67" s="2919"/>
      <c r="H67" s="2919"/>
      <c r="I67" s="2926"/>
      <c r="J67" s="2926"/>
      <c r="K67" s="2926"/>
      <c r="L67" s="2948">
        <f t="shared" si="8"/>
        <v>0</v>
      </c>
      <c r="M67" s="2948">
        <f t="shared" si="9"/>
        <v>0</v>
      </c>
      <c r="N67" s="2922" t="str">
        <f t="shared" si="6"/>
        <v>-</v>
      </c>
      <c r="O67" s="2919"/>
      <c r="P67" s="2919">
        <f t="shared" si="11"/>
        <v>0</v>
      </c>
      <c r="Q67" s="2919">
        <f t="shared" si="14"/>
        <v>0</v>
      </c>
      <c r="R67" s="2919">
        <f t="shared" si="15"/>
        <v>0</v>
      </c>
      <c r="S67" s="2923">
        <f t="shared" si="10"/>
        <v>0</v>
      </c>
      <c r="U67" s="2951">
        <v>6778.72</v>
      </c>
    </row>
    <row r="68" spans="1:25" ht="15.75" customHeight="1">
      <c r="A68" s="2992">
        <v>34.01</v>
      </c>
      <c r="B68" s="2993" t="s">
        <v>1217</v>
      </c>
      <c r="C68" s="2994"/>
      <c r="D68" s="2996"/>
      <c r="E68" s="2918"/>
      <c r="F68" s="2918"/>
      <c r="G68" s="2919"/>
      <c r="H68" s="2919"/>
      <c r="I68" s="2926"/>
      <c r="J68" s="2926"/>
      <c r="K68" s="2926"/>
      <c r="L68" s="2948">
        <f t="shared" si="8"/>
        <v>0</v>
      </c>
      <c r="M68" s="2948">
        <f t="shared" si="9"/>
        <v>0</v>
      </c>
      <c r="N68" s="2922" t="str">
        <f t="shared" si="6"/>
        <v>-</v>
      </c>
      <c r="O68" s="2919"/>
      <c r="P68" s="2919">
        <f t="shared" si="11"/>
        <v>0</v>
      </c>
      <c r="Q68" s="2919">
        <f t="shared" si="14"/>
        <v>0</v>
      </c>
      <c r="R68" s="2919">
        <f t="shared" si="15"/>
        <v>0</v>
      </c>
      <c r="S68" s="2923">
        <f t="shared" si="10"/>
        <v>0</v>
      </c>
      <c r="U68" s="2951">
        <v>4313.3</v>
      </c>
    </row>
    <row r="69" spans="1:25" ht="17.25" customHeight="1">
      <c r="A69" s="2927" t="s">
        <v>80</v>
      </c>
      <c r="B69" s="2928" t="s">
        <v>1218</v>
      </c>
      <c r="C69" s="2916" t="s">
        <v>1128</v>
      </c>
      <c r="D69" s="2917">
        <v>300</v>
      </c>
      <c r="E69" s="2918">
        <v>982</v>
      </c>
      <c r="F69" s="2918">
        <v>1787</v>
      </c>
      <c r="G69" s="2919">
        <v>1601.34</v>
      </c>
      <c r="H69" s="2919">
        <v>1601.34</v>
      </c>
      <c r="I69" s="2926">
        <v>1214.1590000000001</v>
      </c>
      <c r="J69" s="2926"/>
      <c r="K69" s="2926"/>
      <c r="L69" s="2926">
        <f t="shared" si="8"/>
        <v>0</v>
      </c>
      <c r="M69" s="2926">
        <f t="shared" si="9"/>
        <v>0</v>
      </c>
      <c r="N69" s="2922" t="str">
        <f t="shared" si="6"/>
        <v>-</v>
      </c>
      <c r="O69" s="2919">
        <f>'[12] Action Plan 2'!E51</f>
        <v>1860480</v>
      </c>
      <c r="P69" s="2919">
        <f t="shared" si="11"/>
        <v>536100</v>
      </c>
      <c r="Q69" s="2919">
        <f t="shared" si="14"/>
        <v>480402</v>
      </c>
      <c r="R69" s="2919">
        <f t="shared" si="15"/>
        <v>480402</v>
      </c>
      <c r="S69" s="2923">
        <f t="shared" si="10"/>
        <v>364247.7</v>
      </c>
      <c r="T69" s="2997">
        <f>1.8/2.5*73142.64</f>
        <v>52662.700799999999</v>
      </c>
      <c r="U69" s="2951">
        <f>SUM(U60:U68)</f>
        <v>37031.03</v>
      </c>
    </row>
    <row r="70" spans="1:25" ht="17.25" customHeight="1">
      <c r="A70" s="2927" t="s">
        <v>1219</v>
      </c>
      <c r="B70" s="2928" t="s">
        <v>1220</v>
      </c>
      <c r="C70" s="2916" t="s">
        <v>1128</v>
      </c>
      <c r="D70" s="2917">
        <v>300</v>
      </c>
      <c r="E70" s="2918">
        <v>8125</v>
      </c>
      <c r="F70" s="2918">
        <v>16512</v>
      </c>
      <c r="G70" s="2919">
        <v>73142.64</v>
      </c>
      <c r="H70" s="2966">
        <v>73142.64</v>
      </c>
      <c r="I70" s="2926">
        <v>73142.64</v>
      </c>
      <c r="J70" s="2926"/>
      <c r="K70" s="2926">
        <v>941.46</v>
      </c>
      <c r="L70" s="2948">
        <f t="shared" si="8"/>
        <v>0</v>
      </c>
      <c r="M70" s="2948">
        <f t="shared" si="9"/>
        <v>282438</v>
      </c>
      <c r="N70" s="2922" t="str">
        <f t="shared" si="6"/>
        <v>-</v>
      </c>
      <c r="O70" s="2919"/>
      <c r="P70" s="2919">
        <f t="shared" si="11"/>
        <v>4953600</v>
      </c>
      <c r="Q70" s="2919">
        <f t="shared" si="14"/>
        <v>21942792</v>
      </c>
      <c r="R70" s="2919">
        <f t="shared" si="15"/>
        <v>21942792</v>
      </c>
      <c r="S70" s="2923">
        <f t="shared" si="10"/>
        <v>21942792</v>
      </c>
    </row>
    <row r="71" spans="1:25" ht="17.25" customHeight="1">
      <c r="A71" s="2927" t="s">
        <v>1221</v>
      </c>
      <c r="B71" s="2928" t="s">
        <v>1222</v>
      </c>
      <c r="C71" s="2916" t="s">
        <v>1223</v>
      </c>
      <c r="D71" s="2917">
        <v>300</v>
      </c>
      <c r="E71" s="2918">
        <v>650</v>
      </c>
      <c r="F71" s="2918"/>
      <c r="G71" s="2919">
        <v>0</v>
      </c>
      <c r="H71" s="2919">
        <v>0</v>
      </c>
      <c r="I71" s="2926"/>
      <c r="J71" s="2926"/>
      <c r="K71" s="2926"/>
      <c r="L71" s="2948">
        <f t="shared" si="8"/>
        <v>0</v>
      </c>
      <c r="M71" s="2948">
        <f t="shared" si="9"/>
        <v>0</v>
      </c>
      <c r="N71" s="2922" t="str">
        <f t="shared" si="6"/>
        <v>-</v>
      </c>
      <c r="O71" s="2919"/>
      <c r="P71" s="2919">
        <f t="shared" si="11"/>
        <v>0</v>
      </c>
      <c r="Q71" s="2919">
        <f t="shared" si="14"/>
        <v>0</v>
      </c>
      <c r="R71" s="2919">
        <f t="shared" si="15"/>
        <v>0</v>
      </c>
      <c r="S71" s="2923">
        <f t="shared" si="10"/>
        <v>0</v>
      </c>
    </row>
    <row r="72" spans="1:25" ht="17.25" customHeight="1">
      <c r="A72" s="2927" t="s">
        <v>1224</v>
      </c>
      <c r="B72" s="2928" t="s">
        <v>1225</v>
      </c>
      <c r="C72" s="2916" t="s">
        <v>1223</v>
      </c>
      <c r="D72" s="2917">
        <v>300</v>
      </c>
      <c r="E72" s="2918">
        <v>0</v>
      </c>
      <c r="F72" s="2918"/>
      <c r="G72" s="2919">
        <v>0</v>
      </c>
      <c r="H72" s="2919">
        <v>0</v>
      </c>
      <c r="I72" s="2926"/>
      <c r="J72" s="2926"/>
      <c r="K72" s="2926"/>
      <c r="L72" s="2948">
        <f t="shared" si="8"/>
        <v>0</v>
      </c>
      <c r="M72" s="2948">
        <f t="shared" si="9"/>
        <v>0</v>
      </c>
      <c r="N72" s="2922" t="str">
        <f t="shared" ref="N72:N77" si="16">IF(L72&gt;0,1-((L72-M72)/L72),"-")</f>
        <v>-</v>
      </c>
      <c r="O72" s="2919"/>
      <c r="P72" s="2919">
        <f t="shared" si="11"/>
        <v>0</v>
      </c>
      <c r="Q72" s="2919">
        <f t="shared" si="14"/>
        <v>0</v>
      </c>
      <c r="R72" s="2919">
        <f t="shared" si="15"/>
        <v>0</v>
      </c>
      <c r="S72" s="2923">
        <f t="shared" si="10"/>
        <v>0</v>
      </c>
    </row>
    <row r="73" spans="1:25" ht="16.5" customHeight="1">
      <c r="A73" s="2914">
        <v>34.020000000000003</v>
      </c>
      <c r="B73" s="2998" t="s">
        <v>1226</v>
      </c>
      <c r="C73" s="2916" t="s">
        <v>1166</v>
      </c>
      <c r="D73" s="2917">
        <v>200</v>
      </c>
      <c r="E73" s="2918">
        <v>86</v>
      </c>
      <c r="F73" s="2918"/>
      <c r="G73" s="2919">
        <v>0</v>
      </c>
      <c r="H73" s="2919">
        <v>0</v>
      </c>
      <c r="I73" s="2926"/>
      <c r="J73" s="2926"/>
      <c r="K73" s="2926"/>
      <c r="L73" s="2948">
        <f t="shared" si="8"/>
        <v>0</v>
      </c>
      <c r="M73" s="2948">
        <f t="shared" si="9"/>
        <v>0</v>
      </c>
      <c r="N73" s="2922" t="str">
        <f t="shared" si="16"/>
        <v>-</v>
      </c>
      <c r="O73" s="2919"/>
      <c r="P73" s="2919">
        <f t="shared" si="11"/>
        <v>0</v>
      </c>
      <c r="Q73" s="2919">
        <f t="shared" si="14"/>
        <v>0</v>
      </c>
      <c r="R73" s="2919">
        <f t="shared" si="15"/>
        <v>0</v>
      </c>
      <c r="S73" s="2923">
        <f t="shared" si="10"/>
        <v>0</v>
      </c>
      <c r="U73" s="2951">
        <f>16269.3*88</f>
        <v>1431698.4</v>
      </c>
    </row>
    <row r="74" spans="1:25" ht="19.5" customHeight="1">
      <c r="A74" s="2967">
        <v>34.03</v>
      </c>
      <c r="B74" s="2999" t="s">
        <v>1227</v>
      </c>
      <c r="C74" s="2916"/>
      <c r="D74" s="2917"/>
      <c r="E74" s="2918"/>
      <c r="F74" s="2918"/>
      <c r="G74" s="2919"/>
      <c r="H74" s="2919"/>
      <c r="I74" s="2926"/>
      <c r="J74" s="2926"/>
      <c r="K74" s="2926"/>
      <c r="L74" s="2948">
        <f t="shared" si="8"/>
        <v>0</v>
      </c>
      <c r="M74" s="2948">
        <f t="shared" si="9"/>
        <v>0</v>
      </c>
      <c r="N74" s="2922" t="str">
        <f t="shared" si="16"/>
        <v>-</v>
      </c>
      <c r="O74" s="2919"/>
      <c r="P74" s="2919">
        <f t="shared" si="11"/>
        <v>0</v>
      </c>
      <c r="Q74" s="2919">
        <f t="shared" si="14"/>
        <v>0</v>
      </c>
      <c r="R74" s="2919">
        <f t="shared" si="15"/>
        <v>0</v>
      </c>
      <c r="S74" s="2923">
        <f t="shared" si="10"/>
        <v>0</v>
      </c>
      <c r="U74" s="2951">
        <f>25*1200*88</f>
        <v>2640000</v>
      </c>
    </row>
    <row r="75" spans="1:25" ht="19.5" customHeight="1">
      <c r="A75" s="2914" t="s">
        <v>1228</v>
      </c>
      <c r="B75" s="3000" t="s">
        <v>1229</v>
      </c>
      <c r="C75" s="2916" t="s">
        <v>1230</v>
      </c>
      <c r="D75" s="2917">
        <v>1800</v>
      </c>
      <c r="E75" s="2918">
        <v>0</v>
      </c>
      <c r="F75" s="2918">
        <v>8972.8799999999992</v>
      </c>
      <c r="G75" s="3001">
        <v>4146.3900000000003</v>
      </c>
      <c r="H75" s="3001">
        <v>4146.3900000000003</v>
      </c>
      <c r="I75" s="3002">
        <v>2152.17</v>
      </c>
      <c r="J75" s="3002"/>
      <c r="K75" s="2926"/>
      <c r="L75" s="2926">
        <f t="shared" si="8"/>
        <v>0</v>
      </c>
      <c r="M75" s="2926">
        <f t="shared" si="9"/>
        <v>0</v>
      </c>
      <c r="N75" s="2922" t="str">
        <f t="shared" si="16"/>
        <v>-</v>
      </c>
      <c r="O75" s="3001"/>
      <c r="P75" s="3001">
        <f t="shared" si="11"/>
        <v>16151183.999999998</v>
      </c>
      <c r="Q75" s="3001">
        <f t="shared" si="14"/>
        <v>7463502.0000000009</v>
      </c>
      <c r="R75" s="3001">
        <f t="shared" si="15"/>
        <v>7463502.0000000009</v>
      </c>
      <c r="S75" s="3003">
        <f t="shared" si="10"/>
        <v>3873906</v>
      </c>
      <c r="T75" s="2950">
        <v>778.8</v>
      </c>
    </row>
    <row r="76" spans="1:25" ht="16.5" customHeight="1">
      <c r="A76" s="2927" t="s">
        <v>1228</v>
      </c>
      <c r="B76" s="2928" t="s">
        <v>1231</v>
      </c>
      <c r="C76" s="2916" t="s">
        <v>1166</v>
      </c>
      <c r="D76" s="2917">
        <v>1800</v>
      </c>
      <c r="E76" s="2918">
        <v>6784</v>
      </c>
      <c r="F76" s="2918"/>
      <c r="G76" s="2919">
        <v>0</v>
      </c>
      <c r="H76" s="2919">
        <v>0</v>
      </c>
      <c r="I76" s="2926"/>
      <c r="J76" s="2926"/>
      <c r="K76" s="2926"/>
      <c r="L76" s="2948">
        <f t="shared" si="8"/>
        <v>0</v>
      </c>
      <c r="M76" s="2948">
        <f t="shared" si="9"/>
        <v>0</v>
      </c>
      <c r="N76" s="2922" t="str">
        <f t="shared" si="16"/>
        <v>-</v>
      </c>
      <c r="O76" s="2966"/>
      <c r="P76" s="2919">
        <f t="shared" si="11"/>
        <v>0</v>
      </c>
      <c r="Q76" s="2919">
        <f t="shared" si="14"/>
        <v>0</v>
      </c>
      <c r="R76" s="2919">
        <f t="shared" si="15"/>
        <v>0</v>
      </c>
      <c r="S76" s="2923">
        <f t="shared" si="10"/>
        <v>0</v>
      </c>
    </row>
    <row r="77" spans="1:25" s="3005" customFormat="1" ht="16.5" customHeight="1">
      <c r="A77" s="2927" t="s">
        <v>1232</v>
      </c>
      <c r="B77" s="2928" t="s">
        <v>1233</v>
      </c>
      <c r="C77" s="2916" t="s">
        <v>1230</v>
      </c>
      <c r="D77" s="2917">
        <v>1800</v>
      </c>
      <c r="E77" s="2918">
        <v>3126</v>
      </c>
      <c r="F77" s="2918"/>
      <c r="G77" s="2919">
        <v>1563</v>
      </c>
      <c r="H77" s="2919">
        <f>0.5*E77</f>
        <v>1563</v>
      </c>
      <c r="I77" s="2926"/>
      <c r="J77" s="2926"/>
      <c r="K77" s="2926"/>
      <c r="L77" s="2948">
        <f t="shared" si="8"/>
        <v>0</v>
      </c>
      <c r="M77" s="2948">
        <f t="shared" si="9"/>
        <v>0</v>
      </c>
      <c r="N77" s="2922" t="str">
        <f t="shared" si="16"/>
        <v>-</v>
      </c>
      <c r="O77" s="2966"/>
      <c r="P77" s="2919">
        <f t="shared" si="11"/>
        <v>0</v>
      </c>
      <c r="Q77" s="2919">
        <f t="shared" si="14"/>
        <v>2813400</v>
      </c>
      <c r="R77" s="2919">
        <f t="shared" si="15"/>
        <v>2813400</v>
      </c>
      <c r="S77" s="2923">
        <f t="shared" si="10"/>
        <v>0</v>
      </c>
      <c r="T77" s="3004"/>
      <c r="U77" s="3005">
        <f>4089*88</f>
        <v>359832</v>
      </c>
      <c r="Y77" s="3004"/>
    </row>
    <row r="78" spans="1:25" ht="16.5" customHeight="1">
      <c r="A78" s="2927">
        <v>36.06</v>
      </c>
      <c r="B78" s="2928" t="s">
        <v>1234</v>
      </c>
      <c r="C78" s="2916"/>
      <c r="D78" s="2917"/>
      <c r="E78" s="2918"/>
      <c r="F78" s="2918"/>
      <c r="G78" s="2919"/>
      <c r="H78" s="2919"/>
      <c r="I78" s="2926"/>
      <c r="J78" s="2926"/>
      <c r="K78" s="2926"/>
      <c r="L78" s="2948">
        <f t="shared" si="8"/>
        <v>0</v>
      </c>
      <c r="M78" s="2948">
        <f t="shared" si="9"/>
        <v>0</v>
      </c>
      <c r="N78" s="2922" t="str">
        <f>IF(L78&gt;0,1-((L78-M78)/L78),"-")</f>
        <v>-</v>
      </c>
      <c r="O78" s="2966"/>
      <c r="P78" s="2919">
        <f t="shared" si="11"/>
        <v>0</v>
      </c>
      <c r="Q78" s="2919"/>
      <c r="R78" s="2919"/>
      <c r="S78" s="2923">
        <f t="shared" si="10"/>
        <v>0</v>
      </c>
      <c r="T78" s="2950">
        <v>2152.17</v>
      </c>
      <c r="U78" s="2951">
        <f>2330+3550</f>
        <v>5880</v>
      </c>
    </row>
    <row r="79" spans="1:25" ht="16.5" customHeight="1">
      <c r="A79" s="2927"/>
      <c r="B79" s="2928" t="s">
        <v>1235</v>
      </c>
      <c r="C79" s="2916"/>
      <c r="D79" s="2917"/>
      <c r="E79" s="2918"/>
      <c r="F79" s="2918"/>
      <c r="G79" s="2919"/>
      <c r="H79" s="2919"/>
      <c r="I79" s="2926"/>
      <c r="J79" s="2926"/>
      <c r="K79" s="2926"/>
      <c r="L79" s="2948">
        <f t="shared" si="8"/>
        <v>0</v>
      </c>
      <c r="M79" s="2948">
        <f t="shared" si="9"/>
        <v>0</v>
      </c>
      <c r="N79" s="2922" t="str">
        <f t="shared" ref="N79:N117" si="17">IF(L79&gt;0,1-((L79-M79)/L79),"-")</f>
        <v>-</v>
      </c>
      <c r="O79" s="2966"/>
      <c r="P79" s="2919">
        <f t="shared" si="11"/>
        <v>0</v>
      </c>
      <c r="Q79" s="2919">
        <f>D79*G79</f>
        <v>0</v>
      </c>
      <c r="R79" s="2919">
        <f>D79*H79</f>
        <v>0</v>
      </c>
      <c r="S79" s="2923">
        <f t="shared" si="10"/>
        <v>0</v>
      </c>
      <c r="U79" s="2896">
        <f>U78*19.91</f>
        <v>117070.8</v>
      </c>
    </row>
    <row r="80" spans="1:25" ht="16.5" customHeight="1">
      <c r="A80" s="2927" t="s">
        <v>1236</v>
      </c>
      <c r="B80" s="2928" t="s">
        <v>1237</v>
      </c>
      <c r="C80" s="2916" t="s">
        <v>1166</v>
      </c>
      <c r="D80" s="2917">
        <v>75</v>
      </c>
      <c r="E80" s="2918">
        <v>786</v>
      </c>
      <c r="F80" s="2918"/>
      <c r="G80" s="2919">
        <v>0</v>
      </c>
      <c r="H80" s="2919">
        <v>0</v>
      </c>
      <c r="I80" s="2926"/>
      <c r="J80" s="2926"/>
      <c r="K80" s="2926"/>
      <c r="L80" s="2948">
        <f t="shared" si="8"/>
        <v>0</v>
      </c>
      <c r="M80" s="2948">
        <f t="shared" si="9"/>
        <v>0</v>
      </c>
      <c r="N80" s="2922" t="str">
        <f t="shared" si="17"/>
        <v>-</v>
      </c>
      <c r="O80" s="2966"/>
      <c r="P80" s="2919">
        <f t="shared" si="11"/>
        <v>0</v>
      </c>
      <c r="Q80" s="2919">
        <f>D80*G80</f>
        <v>0</v>
      </c>
      <c r="R80" s="2919">
        <f>D80*H80</f>
        <v>0</v>
      </c>
      <c r="S80" s="2923">
        <f t="shared" si="10"/>
        <v>0</v>
      </c>
    </row>
    <row r="81" spans="1:25" ht="16.5" customHeight="1" thickBot="1">
      <c r="A81" s="3006" t="s">
        <v>1238</v>
      </c>
      <c r="B81" s="3007" t="s">
        <v>1239</v>
      </c>
      <c r="C81" s="2931" t="s">
        <v>1230</v>
      </c>
      <c r="D81" s="2932">
        <v>15</v>
      </c>
      <c r="E81" s="2933">
        <v>420</v>
      </c>
      <c r="F81" s="2933"/>
      <c r="G81" s="2934">
        <v>0</v>
      </c>
      <c r="H81" s="2934">
        <v>0</v>
      </c>
      <c r="I81" s="2935"/>
      <c r="J81" s="2935"/>
      <c r="K81" s="2935"/>
      <c r="L81" s="2948">
        <f t="shared" si="8"/>
        <v>0</v>
      </c>
      <c r="M81" s="2948">
        <f t="shared" si="9"/>
        <v>0</v>
      </c>
      <c r="N81" s="2922" t="str">
        <f t="shared" si="17"/>
        <v>-</v>
      </c>
      <c r="O81" s="2966"/>
      <c r="P81" s="2919">
        <f t="shared" si="11"/>
        <v>0</v>
      </c>
      <c r="Q81" s="2919">
        <f>D81*G81</f>
        <v>0</v>
      </c>
      <c r="R81" s="2919">
        <f>D81*H81</f>
        <v>0</v>
      </c>
      <c r="S81" s="2923">
        <f t="shared" si="10"/>
        <v>0</v>
      </c>
    </row>
    <row r="82" spans="1:25" s="2942" customFormat="1" ht="15.75" customHeight="1" thickBot="1">
      <c r="A82" s="2936"/>
      <c r="B82" s="2937" t="s">
        <v>1159</v>
      </c>
      <c r="C82" s="2937"/>
      <c r="D82" s="2937"/>
      <c r="E82" s="2937"/>
      <c r="F82" s="2937"/>
      <c r="G82" s="2937"/>
      <c r="H82" s="2937"/>
      <c r="I82" s="2938"/>
      <c r="J82" s="2938"/>
      <c r="K82" s="2938"/>
      <c r="L82" s="2938">
        <f>SUM(L32:L81)</f>
        <v>0</v>
      </c>
      <c r="M82" s="2938">
        <f>SUM(M32:M81)</f>
        <v>297438</v>
      </c>
      <c r="N82" s="2939" t="str">
        <f t="shared" si="17"/>
        <v>-</v>
      </c>
      <c r="O82" s="2937">
        <f>SUM(O32:O81)</f>
        <v>2772272</v>
      </c>
      <c r="P82" s="2937">
        <f>SUM(P34:P81)</f>
        <v>30412663.699999996</v>
      </c>
      <c r="Q82" s="2937">
        <f>SUM(Q32:Q81)</f>
        <v>42901535.5</v>
      </c>
      <c r="R82" s="2937">
        <f>SUM(R32:R81)</f>
        <v>42901535.5</v>
      </c>
      <c r="S82" s="2940">
        <f>SUM(S32:S81)</f>
        <v>32336833.818</v>
      </c>
      <c r="T82" s="2941"/>
      <c r="Y82" s="2941"/>
    </row>
    <row r="83" spans="1:25" ht="17.25" customHeight="1">
      <c r="A83" s="3008">
        <v>4000</v>
      </c>
      <c r="B83" s="2944" t="s">
        <v>1240</v>
      </c>
      <c r="C83" s="2945"/>
      <c r="D83" s="2946"/>
      <c r="E83" s="2945"/>
      <c r="F83" s="2945"/>
      <c r="G83" s="2947"/>
      <c r="H83" s="2947"/>
      <c r="I83" s="2948"/>
      <c r="J83" s="2948"/>
      <c r="K83" s="2948"/>
      <c r="L83" s="2948"/>
      <c r="M83" s="2948">
        <f t="shared" ref="M83:M98" si="18">D83*K83</f>
        <v>0</v>
      </c>
      <c r="N83" s="2922" t="str">
        <f t="shared" si="17"/>
        <v>-</v>
      </c>
      <c r="O83" s="2947"/>
      <c r="P83" s="2919">
        <f t="shared" ref="P83:P98" si="19">D83*F83</f>
        <v>0</v>
      </c>
      <c r="Q83" s="2947"/>
      <c r="R83" s="2947"/>
      <c r="S83" s="2949">
        <f t="shared" ref="S83:S98" si="20">D83*I83</f>
        <v>0</v>
      </c>
      <c r="T83" s="3009" t="s">
        <v>1241</v>
      </c>
      <c r="U83" s="2951">
        <f>22.97+21.73</f>
        <v>44.7</v>
      </c>
    </row>
    <row r="84" spans="1:25" ht="17.25" customHeight="1">
      <c r="A84" s="3010">
        <v>4100</v>
      </c>
      <c r="B84" s="3011" t="s">
        <v>1242</v>
      </c>
      <c r="C84" s="2918"/>
      <c r="D84" s="2996"/>
      <c r="E84" s="2918"/>
      <c r="F84" s="2918"/>
      <c r="G84" s="2919"/>
      <c r="H84" s="2919"/>
      <c r="I84" s="2926"/>
      <c r="J84" s="2926"/>
      <c r="K84" s="2926"/>
      <c r="L84" s="2959"/>
      <c r="M84" s="2948">
        <f t="shared" si="18"/>
        <v>0</v>
      </c>
      <c r="N84" s="2922" t="str">
        <f t="shared" si="17"/>
        <v>-</v>
      </c>
      <c r="O84" s="2919"/>
      <c r="P84" s="2919">
        <f t="shared" si="19"/>
        <v>0</v>
      </c>
      <c r="Q84" s="2919"/>
      <c r="R84" s="2919"/>
      <c r="S84" s="2923">
        <f t="shared" si="20"/>
        <v>0</v>
      </c>
      <c r="T84" s="3012"/>
    </row>
    <row r="85" spans="1:25" ht="15">
      <c r="A85" s="3010">
        <v>41.03</v>
      </c>
      <c r="B85" s="3013" t="s">
        <v>1243</v>
      </c>
      <c r="C85" s="2918"/>
      <c r="D85" s="2996"/>
      <c r="E85" s="2918"/>
      <c r="F85" s="2918"/>
      <c r="G85" s="2919"/>
      <c r="H85" s="2919"/>
      <c r="I85" s="2926"/>
      <c r="J85" s="2926"/>
      <c r="K85" s="2926"/>
      <c r="L85" s="2959"/>
      <c r="M85" s="2948">
        <f t="shared" si="18"/>
        <v>0</v>
      </c>
      <c r="N85" s="2922" t="str">
        <f t="shared" si="17"/>
        <v>-</v>
      </c>
      <c r="O85" s="2919"/>
      <c r="P85" s="2919">
        <f t="shared" si="19"/>
        <v>0</v>
      </c>
      <c r="Q85" s="2919"/>
      <c r="R85" s="2919"/>
      <c r="S85" s="2923">
        <f t="shared" si="20"/>
        <v>0</v>
      </c>
      <c r="T85" s="3012"/>
    </row>
    <row r="86" spans="1:25" ht="17.25" customHeight="1">
      <c r="A86" s="3014" t="s">
        <v>1244</v>
      </c>
      <c r="B86" s="3015" t="s">
        <v>1245</v>
      </c>
      <c r="C86" s="2916" t="s">
        <v>1166</v>
      </c>
      <c r="D86" s="2996">
        <v>20</v>
      </c>
      <c r="E86" s="2918">
        <v>72000</v>
      </c>
      <c r="F86" s="2918">
        <v>64980</v>
      </c>
      <c r="G86" s="2918">
        <v>72000</v>
      </c>
      <c r="H86" s="2918">
        <v>72000</v>
      </c>
      <c r="I86" s="3016"/>
      <c r="J86" s="3016"/>
      <c r="K86" s="3016">
        <v>240</v>
      </c>
      <c r="L86" s="3017">
        <f t="shared" ref="L86:L98" si="21">D86*J86</f>
        <v>0</v>
      </c>
      <c r="M86" s="2948">
        <f t="shared" si="18"/>
        <v>4800</v>
      </c>
      <c r="N86" s="2922" t="str">
        <f t="shared" si="17"/>
        <v>-</v>
      </c>
      <c r="O86" s="2919"/>
      <c r="P86" s="2919">
        <f t="shared" si="19"/>
        <v>1299600</v>
      </c>
      <c r="Q86" s="2919">
        <f t="shared" ref="Q86:Q98" si="22">D86*G86</f>
        <v>1440000</v>
      </c>
      <c r="R86" s="2919">
        <f t="shared" ref="R86:R98" si="23">D86*H86</f>
        <v>1440000</v>
      </c>
      <c r="S86" s="2923">
        <f t="shared" si="20"/>
        <v>0</v>
      </c>
      <c r="T86" s="3012">
        <v>11241.27144</v>
      </c>
    </row>
    <row r="87" spans="1:25" ht="17.25" customHeight="1">
      <c r="A87" s="3014">
        <v>4200</v>
      </c>
      <c r="B87" s="3015" t="s">
        <v>1246</v>
      </c>
      <c r="C87" s="2918"/>
      <c r="D87" s="2996"/>
      <c r="E87" s="2918"/>
      <c r="F87" s="2918"/>
      <c r="G87" s="2919"/>
      <c r="H87" s="2919"/>
      <c r="I87" s="2926"/>
      <c r="J87" s="2926"/>
      <c r="K87" s="2926"/>
      <c r="L87" s="3017">
        <f t="shared" si="21"/>
        <v>0</v>
      </c>
      <c r="M87" s="2948">
        <f t="shared" si="18"/>
        <v>0</v>
      </c>
      <c r="N87" s="2922" t="str">
        <f t="shared" si="17"/>
        <v>-</v>
      </c>
      <c r="O87" s="2919"/>
      <c r="P87" s="2919">
        <f t="shared" si="19"/>
        <v>0</v>
      </c>
      <c r="Q87" s="2919">
        <f t="shared" si="22"/>
        <v>0</v>
      </c>
      <c r="R87" s="2919">
        <f t="shared" si="23"/>
        <v>0</v>
      </c>
      <c r="S87" s="2923">
        <f t="shared" si="20"/>
        <v>0</v>
      </c>
      <c r="T87" s="3012">
        <v>1470613.9299999997</v>
      </c>
    </row>
    <row r="88" spans="1:25" ht="24">
      <c r="A88" s="3014">
        <v>42.01</v>
      </c>
      <c r="B88" s="3015" t="s">
        <v>1247</v>
      </c>
      <c r="C88" s="2918"/>
      <c r="D88" s="2996"/>
      <c r="E88" s="2918"/>
      <c r="F88" s="2918"/>
      <c r="G88" s="2919"/>
      <c r="H88" s="2919"/>
      <c r="I88" s="2926"/>
      <c r="J88" s="2926"/>
      <c r="K88" s="2926"/>
      <c r="L88" s="3017">
        <f t="shared" si="21"/>
        <v>0</v>
      </c>
      <c r="M88" s="2948">
        <f t="shared" si="18"/>
        <v>0</v>
      </c>
      <c r="N88" s="2922" t="str">
        <f t="shared" si="17"/>
        <v>-</v>
      </c>
      <c r="O88" s="2919"/>
      <c r="P88" s="2919">
        <f t="shared" si="19"/>
        <v>0</v>
      </c>
      <c r="Q88" s="2919">
        <f t="shared" si="22"/>
        <v>0</v>
      </c>
      <c r="R88" s="2919">
        <f t="shared" si="23"/>
        <v>0</v>
      </c>
      <c r="S88" s="2923">
        <f t="shared" si="20"/>
        <v>0</v>
      </c>
      <c r="T88" s="3012">
        <v>218514.27999999997</v>
      </c>
    </row>
    <row r="89" spans="1:25" ht="36">
      <c r="A89" s="2914" t="s">
        <v>1248</v>
      </c>
      <c r="B89" s="2965" t="s">
        <v>1249</v>
      </c>
      <c r="C89" s="2916" t="s">
        <v>1166</v>
      </c>
      <c r="D89" s="2996">
        <v>89</v>
      </c>
      <c r="E89" s="2918">
        <v>770000</v>
      </c>
      <c r="F89" s="2918">
        <v>617759.68000000005</v>
      </c>
      <c r="G89" s="3001">
        <v>221338.73</v>
      </c>
      <c r="H89" s="3001">
        <v>218760.55</v>
      </c>
      <c r="I89" s="3002">
        <v>210957.288</v>
      </c>
      <c r="J89" s="3002"/>
      <c r="K89" s="2926">
        <v>2029.8</v>
      </c>
      <c r="L89" s="2926">
        <f t="shared" si="21"/>
        <v>0</v>
      </c>
      <c r="M89" s="2926">
        <f>1*K89</f>
        <v>2029.8</v>
      </c>
      <c r="N89" s="2922" t="str">
        <f t="shared" si="17"/>
        <v>-</v>
      </c>
      <c r="O89" s="3001">
        <f>'[12] Action Plan 2'!E22</f>
        <v>21288.080000000002</v>
      </c>
      <c r="P89" s="2919">
        <f t="shared" si="19"/>
        <v>54980611.520000003</v>
      </c>
      <c r="Q89" s="3001">
        <f t="shared" si="22"/>
        <v>19699146.970000003</v>
      </c>
      <c r="R89" s="3001">
        <f t="shared" si="23"/>
        <v>19469688.949999999</v>
      </c>
      <c r="S89" s="3003">
        <f t="shared" si="20"/>
        <v>18775198.631999999</v>
      </c>
      <c r="T89" s="3012"/>
      <c r="Y89" s="2950">
        <v>1173786.6359999997</v>
      </c>
    </row>
    <row r="90" spans="1:25" ht="28.5" customHeight="1">
      <c r="A90" s="2914" t="s">
        <v>1250</v>
      </c>
      <c r="B90" s="2965" t="s">
        <v>1251</v>
      </c>
      <c r="C90" s="2916" t="s">
        <v>1166</v>
      </c>
      <c r="D90" s="2996">
        <v>125</v>
      </c>
      <c r="E90" s="2918">
        <v>186452</v>
      </c>
      <c r="F90" s="2918">
        <v>0</v>
      </c>
      <c r="G90" s="2918">
        <v>100</v>
      </c>
      <c r="H90" s="2918">
        <v>100</v>
      </c>
      <c r="I90" s="2926"/>
      <c r="J90" s="2926"/>
      <c r="K90" s="2926"/>
      <c r="L90" s="3017">
        <f t="shared" si="21"/>
        <v>0</v>
      </c>
      <c r="M90" s="2948">
        <f t="shared" si="18"/>
        <v>0</v>
      </c>
      <c r="N90" s="2922" t="str">
        <f t="shared" si="17"/>
        <v>-</v>
      </c>
      <c r="O90" s="2919"/>
      <c r="P90" s="2919">
        <f t="shared" si="19"/>
        <v>0</v>
      </c>
      <c r="Q90" s="2919">
        <f t="shared" si="22"/>
        <v>12500</v>
      </c>
      <c r="R90" s="2919">
        <f t="shared" si="23"/>
        <v>12500</v>
      </c>
      <c r="S90" s="2923">
        <f t="shared" si="20"/>
        <v>0</v>
      </c>
      <c r="T90" s="3012">
        <v>1946.9080000000001</v>
      </c>
      <c r="U90" s="2955">
        <f>25640.18+26748.73</f>
        <v>52388.91</v>
      </c>
    </row>
    <row r="91" spans="1:25" ht="15">
      <c r="A91" s="2914" t="s">
        <v>1252</v>
      </c>
      <c r="B91" s="2965" t="s">
        <v>1253</v>
      </c>
      <c r="C91" s="2916" t="s">
        <v>1230</v>
      </c>
      <c r="D91" s="2996">
        <v>250</v>
      </c>
      <c r="E91" s="2918">
        <v>1886</v>
      </c>
      <c r="F91" s="2918">
        <v>1000</v>
      </c>
      <c r="G91" s="2919">
        <v>1886</v>
      </c>
      <c r="H91" s="2919"/>
      <c r="I91" s="2926"/>
      <c r="J91" s="2926"/>
      <c r="K91" s="2926"/>
      <c r="L91" s="3017">
        <f t="shared" si="21"/>
        <v>0</v>
      </c>
      <c r="M91" s="2948">
        <f t="shared" si="18"/>
        <v>0</v>
      </c>
      <c r="N91" s="2922" t="str">
        <f t="shared" si="17"/>
        <v>-</v>
      </c>
      <c r="O91" s="2919"/>
      <c r="P91" s="2919">
        <f t="shared" si="19"/>
        <v>250000</v>
      </c>
      <c r="Q91" s="2919">
        <f t="shared" si="22"/>
        <v>471500</v>
      </c>
      <c r="R91" s="2919">
        <f t="shared" si="23"/>
        <v>0</v>
      </c>
      <c r="S91" s="2923">
        <f t="shared" si="20"/>
        <v>0</v>
      </c>
      <c r="T91" s="3012">
        <v>0</v>
      </c>
      <c r="U91" s="2955">
        <f>29233.7+33575.01</f>
        <v>62808.710000000006</v>
      </c>
      <c r="Y91" s="2950">
        <v>127928.09</v>
      </c>
    </row>
    <row r="92" spans="1:25" ht="15">
      <c r="A92" s="2914" t="s">
        <v>1254</v>
      </c>
      <c r="B92" s="2965" t="s">
        <v>1255</v>
      </c>
      <c r="C92" s="2916"/>
      <c r="D92" s="2996"/>
      <c r="E92" s="2918"/>
      <c r="F92" s="2918"/>
      <c r="G92" s="2919"/>
      <c r="H92" s="2919"/>
      <c r="I92" s="2926"/>
      <c r="J92" s="2926"/>
      <c r="K92" s="2926"/>
      <c r="L92" s="3017">
        <f t="shared" si="21"/>
        <v>0</v>
      </c>
      <c r="M92" s="2948">
        <f t="shared" si="18"/>
        <v>0</v>
      </c>
      <c r="N92" s="2922" t="str">
        <f t="shared" si="17"/>
        <v>-</v>
      </c>
      <c r="O92" s="2919"/>
      <c r="P92" s="2919">
        <f t="shared" si="19"/>
        <v>0</v>
      </c>
      <c r="Q92" s="2919">
        <f t="shared" si="22"/>
        <v>0</v>
      </c>
      <c r="R92" s="2919">
        <f t="shared" si="23"/>
        <v>0</v>
      </c>
      <c r="S92" s="2923">
        <f t="shared" si="20"/>
        <v>0</v>
      </c>
      <c r="T92" s="3012">
        <v>0</v>
      </c>
      <c r="U92" s="2955"/>
    </row>
    <row r="93" spans="1:25" ht="15">
      <c r="A93" s="2914" t="s">
        <v>1256</v>
      </c>
      <c r="B93" s="2965" t="s">
        <v>1257</v>
      </c>
      <c r="C93" s="2916" t="s">
        <v>1230</v>
      </c>
      <c r="D93" s="2996">
        <v>117</v>
      </c>
      <c r="E93" s="2918">
        <v>18564</v>
      </c>
      <c r="F93" s="2918">
        <v>47443.03</v>
      </c>
      <c r="G93" s="2919">
        <v>52684.89</v>
      </c>
      <c r="H93" s="2919">
        <v>52684.56</v>
      </c>
      <c r="I93" s="2926">
        <v>52388.91</v>
      </c>
      <c r="J93" s="2926"/>
      <c r="K93" s="2926">
        <v>400</v>
      </c>
      <c r="L93" s="3017">
        <f t="shared" si="21"/>
        <v>0</v>
      </c>
      <c r="M93" s="2948">
        <f t="shared" si="18"/>
        <v>46800</v>
      </c>
      <c r="N93" s="2922" t="str">
        <f t="shared" si="17"/>
        <v>-</v>
      </c>
      <c r="O93" s="2919">
        <f>'[12] Action Plan 2'!E39</f>
        <v>1061642.7899999998</v>
      </c>
      <c r="P93" s="2919">
        <f t="shared" si="19"/>
        <v>5550834.5099999998</v>
      </c>
      <c r="Q93" s="2919">
        <f t="shared" si="22"/>
        <v>6164132.1299999999</v>
      </c>
      <c r="R93" s="2919">
        <f t="shared" si="23"/>
        <v>6164093.5199999996</v>
      </c>
      <c r="S93" s="2923">
        <f t="shared" si="20"/>
        <v>6129502.4700000007</v>
      </c>
      <c r="T93" s="3012">
        <v>0</v>
      </c>
      <c r="U93" s="2955"/>
      <c r="Y93" s="2950">
        <v>169649.4</v>
      </c>
    </row>
    <row r="94" spans="1:25">
      <c r="A94" s="2974" t="s">
        <v>1258</v>
      </c>
      <c r="B94" s="3018" t="s">
        <v>1259</v>
      </c>
      <c r="C94" s="2976" t="s">
        <v>1230</v>
      </c>
      <c r="D94" s="3019">
        <v>115</v>
      </c>
      <c r="E94" s="2978">
        <v>4876</v>
      </c>
      <c r="F94" s="2978">
        <v>53512.87</v>
      </c>
      <c r="G94" s="3020">
        <v>70332.72</v>
      </c>
      <c r="H94" s="3020">
        <v>70332.72</v>
      </c>
      <c r="I94" s="3021">
        <v>62808.710000000006</v>
      </c>
      <c r="J94" s="3021"/>
      <c r="K94" s="3021">
        <v>700.80000000000007</v>
      </c>
      <c r="L94" s="3021">
        <f t="shared" si="21"/>
        <v>0</v>
      </c>
      <c r="M94" s="3021">
        <f t="shared" si="18"/>
        <v>80592.000000000015</v>
      </c>
      <c r="N94" s="3022" t="str">
        <f t="shared" si="17"/>
        <v>-</v>
      </c>
      <c r="O94" s="3020">
        <f>'[12] Action Plan 2'!E30</f>
        <v>870181.99999999988</v>
      </c>
      <c r="P94" s="3020">
        <f t="shared" si="19"/>
        <v>6153980.0500000007</v>
      </c>
      <c r="Q94" s="3020">
        <f t="shared" si="22"/>
        <v>8088262.7999999998</v>
      </c>
      <c r="R94" s="3020">
        <f t="shared" si="23"/>
        <v>8088262.7999999998</v>
      </c>
      <c r="S94" s="3023">
        <f t="shared" si="20"/>
        <v>7223001.6500000004</v>
      </c>
      <c r="T94" s="3012">
        <v>2839.3999999999996</v>
      </c>
      <c r="U94" s="2955"/>
    </row>
    <row r="95" spans="1:25" ht="26.25" customHeight="1">
      <c r="A95" s="3024">
        <v>42.03</v>
      </c>
      <c r="B95" s="3025" t="s">
        <v>1260</v>
      </c>
      <c r="C95" s="2984" t="s">
        <v>1187</v>
      </c>
      <c r="D95" s="2957"/>
      <c r="E95" s="2956"/>
      <c r="F95" s="2956"/>
      <c r="G95" s="2958"/>
      <c r="H95" s="2958"/>
      <c r="I95" s="2959"/>
      <c r="J95" s="2959"/>
      <c r="K95" s="2959"/>
      <c r="L95" s="3017">
        <f t="shared" si="21"/>
        <v>0</v>
      </c>
      <c r="M95" s="2948">
        <f t="shared" si="18"/>
        <v>0</v>
      </c>
      <c r="N95" s="2922" t="str">
        <f t="shared" si="17"/>
        <v>-</v>
      </c>
      <c r="O95" s="2958"/>
      <c r="P95" s="2958">
        <f t="shared" si="19"/>
        <v>0</v>
      </c>
      <c r="Q95" s="2958">
        <f t="shared" si="22"/>
        <v>0</v>
      </c>
      <c r="R95" s="2958">
        <f t="shared" si="23"/>
        <v>0</v>
      </c>
      <c r="S95" s="2960">
        <f t="shared" si="20"/>
        <v>0</v>
      </c>
      <c r="T95" s="3012"/>
      <c r="U95" s="2955">
        <f>112035547.23/203</f>
        <v>551899.24743842368</v>
      </c>
    </row>
    <row r="96" spans="1:25" ht="15.75" customHeight="1">
      <c r="A96" s="2927" t="s">
        <v>29</v>
      </c>
      <c r="B96" s="2928" t="s">
        <v>1261</v>
      </c>
      <c r="C96" s="2916" t="s">
        <v>1166</v>
      </c>
      <c r="D96" s="2996">
        <v>88</v>
      </c>
      <c r="E96" s="2918">
        <v>68956</v>
      </c>
      <c r="F96" s="2918">
        <v>1475969.1</v>
      </c>
      <c r="G96" s="2919">
        <v>801684.50109999999</v>
      </c>
      <c r="H96" s="2919">
        <v>899282.62</v>
      </c>
      <c r="I96" s="2926">
        <f>850116.0671726-16269.3</f>
        <v>833846.76717259991</v>
      </c>
      <c r="J96" s="2926"/>
      <c r="K96" s="2959"/>
      <c r="L96" s="2959">
        <f t="shared" si="21"/>
        <v>0</v>
      </c>
      <c r="M96" s="2959">
        <f t="shared" si="18"/>
        <v>0</v>
      </c>
      <c r="N96" s="2922" t="str">
        <f t="shared" si="17"/>
        <v>-</v>
      </c>
      <c r="O96" s="2919">
        <f>'[12] Action Plan 2'!E71</f>
        <v>8913746.0499999989</v>
      </c>
      <c r="P96" s="2919">
        <f t="shared" si="19"/>
        <v>129885280.80000001</v>
      </c>
      <c r="Q96" s="2919">
        <f t="shared" si="22"/>
        <v>70548236.096799999</v>
      </c>
      <c r="R96" s="2919">
        <f t="shared" si="23"/>
        <v>79136870.560000002</v>
      </c>
      <c r="S96" s="2923">
        <f t="shared" si="20"/>
        <v>73378515.51118879</v>
      </c>
      <c r="T96" s="3012">
        <v>634626.30669580016</v>
      </c>
      <c r="U96" s="2955"/>
    </row>
    <row r="97" spans="1:25" ht="28.5" customHeight="1">
      <c r="A97" s="2927" t="s">
        <v>31</v>
      </c>
      <c r="B97" s="2928" t="s">
        <v>1262</v>
      </c>
      <c r="C97" s="2916" t="s">
        <v>1166</v>
      </c>
      <c r="D97" s="2996">
        <v>99</v>
      </c>
      <c r="E97" s="2918">
        <v>28986</v>
      </c>
      <c r="F97" s="2918">
        <v>40367</v>
      </c>
      <c r="G97" s="2919">
        <v>339696.82249999989</v>
      </c>
      <c r="H97" s="2919">
        <v>127177.69</v>
      </c>
      <c r="I97" s="2926"/>
      <c r="J97" s="2926">
        <v>3910.3310000000019</v>
      </c>
      <c r="K97" s="2926"/>
      <c r="L97" s="3017">
        <f t="shared" si="21"/>
        <v>387122.7690000002</v>
      </c>
      <c r="M97" s="2948">
        <f t="shared" si="18"/>
        <v>0</v>
      </c>
      <c r="N97" s="2922">
        <f t="shared" si="17"/>
        <v>0</v>
      </c>
      <c r="O97" s="2919"/>
      <c r="P97" s="2919">
        <f t="shared" si="19"/>
        <v>3996333</v>
      </c>
      <c r="Q97" s="2919">
        <f t="shared" si="22"/>
        <v>33629985.427499987</v>
      </c>
      <c r="R97" s="2919">
        <f t="shared" si="23"/>
        <v>12590591.310000001</v>
      </c>
      <c r="S97" s="2923">
        <f t="shared" si="20"/>
        <v>0</v>
      </c>
      <c r="T97" s="3012">
        <v>0</v>
      </c>
      <c r="U97" s="2955">
        <f>P99-O99</f>
        <v>193873003.87</v>
      </c>
    </row>
    <row r="98" spans="1:25" ht="29.25" customHeight="1" thickBot="1">
      <c r="A98" s="3006" t="s">
        <v>1263</v>
      </c>
      <c r="B98" s="3007" t="s">
        <v>1264</v>
      </c>
      <c r="C98" s="2931" t="s">
        <v>1166</v>
      </c>
      <c r="D98" s="3026">
        <v>119</v>
      </c>
      <c r="E98" s="2933">
        <v>18452</v>
      </c>
      <c r="F98" s="2933">
        <v>22043.89</v>
      </c>
      <c r="G98" s="3027">
        <v>217405.96639999995</v>
      </c>
      <c r="H98" s="3027">
        <v>143963.63</v>
      </c>
      <c r="I98" s="3028"/>
      <c r="J98" s="3028">
        <v>14094.18</v>
      </c>
      <c r="K98" s="3028"/>
      <c r="L98" s="3017">
        <f t="shared" si="21"/>
        <v>1677207.42</v>
      </c>
      <c r="M98" s="2948">
        <f t="shared" si="18"/>
        <v>0</v>
      </c>
      <c r="N98" s="2922">
        <f t="shared" si="17"/>
        <v>0</v>
      </c>
      <c r="O98" s="3001"/>
      <c r="P98" s="3001">
        <f t="shared" si="19"/>
        <v>2623222.91</v>
      </c>
      <c r="Q98" s="3027">
        <f t="shared" si="22"/>
        <v>25871310.001599994</v>
      </c>
      <c r="R98" s="3027">
        <f t="shared" si="23"/>
        <v>17131671.969999999</v>
      </c>
      <c r="S98" s="3029">
        <f t="shared" si="20"/>
        <v>0</v>
      </c>
      <c r="T98" s="3012">
        <v>29518.030000000002</v>
      </c>
      <c r="U98" s="3030">
        <f>U97/'[49]Summary Rev'!C24*100</f>
        <v>118924.47127302633</v>
      </c>
    </row>
    <row r="99" spans="1:25" s="2942" customFormat="1" ht="16.5" customHeight="1" thickBot="1">
      <c r="A99" s="2936"/>
      <c r="B99" s="2937" t="s">
        <v>1159</v>
      </c>
      <c r="C99" s="2937"/>
      <c r="D99" s="2937"/>
      <c r="E99" s="2937"/>
      <c r="F99" s="2937"/>
      <c r="G99" s="2937"/>
      <c r="H99" s="2937"/>
      <c r="I99" s="2938"/>
      <c r="J99" s="2938"/>
      <c r="K99" s="2938"/>
      <c r="L99" s="2938">
        <f>SUM(L83:L98)</f>
        <v>2064330.1890000002</v>
      </c>
      <c r="M99" s="2938">
        <f>SUM(M83:M98)</f>
        <v>134221.80000000002</v>
      </c>
      <c r="N99" s="2939">
        <f t="shared" si="17"/>
        <v>6.5019540340598092E-2</v>
      </c>
      <c r="O99" s="2937">
        <f>SUM(O83:O98)</f>
        <v>10866858.919999998</v>
      </c>
      <c r="P99" s="2937">
        <f>SUM(P83:P98)</f>
        <v>204739862.78999999</v>
      </c>
      <c r="Q99" s="2937">
        <f>SUM(Q86:Q98)</f>
        <v>165925073.42589998</v>
      </c>
      <c r="R99" s="2937">
        <f>SUM(R83:R98)</f>
        <v>144033679.11000001</v>
      </c>
      <c r="S99" s="2940">
        <f>SUM(S83:S98)</f>
        <v>105506218.26318878</v>
      </c>
      <c r="T99" s="2941"/>
      <c r="Y99" s="2941"/>
    </row>
    <row r="100" spans="1:25" ht="26.25" customHeight="1">
      <c r="A100" s="3031">
        <v>5000</v>
      </c>
      <c r="B100" s="2944" t="s">
        <v>1265</v>
      </c>
      <c r="C100" s="2945"/>
      <c r="D100" s="2946"/>
      <c r="E100" s="2945"/>
      <c r="F100" s="2945"/>
      <c r="G100" s="2947"/>
      <c r="H100" s="2947"/>
      <c r="I100" s="2948"/>
      <c r="J100" s="2948"/>
      <c r="K100" s="2948"/>
      <c r="L100" s="2948"/>
      <c r="M100" s="2948">
        <f>D100*K100</f>
        <v>0</v>
      </c>
      <c r="N100" s="2922" t="str">
        <f t="shared" si="17"/>
        <v>-</v>
      </c>
      <c r="O100" s="2947"/>
      <c r="P100" s="2919">
        <f>D100*F100</f>
        <v>0</v>
      </c>
      <c r="Q100" s="2947"/>
      <c r="R100" s="2947"/>
      <c r="S100" s="2949"/>
      <c r="T100" s="2950">
        <f>1285786.64-112000</f>
        <v>1173786.6399999999</v>
      </c>
    </row>
    <row r="101" spans="1:25" s="2990" customFormat="1" ht="48.75" thickBot="1">
      <c r="A101" s="3032" t="s">
        <v>1266</v>
      </c>
      <c r="B101" s="3033" t="s">
        <v>1267</v>
      </c>
      <c r="C101" s="2931" t="s">
        <v>1166</v>
      </c>
      <c r="D101" s="3026">
        <v>175</v>
      </c>
      <c r="E101" s="2933">
        <v>80850</v>
      </c>
      <c r="F101" s="2933">
        <v>61011.39</v>
      </c>
      <c r="G101" s="3027">
        <v>66381.45</v>
      </c>
      <c r="H101" s="3027">
        <v>66381.45</v>
      </c>
      <c r="I101" s="3028">
        <v>66381.45</v>
      </c>
      <c r="J101" s="3028"/>
      <c r="K101" s="3028"/>
      <c r="L101" s="3034">
        <f>D101*J101</f>
        <v>0</v>
      </c>
      <c r="M101" s="2948">
        <f>D101*K101</f>
        <v>0</v>
      </c>
      <c r="N101" s="2922" t="str">
        <f t="shared" si="17"/>
        <v>-</v>
      </c>
      <c r="O101" s="3027"/>
      <c r="P101" s="3001">
        <f>D101*F101</f>
        <v>10676993.25</v>
      </c>
      <c r="Q101" s="3027">
        <f>D101*G101</f>
        <v>11616753.75</v>
      </c>
      <c r="R101" s="3027">
        <f>D101*H101</f>
        <v>11616753.75</v>
      </c>
      <c r="S101" s="3029">
        <f>D101*I101</f>
        <v>11616753.75</v>
      </c>
      <c r="T101" s="2989"/>
      <c r="Y101" s="2989"/>
    </row>
    <row r="102" spans="1:25" s="2942" customFormat="1" ht="16.5" customHeight="1" thickBot="1">
      <c r="A102" s="2936"/>
      <c r="B102" s="2937" t="s">
        <v>1159</v>
      </c>
      <c r="C102" s="2937"/>
      <c r="D102" s="2937"/>
      <c r="E102" s="2937"/>
      <c r="F102" s="2937"/>
      <c r="G102" s="2937"/>
      <c r="H102" s="2937">
        <f t="shared" ref="H102:Q102" si="24">SUM(H100:H101)</f>
        <v>66381.45</v>
      </c>
      <c r="I102" s="2938"/>
      <c r="J102" s="2938"/>
      <c r="K102" s="2938"/>
      <c r="L102" s="2938">
        <f t="shared" si="24"/>
        <v>0</v>
      </c>
      <c r="M102" s="2938">
        <f t="shared" si="24"/>
        <v>0</v>
      </c>
      <c r="N102" s="2938" t="str">
        <f t="shared" si="17"/>
        <v>-</v>
      </c>
      <c r="O102" s="2937">
        <f t="shared" si="24"/>
        <v>0</v>
      </c>
      <c r="P102" s="2937">
        <f>SUM(P100:P101)</f>
        <v>10676993.25</v>
      </c>
      <c r="Q102" s="2937">
        <f t="shared" si="24"/>
        <v>11616753.75</v>
      </c>
      <c r="R102" s="2937">
        <f>SUM(R100:R101)</f>
        <v>11616753.75</v>
      </c>
      <c r="S102" s="2940">
        <f>SUM(S100:S101)</f>
        <v>11616753.75</v>
      </c>
      <c r="T102" s="2941"/>
      <c r="Y102" s="2941"/>
    </row>
    <row r="103" spans="1:25" ht="17.25" customHeight="1">
      <c r="A103" s="2943">
        <v>8000</v>
      </c>
      <c r="B103" s="2944" t="s">
        <v>1268</v>
      </c>
      <c r="C103" s="2945"/>
      <c r="D103" s="2946"/>
      <c r="E103" s="2945"/>
      <c r="F103" s="2945"/>
      <c r="G103" s="2947"/>
      <c r="H103" s="2947"/>
      <c r="I103" s="2948"/>
      <c r="J103" s="2948"/>
      <c r="K103" s="2948"/>
      <c r="L103" s="2948"/>
      <c r="M103" s="2948">
        <f t="shared" ref="M103:M162" si="25">D103*K103</f>
        <v>0</v>
      </c>
      <c r="N103" s="2922" t="str">
        <f t="shared" si="17"/>
        <v>-</v>
      </c>
      <c r="O103" s="2947"/>
      <c r="P103" s="2919">
        <f t="shared" ref="P103:P162" si="26">D103*F103</f>
        <v>0</v>
      </c>
      <c r="Q103" s="2947"/>
      <c r="R103" s="2947"/>
      <c r="S103" s="2949"/>
    </row>
    <row r="104" spans="1:25" ht="17.25" customHeight="1">
      <c r="A104" s="3010">
        <v>8100</v>
      </c>
      <c r="B104" s="3035" t="s">
        <v>1269</v>
      </c>
      <c r="C104" s="2918"/>
      <c r="D104" s="2996"/>
      <c r="E104" s="2918"/>
      <c r="F104" s="2918"/>
      <c r="G104" s="2919"/>
      <c r="H104" s="2919"/>
      <c r="I104" s="2926"/>
      <c r="J104" s="2926"/>
      <c r="K104" s="2926"/>
      <c r="L104" s="2959"/>
      <c r="M104" s="2948">
        <f t="shared" si="25"/>
        <v>0</v>
      </c>
      <c r="N104" s="2922" t="str">
        <f t="shared" si="17"/>
        <v>-</v>
      </c>
      <c r="O104" s="2919"/>
      <c r="P104" s="2919">
        <f t="shared" si="26"/>
        <v>0</v>
      </c>
      <c r="Q104" s="2919"/>
      <c r="R104" s="2919"/>
      <c r="S104" s="2923">
        <f t="shared" ref="S104:S162" si="27">D104*I104</f>
        <v>0</v>
      </c>
    </row>
    <row r="105" spans="1:25" ht="16.5" customHeight="1">
      <c r="A105" s="2967">
        <v>81.010000000000005</v>
      </c>
      <c r="B105" s="3035" t="s">
        <v>1270</v>
      </c>
      <c r="C105" s="2916"/>
      <c r="D105" s="2917"/>
      <c r="E105" s="2918"/>
      <c r="F105" s="2918"/>
      <c r="G105" s="2919"/>
      <c r="H105" s="2919"/>
      <c r="I105" s="2926"/>
      <c r="J105" s="2926"/>
      <c r="K105" s="2926"/>
      <c r="L105" s="2959"/>
      <c r="M105" s="2948">
        <f t="shared" si="25"/>
        <v>0</v>
      </c>
      <c r="N105" s="2922" t="str">
        <f t="shared" si="17"/>
        <v>-</v>
      </c>
      <c r="O105" s="2919"/>
      <c r="P105" s="2919">
        <f t="shared" si="26"/>
        <v>0</v>
      </c>
      <c r="Q105" s="2919"/>
      <c r="R105" s="2919"/>
      <c r="S105" s="2923">
        <f t="shared" si="27"/>
        <v>0</v>
      </c>
    </row>
    <row r="106" spans="1:25" ht="15" customHeight="1">
      <c r="A106" s="2927" t="s">
        <v>1271</v>
      </c>
      <c r="B106" s="2928" t="s">
        <v>1272</v>
      </c>
      <c r="C106" s="2916" t="s">
        <v>1273</v>
      </c>
      <c r="D106" s="2917"/>
      <c r="E106" s="2918"/>
      <c r="F106" s="2918">
        <v>2000000</v>
      </c>
      <c r="G106" s="2919"/>
      <c r="H106" s="2919"/>
      <c r="I106" s="2926"/>
      <c r="J106" s="2926"/>
      <c r="K106" s="2926"/>
      <c r="L106" s="3036">
        <f t="shared" ref="L106:L162" si="28">D106*J106</f>
        <v>0</v>
      </c>
      <c r="M106" s="2948">
        <f t="shared" si="25"/>
        <v>0</v>
      </c>
      <c r="N106" s="2922" t="str">
        <f t="shared" si="17"/>
        <v>-</v>
      </c>
      <c r="O106" s="2919"/>
      <c r="P106" s="2919">
        <f t="shared" si="26"/>
        <v>0</v>
      </c>
      <c r="Q106" s="2919">
        <v>200000</v>
      </c>
      <c r="R106" s="2919">
        <v>200000</v>
      </c>
      <c r="S106" s="2923">
        <f t="shared" si="27"/>
        <v>0</v>
      </c>
    </row>
    <row r="107" spans="1:25" ht="17.25" customHeight="1">
      <c r="A107" s="2927" t="s">
        <v>1274</v>
      </c>
      <c r="B107" s="2928" t="s">
        <v>1275</v>
      </c>
      <c r="C107" s="2916" t="s">
        <v>261</v>
      </c>
      <c r="D107" s="2917">
        <v>0.35</v>
      </c>
      <c r="E107" s="2918"/>
      <c r="F107" s="2918"/>
      <c r="G107" s="2919"/>
      <c r="H107" s="2919"/>
      <c r="I107" s="2926"/>
      <c r="J107" s="2926"/>
      <c r="K107" s="2926"/>
      <c r="L107" s="3036">
        <f t="shared" si="28"/>
        <v>0</v>
      </c>
      <c r="M107" s="2948">
        <f t="shared" si="25"/>
        <v>0</v>
      </c>
      <c r="N107" s="2922" t="str">
        <f t="shared" si="17"/>
        <v>-</v>
      </c>
      <c r="O107" s="2919"/>
      <c r="P107" s="2919">
        <f t="shared" si="26"/>
        <v>0</v>
      </c>
      <c r="Q107" s="2919">
        <v>70000</v>
      </c>
      <c r="R107" s="2919">
        <v>70000</v>
      </c>
      <c r="S107" s="2923">
        <f t="shared" si="27"/>
        <v>0</v>
      </c>
    </row>
    <row r="108" spans="1:25" ht="15" customHeight="1">
      <c r="A108" s="3037">
        <v>81.02</v>
      </c>
      <c r="B108" s="2968" t="s">
        <v>1276</v>
      </c>
      <c r="C108" s="2972"/>
      <c r="D108" s="2973"/>
      <c r="E108" s="2918"/>
      <c r="F108" s="2918"/>
      <c r="G108" s="2919"/>
      <c r="H108" s="2919"/>
      <c r="I108" s="2926"/>
      <c r="J108" s="2926"/>
      <c r="K108" s="2926"/>
      <c r="L108" s="3036">
        <f t="shared" si="28"/>
        <v>0</v>
      </c>
      <c r="M108" s="2948">
        <f t="shared" si="25"/>
        <v>0</v>
      </c>
      <c r="N108" s="2922" t="str">
        <f t="shared" si="17"/>
        <v>-</v>
      </c>
      <c r="O108" s="2919"/>
      <c r="P108" s="2919">
        <f t="shared" si="26"/>
        <v>0</v>
      </c>
      <c r="Q108" s="2919"/>
      <c r="R108" s="2919"/>
      <c r="S108" s="2923">
        <f t="shared" si="27"/>
        <v>0</v>
      </c>
    </row>
    <row r="109" spans="1:25" ht="15" customHeight="1">
      <c r="A109" s="2914" t="s">
        <v>1236</v>
      </c>
      <c r="B109" s="2915" t="s">
        <v>84</v>
      </c>
      <c r="C109" s="2916" t="s">
        <v>1166</v>
      </c>
      <c r="D109" s="2917">
        <v>135</v>
      </c>
      <c r="E109" s="2918">
        <v>2654</v>
      </c>
      <c r="F109" s="2918">
        <v>3668.15</v>
      </c>
      <c r="G109" s="2919">
        <v>3880</v>
      </c>
      <c r="H109" s="2919">
        <v>3880</v>
      </c>
      <c r="I109" s="2926">
        <f>4630.5-I111</f>
        <v>3844.5</v>
      </c>
      <c r="J109" s="2926"/>
      <c r="K109" s="2926"/>
      <c r="L109" s="2926">
        <f t="shared" si="28"/>
        <v>0</v>
      </c>
      <c r="M109" s="2926">
        <f t="shared" si="25"/>
        <v>0</v>
      </c>
      <c r="N109" s="2922" t="str">
        <f t="shared" si="17"/>
        <v>-</v>
      </c>
      <c r="O109" s="2919"/>
      <c r="P109" s="2919">
        <f t="shared" si="26"/>
        <v>495200.25</v>
      </c>
      <c r="Q109" s="2919">
        <f t="shared" ref="Q109:Q155" si="29">D109*G109</f>
        <v>523800</v>
      </c>
      <c r="R109" s="2919">
        <f t="shared" ref="R109:R155" si="30">D109*H109</f>
        <v>523800</v>
      </c>
      <c r="S109" s="2923">
        <f t="shared" si="27"/>
        <v>519007.5</v>
      </c>
    </row>
    <row r="110" spans="1:25" ht="24">
      <c r="A110" s="2914" t="s">
        <v>1236</v>
      </c>
      <c r="B110" s="2915" t="s">
        <v>1277</v>
      </c>
      <c r="C110" s="2916" t="s">
        <v>1166</v>
      </c>
      <c r="D110" s="2917">
        <v>200</v>
      </c>
      <c r="E110" s="2918">
        <v>1580</v>
      </c>
      <c r="F110" s="2918">
        <v>0</v>
      </c>
      <c r="G110" s="2919">
        <v>1458.94</v>
      </c>
      <c r="H110" s="2919">
        <v>1458.94</v>
      </c>
      <c r="I110" s="2926"/>
      <c r="J110" s="2926"/>
      <c r="K110" s="2926"/>
      <c r="L110" s="3036">
        <f t="shared" si="28"/>
        <v>0</v>
      </c>
      <c r="M110" s="2948">
        <f t="shared" si="25"/>
        <v>0</v>
      </c>
      <c r="N110" s="2922" t="str">
        <f t="shared" si="17"/>
        <v>-</v>
      </c>
      <c r="O110" s="2919"/>
      <c r="P110" s="2919">
        <f t="shared" si="26"/>
        <v>0</v>
      </c>
      <c r="Q110" s="2919">
        <f t="shared" si="29"/>
        <v>291788</v>
      </c>
      <c r="R110" s="2919">
        <f t="shared" si="30"/>
        <v>291788</v>
      </c>
      <c r="S110" s="2923">
        <f t="shared" si="27"/>
        <v>0</v>
      </c>
    </row>
    <row r="111" spans="1:25" ht="24">
      <c r="A111" s="2914" t="s">
        <v>1238</v>
      </c>
      <c r="B111" s="2915" t="s">
        <v>1278</v>
      </c>
      <c r="C111" s="2916" t="s">
        <v>1230</v>
      </c>
      <c r="D111" s="2917">
        <v>500</v>
      </c>
      <c r="E111" s="2918">
        <v>865</v>
      </c>
      <c r="F111" s="2918">
        <v>3308.36</v>
      </c>
      <c r="G111" s="2919">
        <v>1832.3</v>
      </c>
      <c r="H111" s="2919">
        <v>1832.3</v>
      </c>
      <c r="I111" s="2926">
        <v>786</v>
      </c>
      <c r="J111" s="2926"/>
      <c r="K111" s="2926"/>
      <c r="L111" s="3036">
        <f t="shared" si="28"/>
        <v>0</v>
      </c>
      <c r="M111" s="2948">
        <f t="shared" si="25"/>
        <v>0</v>
      </c>
      <c r="N111" s="2922" t="str">
        <f t="shared" si="17"/>
        <v>-</v>
      </c>
      <c r="O111" s="2919"/>
      <c r="P111" s="2919">
        <f t="shared" si="26"/>
        <v>1654180</v>
      </c>
      <c r="Q111" s="2919">
        <f t="shared" si="29"/>
        <v>916150</v>
      </c>
      <c r="R111" s="2919">
        <f t="shared" si="30"/>
        <v>916150</v>
      </c>
      <c r="S111" s="2923">
        <f t="shared" si="27"/>
        <v>393000</v>
      </c>
    </row>
    <row r="112" spans="1:25" ht="14.25" customHeight="1">
      <c r="A112" s="2914"/>
      <c r="B112" s="2915"/>
      <c r="C112" s="2916"/>
      <c r="D112" s="2917"/>
      <c r="E112" s="2918"/>
      <c r="F112" s="2918"/>
      <c r="G112" s="2919"/>
      <c r="H112" s="2919"/>
      <c r="I112" s="2926"/>
      <c r="J112" s="2926"/>
      <c r="K112" s="2926"/>
      <c r="L112" s="3036">
        <f t="shared" si="28"/>
        <v>0</v>
      </c>
      <c r="M112" s="2948">
        <f t="shared" si="25"/>
        <v>0</v>
      </c>
      <c r="N112" s="2922" t="str">
        <f t="shared" si="17"/>
        <v>-</v>
      </c>
      <c r="O112" s="2919"/>
      <c r="P112" s="2919">
        <f t="shared" si="26"/>
        <v>0</v>
      </c>
      <c r="Q112" s="2919">
        <f t="shared" si="29"/>
        <v>0</v>
      </c>
      <c r="R112" s="2919">
        <f t="shared" si="30"/>
        <v>0</v>
      </c>
      <c r="S112" s="2923">
        <f t="shared" si="27"/>
        <v>0</v>
      </c>
    </row>
    <row r="113" spans="1:19" ht="15.75" customHeight="1">
      <c r="A113" s="2967">
        <v>81.05</v>
      </c>
      <c r="B113" s="3035" t="s">
        <v>1279</v>
      </c>
      <c r="C113" s="2916"/>
      <c r="D113" s="2917"/>
      <c r="E113" s="2918"/>
      <c r="F113" s="2918"/>
      <c r="G113" s="2919"/>
      <c r="H113" s="2919"/>
      <c r="I113" s="2926"/>
      <c r="J113" s="2926"/>
      <c r="K113" s="2926"/>
      <c r="L113" s="3036">
        <f t="shared" si="28"/>
        <v>0</v>
      </c>
      <c r="M113" s="2948">
        <f t="shared" si="25"/>
        <v>0</v>
      </c>
      <c r="N113" s="2922" t="str">
        <f t="shared" si="17"/>
        <v>-</v>
      </c>
      <c r="O113" s="2919"/>
      <c r="P113" s="2919">
        <f t="shared" si="26"/>
        <v>0</v>
      </c>
      <c r="Q113" s="2919">
        <f t="shared" si="29"/>
        <v>0</v>
      </c>
      <c r="R113" s="2919">
        <f t="shared" si="30"/>
        <v>0</v>
      </c>
      <c r="S113" s="2923">
        <f t="shared" si="27"/>
        <v>0</v>
      </c>
    </row>
    <row r="114" spans="1:19" ht="36">
      <c r="A114" s="2914" t="s">
        <v>576</v>
      </c>
      <c r="B114" s="2965" t="s">
        <v>1280</v>
      </c>
      <c r="C114" s="2916" t="s">
        <v>1230</v>
      </c>
      <c r="D114" s="2917">
        <v>120</v>
      </c>
      <c r="E114" s="2918">
        <v>786</v>
      </c>
      <c r="F114" s="2918">
        <v>199.81</v>
      </c>
      <c r="G114" s="2919">
        <v>0</v>
      </c>
      <c r="H114" s="2919">
        <v>0</v>
      </c>
      <c r="I114" s="2926"/>
      <c r="J114" s="2926"/>
      <c r="K114" s="2926"/>
      <c r="L114" s="3036">
        <f t="shared" si="28"/>
        <v>0</v>
      </c>
      <c r="M114" s="2948">
        <f t="shared" si="25"/>
        <v>0</v>
      </c>
      <c r="N114" s="2922" t="str">
        <f t="shared" si="17"/>
        <v>-</v>
      </c>
      <c r="O114" s="3001"/>
      <c r="P114" s="3001">
        <f t="shared" si="26"/>
        <v>23977.200000000001</v>
      </c>
      <c r="Q114" s="2919">
        <f t="shared" si="29"/>
        <v>0</v>
      </c>
      <c r="R114" s="2919">
        <f t="shared" si="30"/>
        <v>0</v>
      </c>
      <c r="S114" s="2923">
        <f t="shared" si="27"/>
        <v>0</v>
      </c>
    </row>
    <row r="115" spans="1:19" ht="15.75" customHeight="1">
      <c r="A115" s="2914" t="s">
        <v>1281</v>
      </c>
      <c r="B115" s="2965" t="s">
        <v>1282</v>
      </c>
      <c r="C115" s="2916"/>
      <c r="D115" s="2917"/>
      <c r="E115" s="2918"/>
      <c r="F115" s="2918"/>
      <c r="G115" s="2919"/>
      <c r="H115" s="2919"/>
      <c r="I115" s="2926"/>
      <c r="J115" s="2926"/>
      <c r="K115" s="2926"/>
      <c r="L115" s="3036">
        <f t="shared" si="28"/>
        <v>0</v>
      </c>
      <c r="M115" s="2948">
        <f t="shared" si="25"/>
        <v>0</v>
      </c>
      <c r="N115" s="2922" t="str">
        <f t="shared" si="17"/>
        <v>-</v>
      </c>
      <c r="O115" s="2919"/>
      <c r="P115" s="2919">
        <f t="shared" si="26"/>
        <v>0</v>
      </c>
      <c r="Q115" s="2919">
        <f t="shared" si="29"/>
        <v>0</v>
      </c>
      <c r="R115" s="2919">
        <f t="shared" si="30"/>
        <v>0</v>
      </c>
      <c r="S115" s="2923">
        <f t="shared" si="27"/>
        <v>0</v>
      </c>
    </row>
    <row r="116" spans="1:19" ht="15.75" customHeight="1">
      <c r="A116" s="2914" t="s">
        <v>1126</v>
      </c>
      <c r="B116" s="2965" t="s">
        <v>1283</v>
      </c>
      <c r="C116" s="2916" t="s">
        <v>1230</v>
      </c>
      <c r="D116" s="2917">
        <v>190</v>
      </c>
      <c r="E116" s="2918">
        <v>1865</v>
      </c>
      <c r="F116" s="2918">
        <v>2604.5700000000002</v>
      </c>
      <c r="G116" s="2919">
        <v>2478.4</v>
      </c>
      <c r="H116" s="2919">
        <v>2478.4</v>
      </c>
      <c r="I116" s="2926">
        <v>1393.8000000000002</v>
      </c>
      <c r="J116" s="2926"/>
      <c r="K116" s="2926"/>
      <c r="L116" s="2926">
        <f t="shared" si="28"/>
        <v>0</v>
      </c>
      <c r="M116" s="2926">
        <f t="shared" si="25"/>
        <v>0</v>
      </c>
      <c r="N116" s="2922" t="str">
        <f t="shared" si="17"/>
        <v>-</v>
      </c>
      <c r="O116" s="2919"/>
      <c r="P116" s="2919">
        <f t="shared" si="26"/>
        <v>494868.30000000005</v>
      </c>
      <c r="Q116" s="2919">
        <f t="shared" si="29"/>
        <v>470896</v>
      </c>
      <c r="R116" s="2919">
        <f t="shared" si="30"/>
        <v>470896</v>
      </c>
      <c r="S116" s="2923">
        <f t="shared" si="27"/>
        <v>264822.00000000006</v>
      </c>
    </row>
    <row r="117" spans="1:19" ht="15.75" customHeight="1">
      <c r="A117" s="2914" t="s">
        <v>1129</v>
      </c>
      <c r="B117" s="2965" t="s">
        <v>1284</v>
      </c>
      <c r="C117" s="2916" t="s">
        <v>1230</v>
      </c>
      <c r="D117" s="2917">
        <v>300</v>
      </c>
      <c r="E117" s="2918">
        <v>568</v>
      </c>
      <c r="F117" s="2918">
        <v>1177.0899999999999</v>
      </c>
      <c r="G117" s="2919">
        <v>1877.6</v>
      </c>
      <c r="H117" s="2919">
        <v>1877.6</v>
      </c>
      <c r="I117" s="2926">
        <v>1156</v>
      </c>
      <c r="J117" s="2926"/>
      <c r="K117" s="2926"/>
      <c r="L117" s="3036">
        <f t="shared" si="28"/>
        <v>0</v>
      </c>
      <c r="M117" s="2948">
        <f t="shared" si="25"/>
        <v>0</v>
      </c>
      <c r="N117" s="2922" t="str">
        <f t="shared" si="17"/>
        <v>-</v>
      </c>
      <c r="O117" s="2919"/>
      <c r="P117" s="2919">
        <f t="shared" si="26"/>
        <v>353127</v>
      </c>
      <c r="Q117" s="2919">
        <f t="shared" si="29"/>
        <v>563280</v>
      </c>
      <c r="R117" s="2919">
        <f t="shared" si="30"/>
        <v>563280</v>
      </c>
      <c r="S117" s="2923">
        <f t="shared" si="27"/>
        <v>346800</v>
      </c>
    </row>
    <row r="118" spans="1:19" ht="15.75" customHeight="1">
      <c r="A118" s="2914" t="s">
        <v>1132</v>
      </c>
      <c r="B118" s="2965" t="s">
        <v>1285</v>
      </c>
      <c r="C118" s="2916" t="s">
        <v>1230</v>
      </c>
      <c r="D118" s="2917">
        <v>300</v>
      </c>
      <c r="E118" s="2918">
        <v>422</v>
      </c>
      <c r="F118" s="2918"/>
      <c r="G118" s="2919">
        <v>422</v>
      </c>
      <c r="H118" s="2919">
        <v>422</v>
      </c>
      <c r="I118" s="2926">
        <v>422</v>
      </c>
      <c r="J118" s="2926"/>
      <c r="K118" s="2926"/>
      <c r="L118" s="3036">
        <f t="shared" si="28"/>
        <v>0</v>
      </c>
      <c r="M118" s="2948">
        <f t="shared" si="25"/>
        <v>0</v>
      </c>
      <c r="N118" s="2922" t="str">
        <f>IF(L118&gt;0,1-((L118-M118)/L118),"-")</f>
        <v>-</v>
      </c>
      <c r="O118" s="2919"/>
      <c r="P118" s="2919">
        <f t="shared" si="26"/>
        <v>0</v>
      </c>
      <c r="Q118" s="2919">
        <f t="shared" si="29"/>
        <v>126600</v>
      </c>
      <c r="R118" s="2919">
        <f t="shared" si="30"/>
        <v>126600</v>
      </c>
      <c r="S118" s="2923">
        <f t="shared" si="27"/>
        <v>126600</v>
      </c>
    </row>
    <row r="119" spans="1:19" ht="15.75" customHeight="1">
      <c r="A119" s="2914" t="s">
        <v>1134</v>
      </c>
      <c r="B119" s="2965" t="s">
        <v>1286</v>
      </c>
      <c r="C119" s="2916" t="s">
        <v>1230</v>
      </c>
      <c r="D119" s="2917">
        <v>200</v>
      </c>
      <c r="E119" s="2918">
        <v>344</v>
      </c>
      <c r="F119" s="2918">
        <v>742.41</v>
      </c>
      <c r="G119" s="2919">
        <v>344</v>
      </c>
      <c r="H119" s="2919">
        <v>344</v>
      </c>
      <c r="I119" s="2926">
        <v>344</v>
      </c>
      <c r="J119" s="2926"/>
      <c r="K119" s="2926"/>
      <c r="L119" s="3036">
        <f t="shared" si="28"/>
        <v>0</v>
      </c>
      <c r="M119" s="2948">
        <f t="shared" si="25"/>
        <v>0</v>
      </c>
      <c r="N119" s="2922" t="str">
        <f t="shared" ref="N119:N175" si="31">IF(L119&gt;0,1-((L119-M119)/L119),"-")</f>
        <v>-</v>
      </c>
      <c r="O119" s="2919"/>
      <c r="P119" s="2919">
        <f t="shared" si="26"/>
        <v>148482</v>
      </c>
      <c r="Q119" s="2919">
        <f t="shared" si="29"/>
        <v>68800</v>
      </c>
      <c r="R119" s="2919">
        <f t="shared" si="30"/>
        <v>68800</v>
      </c>
      <c r="S119" s="2923">
        <f t="shared" si="27"/>
        <v>68800</v>
      </c>
    </row>
    <row r="120" spans="1:19" ht="15.75" customHeight="1">
      <c r="A120" s="3037">
        <v>82.01</v>
      </c>
      <c r="B120" s="2965" t="s">
        <v>1287</v>
      </c>
      <c r="C120" s="2916"/>
      <c r="D120" s="2917"/>
      <c r="E120" s="2918"/>
      <c r="F120" s="2918"/>
      <c r="G120" s="2919"/>
      <c r="H120" s="2919"/>
      <c r="I120" s="2926"/>
      <c r="J120" s="2926"/>
      <c r="K120" s="2926"/>
      <c r="L120" s="3036">
        <f t="shared" si="28"/>
        <v>0</v>
      </c>
      <c r="M120" s="2948">
        <f t="shared" si="25"/>
        <v>0</v>
      </c>
      <c r="N120" s="2922" t="str">
        <f t="shared" si="31"/>
        <v>-</v>
      </c>
      <c r="O120" s="2919"/>
      <c r="P120" s="2919">
        <f t="shared" si="26"/>
        <v>0</v>
      </c>
      <c r="Q120" s="2919">
        <f t="shared" si="29"/>
        <v>0</v>
      </c>
      <c r="R120" s="2919">
        <f t="shared" si="30"/>
        <v>0</v>
      </c>
      <c r="S120" s="2923">
        <f t="shared" si="27"/>
        <v>0</v>
      </c>
    </row>
    <row r="121" spans="1:19" ht="15.75" customHeight="1">
      <c r="A121" s="2914" t="s">
        <v>576</v>
      </c>
      <c r="B121" s="2965" t="s">
        <v>1288</v>
      </c>
      <c r="C121" s="2916"/>
      <c r="D121" s="2917"/>
      <c r="E121" s="2918"/>
      <c r="F121" s="2918"/>
      <c r="G121" s="2919"/>
      <c r="H121" s="2919"/>
      <c r="I121" s="2926"/>
      <c r="J121" s="2926"/>
      <c r="K121" s="2926"/>
      <c r="L121" s="3036">
        <f t="shared" si="28"/>
        <v>0</v>
      </c>
      <c r="M121" s="2948">
        <f t="shared" si="25"/>
        <v>0</v>
      </c>
      <c r="N121" s="2922" t="str">
        <f t="shared" si="31"/>
        <v>-</v>
      </c>
      <c r="O121" s="2919"/>
      <c r="P121" s="2919">
        <f t="shared" si="26"/>
        <v>0</v>
      </c>
      <c r="Q121" s="2919">
        <f t="shared" si="29"/>
        <v>0</v>
      </c>
      <c r="R121" s="2919">
        <f t="shared" si="30"/>
        <v>0</v>
      </c>
      <c r="S121" s="2923">
        <f t="shared" si="27"/>
        <v>0</v>
      </c>
    </row>
    <row r="122" spans="1:19" ht="15.75" customHeight="1">
      <c r="A122" s="2914" t="s">
        <v>1126</v>
      </c>
      <c r="B122" s="2965" t="s">
        <v>1289</v>
      </c>
      <c r="C122" s="2916" t="s">
        <v>255</v>
      </c>
      <c r="D122" s="2917">
        <v>1000</v>
      </c>
      <c r="E122" s="2918">
        <v>164</v>
      </c>
      <c r="F122" s="2918"/>
      <c r="G122" s="2919">
        <v>260.36</v>
      </c>
      <c r="H122" s="2919">
        <v>260.36</v>
      </c>
      <c r="I122" s="2926">
        <f>H122*4/6</f>
        <v>173.57333333333335</v>
      </c>
      <c r="J122" s="2926"/>
      <c r="K122" s="2926"/>
      <c r="L122" s="3036">
        <f t="shared" si="28"/>
        <v>0</v>
      </c>
      <c r="M122" s="2948">
        <f t="shared" si="25"/>
        <v>0</v>
      </c>
      <c r="N122" s="2922" t="str">
        <f t="shared" si="31"/>
        <v>-</v>
      </c>
      <c r="O122" s="2919"/>
      <c r="P122" s="2919">
        <f t="shared" si="26"/>
        <v>0</v>
      </c>
      <c r="Q122" s="2919">
        <f t="shared" si="29"/>
        <v>260360</v>
      </c>
      <c r="R122" s="2919">
        <f t="shared" si="30"/>
        <v>260360</v>
      </c>
      <c r="S122" s="2923">
        <f t="shared" si="27"/>
        <v>173573.33333333334</v>
      </c>
    </row>
    <row r="123" spans="1:19" ht="15.75" customHeight="1">
      <c r="A123" s="2914" t="s">
        <v>1129</v>
      </c>
      <c r="B123" s="2965" t="s">
        <v>1290</v>
      </c>
      <c r="C123" s="2916" t="s">
        <v>255</v>
      </c>
      <c r="D123" s="2917">
        <v>1000</v>
      </c>
      <c r="E123" s="2918">
        <v>122</v>
      </c>
      <c r="F123" s="2918"/>
      <c r="G123" s="2919">
        <v>0</v>
      </c>
      <c r="H123" s="2919">
        <v>0</v>
      </c>
      <c r="I123" s="2926"/>
      <c r="J123" s="2926"/>
      <c r="K123" s="2926"/>
      <c r="L123" s="3036">
        <f t="shared" si="28"/>
        <v>0</v>
      </c>
      <c r="M123" s="2948">
        <f t="shared" si="25"/>
        <v>0</v>
      </c>
      <c r="N123" s="2922" t="str">
        <f t="shared" si="31"/>
        <v>-</v>
      </c>
      <c r="O123" s="2919"/>
      <c r="P123" s="2919">
        <f t="shared" si="26"/>
        <v>0</v>
      </c>
      <c r="Q123" s="2919">
        <f t="shared" si="29"/>
        <v>0</v>
      </c>
      <c r="R123" s="2919">
        <f t="shared" si="30"/>
        <v>0</v>
      </c>
      <c r="S123" s="2923">
        <f t="shared" si="27"/>
        <v>0</v>
      </c>
    </row>
    <row r="124" spans="1:19" ht="15.75" customHeight="1">
      <c r="A124" s="2974" t="s">
        <v>1132</v>
      </c>
      <c r="B124" s="3018" t="s">
        <v>1291</v>
      </c>
      <c r="C124" s="2976" t="s">
        <v>255</v>
      </c>
      <c r="D124" s="2977">
        <v>1000</v>
      </c>
      <c r="E124" s="2978">
        <v>687</v>
      </c>
      <c r="F124" s="2978"/>
      <c r="G124" s="3020">
        <v>476.36</v>
      </c>
      <c r="H124" s="3020">
        <v>476.36</v>
      </c>
      <c r="I124" s="3021">
        <f>H124</f>
        <v>476.36</v>
      </c>
      <c r="J124" s="3021"/>
      <c r="K124" s="3021"/>
      <c r="L124" s="3021">
        <f t="shared" si="28"/>
        <v>0</v>
      </c>
      <c r="M124" s="3021">
        <f t="shared" si="25"/>
        <v>0</v>
      </c>
      <c r="N124" s="3021" t="str">
        <f t="shared" si="31"/>
        <v>-</v>
      </c>
      <c r="O124" s="3020"/>
      <c r="P124" s="3020">
        <f t="shared" si="26"/>
        <v>0</v>
      </c>
      <c r="Q124" s="3020">
        <f t="shared" si="29"/>
        <v>476360</v>
      </c>
      <c r="R124" s="3020">
        <f t="shared" si="30"/>
        <v>476360</v>
      </c>
      <c r="S124" s="3023">
        <f t="shared" si="27"/>
        <v>476360</v>
      </c>
    </row>
    <row r="125" spans="1:19" ht="15.75" customHeight="1">
      <c r="A125" s="2982" t="s">
        <v>1134</v>
      </c>
      <c r="B125" s="3038" t="s">
        <v>1292</v>
      </c>
      <c r="C125" s="2984" t="s">
        <v>255</v>
      </c>
      <c r="D125" s="3039">
        <v>1000</v>
      </c>
      <c r="E125" s="2956">
        <v>145</v>
      </c>
      <c r="F125" s="2956"/>
      <c r="G125" s="2958">
        <v>0</v>
      </c>
      <c r="H125" s="2958">
        <v>0</v>
      </c>
      <c r="I125" s="2959"/>
      <c r="J125" s="2959"/>
      <c r="K125" s="2959"/>
      <c r="L125" s="3036">
        <f t="shared" si="28"/>
        <v>0</v>
      </c>
      <c r="M125" s="2948">
        <f t="shared" si="25"/>
        <v>0</v>
      </c>
      <c r="N125" s="2922" t="str">
        <f t="shared" si="31"/>
        <v>-</v>
      </c>
      <c r="O125" s="2958"/>
      <c r="P125" s="2958">
        <f t="shared" si="26"/>
        <v>0</v>
      </c>
      <c r="Q125" s="2958">
        <f t="shared" si="29"/>
        <v>0</v>
      </c>
      <c r="R125" s="2958">
        <f t="shared" si="30"/>
        <v>0</v>
      </c>
      <c r="S125" s="2960">
        <f t="shared" si="27"/>
        <v>0</v>
      </c>
    </row>
    <row r="126" spans="1:19" ht="15.75" customHeight="1">
      <c r="A126" s="2914" t="s">
        <v>1281</v>
      </c>
      <c r="B126" s="2965" t="s">
        <v>1293</v>
      </c>
      <c r="C126" s="2916"/>
      <c r="D126" s="2917"/>
      <c r="E126" s="2918"/>
      <c r="F126" s="2918"/>
      <c r="G126" s="2919"/>
      <c r="H126" s="2919"/>
      <c r="I126" s="2926"/>
      <c r="J126" s="2926"/>
      <c r="K126" s="2926"/>
      <c r="L126" s="3036">
        <f t="shared" si="28"/>
        <v>0</v>
      </c>
      <c r="M126" s="2948">
        <f t="shared" si="25"/>
        <v>0</v>
      </c>
      <c r="N126" s="2922" t="str">
        <f t="shared" si="31"/>
        <v>-</v>
      </c>
      <c r="O126" s="2919"/>
      <c r="P126" s="2919">
        <f t="shared" si="26"/>
        <v>0</v>
      </c>
      <c r="Q126" s="2919">
        <f t="shared" si="29"/>
        <v>0</v>
      </c>
      <c r="R126" s="2919">
        <f t="shared" si="30"/>
        <v>0</v>
      </c>
      <c r="S126" s="2923">
        <f t="shared" si="27"/>
        <v>0</v>
      </c>
    </row>
    <row r="127" spans="1:19" ht="15.75" customHeight="1">
      <c r="A127" s="2914" t="s">
        <v>1126</v>
      </c>
      <c r="B127" s="2965" t="s">
        <v>1294</v>
      </c>
      <c r="C127" s="2916" t="s">
        <v>255</v>
      </c>
      <c r="D127" s="2917">
        <v>1000</v>
      </c>
      <c r="E127" s="2918">
        <v>126</v>
      </c>
      <c r="F127" s="2918"/>
      <c r="G127" s="2919">
        <v>753.66</v>
      </c>
      <c r="H127" s="2919">
        <v>753.66</v>
      </c>
      <c r="I127" s="2926">
        <f>H127</f>
        <v>753.66</v>
      </c>
      <c r="J127" s="2926"/>
      <c r="K127" s="2926"/>
      <c r="L127" s="3036">
        <f t="shared" si="28"/>
        <v>0</v>
      </c>
      <c r="M127" s="2948">
        <f t="shared" si="25"/>
        <v>0</v>
      </c>
      <c r="N127" s="2922" t="str">
        <f t="shared" si="31"/>
        <v>-</v>
      </c>
      <c r="O127" s="2919"/>
      <c r="P127" s="2919">
        <f t="shared" si="26"/>
        <v>0</v>
      </c>
      <c r="Q127" s="2919">
        <f t="shared" si="29"/>
        <v>753660</v>
      </c>
      <c r="R127" s="2919">
        <f t="shared" si="30"/>
        <v>753660</v>
      </c>
      <c r="S127" s="2923">
        <f t="shared" si="27"/>
        <v>753660</v>
      </c>
    </row>
    <row r="128" spans="1:19" ht="15.75" customHeight="1">
      <c r="A128" s="2914" t="s">
        <v>1129</v>
      </c>
      <c r="B128" s="2965" t="s">
        <v>1295</v>
      </c>
      <c r="C128" s="2916" t="s">
        <v>255</v>
      </c>
      <c r="D128" s="2917">
        <v>1000</v>
      </c>
      <c r="E128" s="2918">
        <v>224</v>
      </c>
      <c r="F128" s="2918"/>
      <c r="G128" s="2919">
        <v>0</v>
      </c>
      <c r="H128" s="2919">
        <v>0</v>
      </c>
      <c r="I128" s="2926"/>
      <c r="J128" s="2926"/>
      <c r="K128" s="2926"/>
      <c r="L128" s="3036">
        <f t="shared" si="28"/>
        <v>0</v>
      </c>
      <c r="M128" s="2948">
        <f t="shared" si="25"/>
        <v>0</v>
      </c>
      <c r="N128" s="2922" t="str">
        <f t="shared" si="31"/>
        <v>-</v>
      </c>
      <c r="O128" s="2919"/>
      <c r="P128" s="2919">
        <f t="shared" si="26"/>
        <v>0</v>
      </c>
      <c r="Q128" s="2919">
        <f t="shared" si="29"/>
        <v>0</v>
      </c>
      <c r="R128" s="2919">
        <f t="shared" si="30"/>
        <v>0</v>
      </c>
      <c r="S128" s="2923">
        <f t="shared" si="27"/>
        <v>0</v>
      </c>
    </row>
    <row r="129" spans="1:19" ht="15.75" customHeight="1">
      <c r="A129" s="2914" t="s">
        <v>1132</v>
      </c>
      <c r="B129" s="2965" t="s">
        <v>1296</v>
      </c>
      <c r="C129" s="2916" t="s">
        <v>255</v>
      </c>
      <c r="D129" s="2917">
        <v>1000</v>
      </c>
      <c r="E129" s="2918">
        <v>262</v>
      </c>
      <c r="F129" s="2918"/>
      <c r="G129" s="2919">
        <v>0</v>
      </c>
      <c r="H129" s="2919">
        <v>0</v>
      </c>
      <c r="I129" s="2926"/>
      <c r="J129" s="2926"/>
      <c r="K129" s="2926"/>
      <c r="L129" s="3036">
        <f t="shared" si="28"/>
        <v>0</v>
      </c>
      <c r="M129" s="2948">
        <f t="shared" si="25"/>
        <v>0</v>
      </c>
      <c r="N129" s="2922" t="str">
        <f t="shared" si="31"/>
        <v>-</v>
      </c>
      <c r="O129" s="2919"/>
      <c r="P129" s="2919">
        <f t="shared" si="26"/>
        <v>0</v>
      </c>
      <c r="Q129" s="2919">
        <f t="shared" si="29"/>
        <v>0</v>
      </c>
      <c r="R129" s="2919">
        <f t="shared" si="30"/>
        <v>0</v>
      </c>
      <c r="S129" s="2923">
        <f t="shared" si="27"/>
        <v>0</v>
      </c>
    </row>
    <row r="130" spans="1:19" ht="15.75" customHeight="1">
      <c r="A130" s="2914" t="s">
        <v>1134</v>
      </c>
      <c r="B130" s="2965" t="s">
        <v>1297</v>
      </c>
      <c r="C130" s="2916" t="s">
        <v>255</v>
      </c>
      <c r="D130" s="2917">
        <v>1000</v>
      </c>
      <c r="E130" s="2918">
        <v>140</v>
      </c>
      <c r="F130" s="2918"/>
      <c r="G130" s="2919">
        <v>59</v>
      </c>
      <c r="H130" s="2919">
        <v>59</v>
      </c>
      <c r="I130" s="2926">
        <f>H130</f>
        <v>59</v>
      </c>
      <c r="J130" s="2926"/>
      <c r="K130" s="2926"/>
      <c r="L130" s="3036">
        <f t="shared" si="28"/>
        <v>0</v>
      </c>
      <c r="M130" s="2948">
        <f t="shared" si="25"/>
        <v>0</v>
      </c>
      <c r="N130" s="2922" t="str">
        <f t="shared" si="31"/>
        <v>-</v>
      </c>
      <c r="O130" s="2919"/>
      <c r="P130" s="2919">
        <f t="shared" si="26"/>
        <v>0</v>
      </c>
      <c r="Q130" s="2919">
        <f t="shared" si="29"/>
        <v>59000</v>
      </c>
      <c r="R130" s="2919">
        <f t="shared" si="30"/>
        <v>59000</v>
      </c>
      <c r="S130" s="2923">
        <f t="shared" si="27"/>
        <v>59000</v>
      </c>
    </row>
    <row r="131" spans="1:19" ht="15.75" customHeight="1">
      <c r="A131" s="2967">
        <v>83.01</v>
      </c>
      <c r="B131" s="3035" t="s">
        <v>1210</v>
      </c>
      <c r="C131" s="2916"/>
      <c r="D131" s="2917"/>
      <c r="E131" s="2918"/>
      <c r="F131" s="2918"/>
      <c r="G131" s="2919"/>
      <c r="H131" s="2919"/>
      <c r="I131" s="2926"/>
      <c r="J131" s="2926"/>
      <c r="K131" s="2926"/>
      <c r="L131" s="3036">
        <f t="shared" si="28"/>
        <v>0</v>
      </c>
      <c r="M131" s="2948">
        <f t="shared" si="25"/>
        <v>0</v>
      </c>
      <c r="N131" s="2922" t="str">
        <f t="shared" si="31"/>
        <v>-</v>
      </c>
      <c r="O131" s="2919"/>
      <c r="P131" s="2919">
        <f t="shared" si="26"/>
        <v>0</v>
      </c>
      <c r="Q131" s="2919">
        <f t="shared" si="29"/>
        <v>0</v>
      </c>
      <c r="R131" s="2919">
        <f t="shared" si="30"/>
        <v>0</v>
      </c>
      <c r="S131" s="2923">
        <f t="shared" si="27"/>
        <v>0</v>
      </c>
    </row>
    <row r="132" spans="1:19" ht="15.75" customHeight="1">
      <c r="A132" s="2914" t="s">
        <v>576</v>
      </c>
      <c r="B132" s="2965" t="s">
        <v>1298</v>
      </c>
      <c r="C132" s="2916" t="s">
        <v>1299</v>
      </c>
      <c r="D132" s="2917">
        <v>49000</v>
      </c>
      <c r="E132" s="2918">
        <v>24</v>
      </c>
      <c r="F132" s="2918">
        <v>42.1</v>
      </c>
      <c r="G132" s="2919">
        <v>24.73</v>
      </c>
      <c r="H132" s="2919">
        <v>24.73</v>
      </c>
      <c r="I132" s="2926">
        <f>H132</f>
        <v>24.73</v>
      </c>
      <c r="J132" s="2926"/>
      <c r="K132" s="2926"/>
      <c r="L132" s="3036">
        <f t="shared" si="28"/>
        <v>0</v>
      </c>
      <c r="M132" s="2948">
        <f t="shared" si="25"/>
        <v>0</v>
      </c>
      <c r="N132" s="2922" t="str">
        <f t="shared" si="31"/>
        <v>-</v>
      </c>
      <c r="O132" s="2919">
        <f>'[12] Action Plan 2'!E60+'[12] Action Plan 2'!E61</f>
        <v>475006</v>
      </c>
      <c r="P132" s="2919">
        <f t="shared" si="26"/>
        <v>2062900</v>
      </c>
      <c r="Q132" s="2919">
        <f t="shared" si="29"/>
        <v>1211770</v>
      </c>
      <c r="R132" s="2919">
        <f t="shared" si="30"/>
        <v>1211770</v>
      </c>
      <c r="S132" s="2923">
        <f t="shared" si="27"/>
        <v>1211770</v>
      </c>
    </row>
    <row r="133" spans="1:19" ht="15.75" customHeight="1">
      <c r="A133" s="2914" t="s">
        <v>1281</v>
      </c>
      <c r="B133" s="2965" t="s">
        <v>1300</v>
      </c>
      <c r="C133" s="2916" t="s">
        <v>1299</v>
      </c>
      <c r="D133" s="2917">
        <v>49000</v>
      </c>
      <c r="E133" s="2918">
        <v>28</v>
      </c>
      <c r="F133" s="2918">
        <v>24.39</v>
      </c>
      <c r="G133" s="2919">
        <v>33.130000000000003</v>
      </c>
      <c r="H133" s="2919">
        <v>33.130000000000003</v>
      </c>
      <c r="I133" s="2926">
        <f>H133</f>
        <v>33.130000000000003</v>
      </c>
      <c r="J133" s="2926"/>
      <c r="K133" s="2926"/>
      <c r="L133" s="3036">
        <f t="shared" si="28"/>
        <v>0</v>
      </c>
      <c r="M133" s="2948">
        <f t="shared" si="25"/>
        <v>0</v>
      </c>
      <c r="N133" s="2922" t="str">
        <f t="shared" si="31"/>
        <v>-</v>
      </c>
      <c r="O133" s="2919"/>
      <c r="P133" s="2919">
        <f t="shared" si="26"/>
        <v>1195110</v>
      </c>
      <c r="Q133" s="2919">
        <f t="shared" si="29"/>
        <v>1623370.0000000002</v>
      </c>
      <c r="R133" s="2919">
        <f t="shared" si="30"/>
        <v>1623370.0000000002</v>
      </c>
      <c r="S133" s="2923">
        <f t="shared" si="27"/>
        <v>1623370.0000000002</v>
      </c>
    </row>
    <row r="134" spans="1:19" ht="15.75" customHeight="1">
      <c r="A134" s="2967">
        <v>84</v>
      </c>
      <c r="B134" s="3035" t="s">
        <v>1301</v>
      </c>
      <c r="C134" s="2916"/>
      <c r="D134" s="2917"/>
      <c r="E134" s="2918"/>
      <c r="F134" s="2918"/>
      <c r="G134" s="2919"/>
      <c r="H134" s="2919"/>
      <c r="I134" s="2926"/>
      <c r="J134" s="2926"/>
      <c r="K134" s="2926"/>
      <c r="L134" s="3036">
        <f t="shared" si="28"/>
        <v>0</v>
      </c>
      <c r="M134" s="2948">
        <f t="shared" si="25"/>
        <v>0</v>
      </c>
      <c r="N134" s="2922" t="str">
        <f t="shared" si="31"/>
        <v>-</v>
      </c>
      <c r="O134" s="2919"/>
      <c r="P134" s="2919">
        <f t="shared" si="26"/>
        <v>0</v>
      </c>
      <c r="Q134" s="2919">
        <f t="shared" si="29"/>
        <v>0</v>
      </c>
      <c r="R134" s="2919">
        <f t="shared" si="30"/>
        <v>0</v>
      </c>
      <c r="S134" s="2923">
        <f t="shared" si="27"/>
        <v>0</v>
      </c>
    </row>
    <row r="135" spans="1:19" ht="15.75" customHeight="1" thickBot="1">
      <c r="A135" s="3040">
        <v>84.01</v>
      </c>
      <c r="B135" s="3041" t="s">
        <v>1302</v>
      </c>
      <c r="C135" s="3042"/>
      <c r="D135" s="3043"/>
      <c r="E135" s="3044"/>
      <c r="F135" s="3044"/>
      <c r="G135" s="3045"/>
      <c r="H135" s="3045"/>
      <c r="I135" s="3046"/>
      <c r="J135" s="3046"/>
      <c r="K135" s="3046"/>
      <c r="L135" s="3036">
        <f t="shared" si="28"/>
        <v>0</v>
      </c>
      <c r="M135" s="2948">
        <f t="shared" si="25"/>
        <v>0</v>
      </c>
      <c r="N135" s="2922" t="str">
        <f t="shared" si="31"/>
        <v>-</v>
      </c>
      <c r="O135" s="3045"/>
      <c r="P135" s="3045">
        <f t="shared" si="26"/>
        <v>0</v>
      </c>
      <c r="Q135" s="3045">
        <f t="shared" si="29"/>
        <v>0</v>
      </c>
      <c r="R135" s="3045">
        <f t="shared" si="30"/>
        <v>0</v>
      </c>
      <c r="S135" s="3047">
        <f t="shared" si="27"/>
        <v>0</v>
      </c>
    </row>
    <row r="136" spans="1:19" ht="36">
      <c r="A136" s="2982" t="s">
        <v>1303</v>
      </c>
      <c r="B136" s="3038" t="s">
        <v>1304</v>
      </c>
      <c r="C136" s="3048" t="s">
        <v>273</v>
      </c>
      <c r="D136" s="3049">
        <v>5000</v>
      </c>
      <c r="E136" s="2956">
        <v>168</v>
      </c>
      <c r="F136" s="2956">
        <v>713.73</v>
      </c>
      <c r="G136" s="2958">
        <v>759.16</v>
      </c>
      <c r="H136" s="2958">
        <v>759.16</v>
      </c>
      <c r="I136" s="2959">
        <v>759.16</v>
      </c>
      <c r="J136" s="2959"/>
      <c r="K136" s="2959"/>
      <c r="L136" s="3036">
        <f t="shared" si="28"/>
        <v>0</v>
      </c>
      <c r="M136" s="2948">
        <f t="shared" si="25"/>
        <v>0</v>
      </c>
      <c r="N136" s="2922" t="str">
        <f t="shared" si="31"/>
        <v>-</v>
      </c>
      <c r="O136" s="2958">
        <f>'[12] Action Plan 2'!E54+'[12] Action Plan 2'!E55</f>
        <v>372091.3</v>
      </c>
      <c r="P136" s="2958">
        <f t="shared" si="26"/>
        <v>3568650</v>
      </c>
      <c r="Q136" s="2958">
        <f t="shared" si="29"/>
        <v>3795800</v>
      </c>
      <c r="R136" s="2958">
        <f t="shared" si="30"/>
        <v>3795800</v>
      </c>
      <c r="S136" s="2960">
        <f t="shared" si="27"/>
        <v>3795800</v>
      </c>
    </row>
    <row r="137" spans="1:19" ht="36">
      <c r="A137" s="2914" t="s">
        <v>1305</v>
      </c>
      <c r="B137" s="2965" t="s">
        <v>1306</v>
      </c>
      <c r="C137" s="3050" t="s">
        <v>273</v>
      </c>
      <c r="D137" s="3051">
        <v>4900</v>
      </c>
      <c r="E137" s="2918">
        <v>45</v>
      </c>
      <c r="F137" s="2918"/>
      <c r="G137" s="2919">
        <v>26.49</v>
      </c>
      <c r="H137" s="2919">
        <v>26.49</v>
      </c>
      <c r="I137" s="2926">
        <f>H137*4/6</f>
        <v>17.66</v>
      </c>
      <c r="J137" s="2926"/>
      <c r="K137" s="2926"/>
      <c r="L137" s="3036">
        <f t="shared" si="28"/>
        <v>0</v>
      </c>
      <c r="M137" s="2948">
        <f t="shared" si="25"/>
        <v>0</v>
      </c>
      <c r="N137" s="2922" t="str">
        <f t="shared" si="31"/>
        <v>-</v>
      </c>
      <c r="O137" s="2919"/>
      <c r="P137" s="2919">
        <f t="shared" si="26"/>
        <v>0</v>
      </c>
      <c r="Q137" s="2919">
        <f t="shared" si="29"/>
        <v>129800.99999999999</v>
      </c>
      <c r="R137" s="2919">
        <f t="shared" si="30"/>
        <v>129800.99999999999</v>
      </c>
      <c r="S137" s="2923">
        <f t="shared" si="27"/>
        <v>86534</v>
      </c>
    </row>
    <row r="138" spans="1:19" ht="24">
      <c r="A138" s="2914" t="s">
        <v>1307</v>
      </c>
      <c r="B138" s="2965" t="s">
        <v>1308</v>
      </c>
      <c r="C138" s="3050" t="s">
        <v>273</v>
      </c>
      <c r="D138" s="3051">
        <v>4800</v>
      </c>
      <c r="E138" s="2918">
        <v>360</v>
      </c>
      <c r="F138" s="2918">
        <v>193.32</v>
      </c>
      <c r="G138" s="2919">
        <v>154.80000000000001</v>
      </c>
      <c r="H138" s="2919">
        <v>154.80000000000001</v>
      </c>
      <c r="I138" s="2926">
        <f>H138*4/6</f>
        <v>103.2</v>
      </c>
      <c r="J138" s="2926"/>
      <c r="K138" s="2926"/>
      <c r="L138" s="3036">
        <f t="shared" si="28"/>
        <v>0</v>
      </c>
      <c r="M138" s="2948">
        <f t="shared" si="25"/>
        <v>0</v>
      </c>
      <c r="N138" s="2922" t="str">
        <f t="shared" si="31"/>
        <v>-</v>
      </c>
      <c r="O138" s="2919"/>
      <c r="P138" s="2919">
        <f t="shared" si="26"/>
        <v>927936</v>
      </c>
      <c r="Q138" s="2919">
        <f t="shared" si="29"/>
        <v>743040</v>
      </c>
      <c r="R138" s="2919">
        <f t="shared" si="30"/>
        <v>743040</v>
      </c>
      <c r="S138" s="2923">
        <f t="shared" si="27"/>
        <v>495360</v>
      </c>
    </row>
    <row r="139" spans="1:19" ht="24">
      <c r="A139" s="2914" t="s">
        <v>1309</v>
      </c>
      <c r="B139" s="2965" t="s">
        <v>1310</v>
      </c>
      <c r="C139" s="3050" t="s">
        <v>273</v>
      </c>
      <c r="D139" s="3051">
        <v>4000</v>
      </c>
      <c r="E139" s="2918">
        <v>0</v>
      </c>
      <c r="F139" s="2918"/>
      <c r="G139" s="2919">
        <v>0</v>
      </c>
      <c r="H139" s="2919">
        <v>0</v>
      </c>
      <c r="I139" s="2926"/>
      <c r="J139" s="2926"/>
      <c r="K139" s="2926"/>
      <c r="L139" s="3036">
        <f t="shared" si="28"/>
        <v>0</v>
      </c>
      <c r="M139" s="2948">
        <f t="shared" si="25"/>
        <v>0</v>
      </c>
      <c r="N139" s="2922" t="str">
        <f t="shared" si="31"/>
        <v>-</v>
      </c>
      <c r="O139" s="2919"/>
      <c r="P139" s="2919">
        <f t="shared" si="26"/>
        <v>0</v>
      </c>
      <c r="Q139" s="2919">
        <f t="shared" si="29"/>
        <v>0</v>
      </c>
      <c r="R139" s="2919">
        <f t="shared" si="30"/>
        <v>0</v>
      </c>
      <c r="S139" s="2923">
        <f t="shared" si="27"/>
        <v>0</v>
      </c>
    </row>
    <row r="140" spans="1:19" ht="24">
      <c r="A140" s="2914" t="s">
        <v>1309</v>
      </c>
      <c r="B140" s="2965" t="s">
        <v>1311</v>
      </c>
      <c r="C140" s="3050" t="s">
        <v>273</v>
      </c>
      <c r="D140" s="3051">
        <v>3800</v>
      </c>
      <c r="E140" s="2918">
        <v>22</v>
      </c>
      <c r="F140" s="2918"/>
      <c r="G140" s="2919">
        <v>94.3</v>
      </c>
      <c r="H140" s="2919">
        <v>94.3</v>
      </c>
      <c r="I140" s="2926">
        <f>H140*4/6</f>
        <v>62.866666666666667</v>
      </c>
      <c r="J140" s="2926"/>
      <c r="K140" s="2926"/>
      <c r="L140" s="3036">
        <f t="shared" si="28"/>
        <v>0</v>
      </c>
      <c r="M140" s="2948">
        <f t="shared" si="25"/>
        <v>0</v>
      </c>
      <c r="N140" s="2922" t="str">
        <f t="shared" si="31"/>
        <v>-</v>
      </c>
      <c r="O140" s="2919"/>
      <c r="P140" s="2919">
        <f t="shared" si="26"/>
        <v>0</v>
      </c>
      <c r="Q140" s="2919">
        <f t="shared" si="29"/>
        <v>358340</v>
      </c>
      <c r="R140" s="2919">
        <f t="shared" si="30"/>
        <v>358340</v>
      </c>
      <c r="S140" s="2923">
        <f t="shared" si="27"/>
        <v>238893.33333333334</v>
      </c>
    </row>
    <row r="141" spans="1:19" ht="15.75" customHeight="1">
      <c r="A141" s="2914" t="s">
        <v>1312</v>
      </c>
      <c r="B141" s="2965" t="s">
        <v>1313</v>
      </c>
      <c r="C141" s="3052"/>
      <c r="D141" s="3053"/>
      <c r="E141" s="2918"/>
      <c r="F141" s="2918"/>
      <c r="G141" s="2919"/>
      <c r="H141" s="2919"/>
      <c r="I141" s="2926"/>
      <c r="J141" s="2926"/>
      <c r="K141" s="2926"/>
      <c r="L141" s="3036">
        <f t="shared" si="28"/>
        <v>0</v>
      </c>
      <c r="M141" s="2948">
        <f t="shared" si="25"/>
        <v>0</v>
      </c>
      <c r="N141" s="2922" t="str">
        <f t="shared" si="31"/>
        <v>-</v>
      </c>
      <c r="O141" s="2919"/>
      <c r="P141" s="2919">
        <f t="shared" si="26"/>
        <v>0</v>
      </c>
      <c r="Q141" s="2919">
        <f t="shared" si="29"/>
        <v>0</v>
      </c>
      <c r="R141" s="2919">
        <f t="shared" si="30"/>
        <v>0</v>
      </c>
      <c r="S141" s="2923">
        <f t="shared" si="27"/>
        <v>0</v>
      </c>
    </row>
    <row r="142" spans="1:19" ht="15.75" customHeight="1">
      <c r="A142" s="2914" t="s">
        <v>1314</v>
      </c>
      <c r="B142" s="2965" t="s">
        <v>1315</v>
      </c>
      <c r="C142" s="3050" t="s">
        <v>505</v>
      </c>
      <c r="D142" s="3051">
        <v>30000</v>
      </c>
      <c r="E142" s="2918">
        <v>0</v>
      </c>
      <c r="F142" s="2918"/>
      <c r="G142" s="2919">
        <v>0</v>
      </c>
      <c r="H142" s="2919">
        <v>0</v>
      </c>
      <c r="I142" s="2926"/>
      <c r="J142" s="2926"/>
      <c r="K142" s="2926"/>
      <c r="L142" s="3036">
        <f t="shared" si="28"/>
        <v>0</v>
      </c>
      <c r="M142" s="2948">
        <f t="shared" si="25"/>
        <v>0</v>
      </c>
      <c r="N142" s="2922" t="str">
        <f t="shared" si="31"/>
        <v>-</v>
      </c>
      <c r="O142" s="2919">
        <f>D142*E142</f>
        <v>0</v>
      </c>
      <c r="P142" s="2919">
        <f t="shared" si="26"/>
        <v>0</v>
      </c>
      <c r="Q142" s="2919">
        <f t="shared" si="29"/>
        <v>0</v>
      </c>
      <c r="R142" s="2919">
        <f t="shared" si="30"/>
        <v>0</v>
      </c>
      <c r="S142" s="2923">
        <f t="shared" si="27"/>
        <v>0</v>
      </c>
    </row>
    <row r="143" spans="1:19" ht="15.75" customHeight="1">
      <c r="A143" s="2914" t="s">
        <v>1316</v>
      </c>
      <c r="B143" s="2965" t="s">
        <v>1317</v>
      </c>
      <c r="C143" s="3050" t="s">
        <v>505</v>
      </c>
      <c r="D143" s="3051">
        <v>30000</v>
      </c>
      <c r="E143" s="2918">
        <v>0</v>
      </c>
      <c r="F143" s="2918"/>
      <c r="G143" s="2919">
        <v>0</v>
      </c>
      <c r="H143" s="2919">
        <v>0</v>
      </c>
      <c r="I143" s="2926"/>
      <c r="J143" s="2926"/>
      <c r="K143" s="2926"/>
      <c r="L143" s="3036">
        <f t="shared" si="28"/>
        <v>0</v>
      </c>
      <c r="M143" s="2948">
        <f t="shared" si="25"/>
        <v>0</v>
      </c>
      <c r="N143" s="2922" t="str">
        <f t="shared" si="31"/>
        <v>-</v>
      </c>
      <c r="O143" s="2919">
        <f>D143*E143</f>
        <v>0</v>
      </c>
      <c r="P143" s="2919">
        <f t="shared" si="26"/>
        <v>0</v>
      </c>
      <c r="Q143" s="2919">
        <f t="shared" si="29"/>
        <v>0</v>
      </c>
      <c r="R143" s="2919">
        <f t="shared" si="30"/>
        <v>0</v>
      </c>
      <c r="S143" s="2923">
        <f t="shared" si="27"/>
        <v>0</v>
      </c>
    </row>
    <row r="144" spans="1:19" ht="15.75" customHeight="1">
      <c r="A144" s="2914" t="s">
        <v>1281</v>
      </c>
      <c r="B144" s="2965" t="s">
        <v>1318</v>
      </c>
      <c r="C144" s="3050" t="s">
        <v>505</v>
      </c>
      <c r="D144" s="3051">
        <v>30000</v>
      </c>
      <c r="E144" s="2918">
        <v>12</v>
      </c>
      <c r="F144" s="2918">
        <v>16</v>
      </c>
      <c r="G144" s="2919">
        <v>16</v>
      </c>
      <c r="H144" s="2919">
        <v>16</v>
      </c>
      <c r="I144" s="2926">
        <v>16</v>
      </c>
      <c r="J144" s="2926"/>
      <c r="K144" s="2926"/>
      <c r="L144" s="3036">
        <f t="shared" si="28"/>
        <v>0</v>
      </c>
      <c r="M144" s="2948">
        <f t="shared" si="25"/>
        <v>0</v>
      </c>
      <c r="N144" s="2922" t="str">
        <f t="shared" si="31"/>
        <v>-</v>
      </c>
      <c r="O144" s="2919"/>
      <c r="P144" s="2919">
        <f t="shared" si="26"/>
        <v>480000</v>
      </c>
      <c r="Q144" s="2919">
        <f t="shared" si="29"/>
        <v>480000</v>
      </c>
      <c r="R144" s="2919">
        <f t="shared" si="30"/>
        <v>480000</v>
      </c>
      <c r="S144" s="2923">
        <f t="shared" si="27"/>
        <v>480000</v>
      </c>
    </row>
    <row r="145" spans="1:21" ht="24">
      <c r="A145" s="2914">
        <v>87.07</v>
      </c>
      <c r="B145" s="2965" t="s">
        <v>1319</v>
      </c>
      <c r="C145" s="3050" t="s">
        <v>242</v>
      </c>
      <c r="D145" s="3051">
        <v>500</v>
      </c>
      <c r="E145" s="2918">
        <v>240</v>
      </c>
      <c r="F145" s="2918"/>
      <c r="G145" s="2919">
        <v>0</v>
      </c>
      <c r="H145" s="2919">
        <v>0</v>
      </c>
      <c r="I145" s="2926"/>
      <c r="J145" s="2926"/>
      <c r="K145" s="2926"/>
      <c r="L145" s="3036">
        <f t="shared" si="28"/>
        <v>0</v>
      </c>
      <c r="M145" s="2948">
        <f t="shared" si="25"/>
        <v>0</v>
      </c>
      <c r="N145" s="2922" t="str">
        <f t="shared" si="31"/>
        <v>-</v>
      </c>
      <c r="O145" s="2919"/>
      <c r="P145" s="2919">
        <f t="shared" si="26"/>
        <v>0</v>
      </c>
      <c r="Q145" s="2919">
        <f t="shared" si="29"/>
        <v>0</v>
      </c>
      <c r="R145" s="2919">
        <f t="shared" si="30"/>
        <v>0</v>
      </c>
      <c r="S145" s="2923">
        <f t="shared" si="27"/>
        <v>0</v>
      </c>
    </row>
    <row r="146" spans="1:21" ht="15" customHeight="1">
      <c r="A146" s="2914" t="s">
        <v>571</v>
      </c>
      <c r="B146" s="2965" t="s">
        <v>1320</v>
      </c>
      <c r="C146" s="3050" t="s">
        <v>242</v>
      </c>
      <c r="D146" s="3051">
        <v>500</v>
      </c>
      <c r="E146" s="2918">
        <v>64</v>
      </c>
      <c r="F146" s="2918">
        <v>135.35</v>
      </c>
      <c r="G146" s="2919">
        <v>135</v>
      </c>
      <c r="H146" s="2919">
        <v>135</v>
      </c>
      <c r="I146" s="2926">
        <v>135</v>
      </c>
      <c r="J146" s="2926"/>
      <c r="K146" s="2926"/>
      <c r="L146" s="3036">
        <f t="shared" si="28"/>
        <v>0</v>
      </c>
      <c r="M146" s="2948">
        <f t="shared" si="25"/>
        <v>0</v>
      </c>
      <c r="N146" s="2922" t="str">
        <f t="shared" si="31"/>
        <v>-</v>
      </c>
      <c r="O146" s="2919"/>
      <c r="P146" s="2919">
        <f t="shared" si="26"/>
        <v>67675</v>
      </c>
      <c r="Q146" s="2919">
        <f t="shared" si="29"/>
        <v>67500</v>
      </c>
      <c r="R146" s="2919">
        <f t="shared" si="30"/>
        <v>67500</v>
      </c>
      <c r="S146" s="2923">
        <f t="shared" si="27"/>
        <v>67500</v>
      </c>
    </row>
    <row r="147" spans="1:21" ht="15.75" customHeight="1">
      <c r="A147" s="2914" t="s">
        <v>573</v>
      </c>
      <c r="B147" s="2965" t="s">
        <v>574</v>
      </c>
      <c r="C147" s="3050" t="s">
        <v>531</v>
      </c>
      <c r="D147" s="3051">
        <v>200</v>
      </c>
      <c r="E147" s="2918">
        <v>240</v>
      </c>
      <c r="F147" s="2918"/>
      <c r="G147" s="2919">
        <v>60</v>
      </c>
      <c r="H147" s="2919">
        <v>60</v>
      </c>
      <c r="I147" s="2926">
        <v>60</v>
      </c>
      <c r="J147" s="2926"/>
      <c r="K147" s="2926"/>
      <c r="L147" s="3036">
        <f t="shared" si="28"/>
        <v>0</v>
      </c>
      <c r="M147" s="2948">
        <f t="shared" si="25"/>
        <v>0</v>
      </c>
      <c r="N147" s="2922" t="str">
        <f t="shared" si="31"/>
        <v>-</v>
      </c>
      <c r="O147" s="2919"/>
      <c r="P147" s="2919">
        <f t="shared" si="26"/>
        <v>0</v>
      </c>
      <c r="Q147" s="2919">
        <f t="shared" si="29"/>
        <v>12000</v>
      </c>
      <c r="R147" s="2919">
        <f t="shared" si="30"/>
        <v>12000</v>
      </c>
      <c r="S147" s="2923">
        <f t="shared" si="27"/>
        <v>12000</v>
      </c>
    </row>
    <row r="148" spans="1:21" ht="16.5" customHeight="1">
      <c r="A148" s="2914">
        <v>87.13</v>
      </c>
      <c r="B148" s="2965" t="s">
        <v>1321</v>
      </c>
      <c r="C148" s="3052"/>
      <c r="D148" s="3053"/>
      <c r="E148" s="2918"/>
      <c r="F148" s="2918"/>
      <c r="G148" s="2919"/>
      <c r="H148" s="2919"/>
      <c r="I148" s="2926"/>
      <c r="J148" s="2926"/>
      <c r="K148" s="2926"/>
      <c r="L148" s="3036">
        <f t="shared" si="28"/>
        <v>0</v>
      </c>
      <c r="M148" s="2948">
        <f t="shared" si="25"/>
        <v>0</v>
      </c>
      <c r="N148" s="2922" t="str">
        <f t="shared" si="31"/>
        <v>-</v>
      </c>
      <c r="O148" s="2919"/>
      <c r="P148" s="2919">
        <f t="shared" si="26"/>
        <v>0</v>
      </c>
      <c r="Q148" s="2919">
        <f t="shared" si="29"/>
        <v>0</v>
      </c>
      <c r="R148" s="2919">
        <f t="shared" si="30"/>
        <v>0</v>
      </c>
      <c r="S148" s="2923">
        <f t="shared" si="27"/>
        <v>0</v>
      </c>
    </row>
    <row r="149" spans="1:21" ht="24">
      <c r="A149" s="2914" t="s">
        <v>576</v>
      </c>
      <c r="B149" s="2965" t="s">
        <v>1322</v>
      </c>
      <c r="C149" s="3050" t="s">
        <v>242</v>
      </c>
      <c r="D149" s="3051">
        <v>100</v>
      </c>
      <c r="E149" s="2918">
        <v>116.4</v>
      </c>
      <c r="F149" s="2918">
        <v>116.4</v>
      </c>
      <c r="G149" s="3001">
        <v>116.4</v>
      </c>
      <c r="H149" s="3001">
        <v>116.4</v>
      </c>
      <c r="I149" s="3002">
        <v>116.4</v>
      </c>
      <c r="J149" s="3002"/>
      <c r="K149" s="3002"/>
      <c r="L149" s="3036">
        <f t="shared" si="28"/>
        <v>0</v>
      </c>
      <c r="M149" s="2948">
        <f t="shared" si="25"/>
        <v>0</v>
      </c>
      <c r="N149" s="2922" t="str">
        <f t="shared" si="31"/>
        <v>-</v>
      </c>
      <c r="O149" s="3001"/>
      <c r="P149" s="3001">
        <f t="shared" si="26"/>
        <v>11640</v>
      </c>
      <c r="Q149" s="3001">
        <f t="shared" si="29"/>
        <v>11640</v>
      </c>
      <c r="R149" s="3001">
        <f t="shared" si="30"/>
        <v>11640</v>
      </c>
      <c r="S149" s="3003">
        <f t="shared" si="27"/>
        <v>11640</v>
      </c>
    </row>
    <row r="150" spans="1:21" ht="18" customHeight="1">
      <c r="A150" s="2967">
        <v>87.16</v>
      </c>
      <c r="B150" s="3035" t="s">
        <v>578</v>
      </c>
      <c r="C150" s="3052"/>
      <c r="D150" s="3053"/>
      <c r="E150" s="2918"/>
      <c r="F150" s="2918"/>
      <c r="G150" s="2919"/>
      <c r="H150" s="2919"/>
      <c r="I150" s="2926"/>
      <c r="J150" s="2926"/>
      <c r="K150" s="2926"/>
      <c r="L150" s="3036">
        <f t="shared" si="28"/>
        <v>0</v>
      </c>
      <c r="M150" s="2948">
        <f t="shared" si="25"/>
        <v>0</v>
      </c>
      <c r="N150" s="2922" t="str">
        <f t="shared" si="31"/>
        <v>-</v>
      </c>
      <c r="O150" s="2919"/>
      <c r="P150" s="2919">
        <f t="shared" si="26"/>
        <v>0</v>
      </c>
      <c r="Q150" s="2919">
        <f t="shared" si="29"/>
        <v>0</v>
      </c>
      <c r="R150" s="2919">
        <f t="shared" si="30"/>
        <v>0</v>
      </c>
      <c r="S150" s="2923">
        <f t="shared" si="27"/>
        <v>0</v>
      </c>
    </row>
    <row r="151" spans="1:21" ht="24">
      <c r="A151" s="2914" t="s">
        <v>576</v>
      </c>
      <c r="B151" s="2965" t="s">
        <v>1323</v>
      </c>
      <c r="C151" s="3050" t="s">
        <v>242</v>
      </c>
      <c r="D151" s="3051">
        <v>100</v>
      </c>
      <c r="E151" s="2918">
        <v>116.4</v>
      </c>
      <c r="F151" s="2918">
        <v>116.4</v>
      </c>
      <c r="G151" s="3001">
        <v>116.4</v>
      </c>
      <c r="H151" s="3001">
        <v>116.4</v>
      </c>
      <c r="I151" s="3002">
        <v>116.4</v>
      </c>
      <c r="J151" s="3002"/>
      <c r="K151" s="3002"/>
      <c r="L151" s="3036">
        <f t="shared" si="28"/>
        <v>0</v>
      </c>
      <c r="M151" s="2948">
        <f t="shared" si="25"/>
        <v>0</v>
      </c>
      <c r="N151" s="2922" t="str">
        <f t="shared" si="31"/>
        <v>-</v>
      </c>
      <c r="O151" s="3001"/>
      <c r="P151" s="3001">
        <f t="shared" si="26"/>
        <v>11640</v>
      </c>
      <c r="Q151" s="3001">
        <f t="shared" si="29"/>
        <v>11640</v>
      </c>
      <c r="R151" s="3001">
        <f t="shared" si="30"/>
        <v>11640</v>
      </c>
      <c r="S151" s="3003">
        <f t="shared" si="27"/>
        <v>11640</v>
      </c>
    </row>
    <row r="152" spans="1:21" ht="18.75" customHeight="1">
      <c r="A152" s="2914">
        <v>89.01</v>
      </c>
      <c r="B152" s="2965" t="s">
        <v>1324</v>
      </c>
      <c r="C152" s="3052"/>
      <c r="D152" s="3053"/>
      <c r="E152" s="2918"/>
      <c r="F152" s="2918"/>
      <c r="G152" s="2919"/>
      <c r="H152" s="2919"/>
      <c r="I152" s="2926"/>
      <c r="J152" s="2926"/>
      <c r="K152" s="2926"/>
      <c r="L152" s="3036">
        <f t="shared" si="28"/>
        <v>0</v>
      </c>
      <c r="M152" s="2948">
        <f t="shared" si="25"/>
        <v>0</v>
      </c>
      <c r="N152" s="2922" t="str">
        <f t="shared" si="31"/>
        <v>-</v>
      </c>
      <c r="O152" s="2919"/>
      <c r="P152" s="2919">
        <f t="shared" si="26"/>
        <v>0</v>
      </c>
      <c r="Q152" s="2919">
        <f t="shared" si="29"/>
        <v>0</v>
      </c>
      <c r="R152" s="2919">
        <f t="shared" si="30"/>
        <v>0</v>
      </c>
      <c r="S152" s="2923">
        <f t="shared" si="27"/>
        <v>0</v>
      </c>
    </row>
    <row r="153" spans="1:21" ht="24">
      <c r="A153" s="2914" t="s">
        <v>576</v>
      </c>
      <c r="B153" s="2965" t="s">
        <v>1325</v>
      </c>
      <c r="C153" s="3050" t="s">
        <v>273</v>
      </c>
      <c r="D153" s="3051">
        <v>1800</v>
      </c>
      <c r="E153" s="2918">
        <v>2956</v>
      </c>
      <c r="F153" s="2918">
        <v>3777.94</v>
      </c>
      <c r="G153" s="3001">
        <v>3633.4</v>
      </c>
      <c r="H153" s="3001">
        <v>3633.4</v>
      </c>
      <c r="I153" s="3002">
        <v>2335.5</v>
      </c>
      <c r="J153" s="3002"/>
      <c r="K153" s="3002"/>
      <c r="L153" s="3036">
        <f t="shared" si="28"/>
        <v>0</v>
      </c>
      <c r="M153" s="2948">
        <f t="shared" si="25"/>
        <v>0</v>
      </c>
      <c r="N153" s="2922" t="str">
        <f t="shared" si="31"/>
        <v>-</v>
      </c>
      <c r="O153" s="3001"/>
      <c r="P153" s="3001">
        <f t="shared" si="26"/>
        <v>6800292</v>
      </c>
      <c r="Q153" s="3001">
        <f t="shared" si="29"/>
        <v>6540120</v>
      </c>
      <c r="R153" s="3001">
        <f t="shared" si="30"/>
        <v>6540120</v>
      </c>
      <c r="S153" s="3003">
        <f t="shared" si="27"/>
        <v>4203900</v>
      </c>
    </row>
    <row r="154" spans="1:21" ht="15">
      <c r="A154" s="2914" t="s">
        <v>1281</v>
      </c>
      <c r="B154" s="2965" t="s">
        <v>581</v>
      </c>
      <c r="C154" s="3054" t="s">
        <v>255</v>
      </c>
      <c r="D154" s="3055">
        <v>100</v>
      </c>
      <c r="E154" s="2918">
        <v>642</v>
      </c>
      <c r="F154" s="2918"/>
      <c r="G154" s="2919">
        <v>1872</v>
      </c>
      <c r="H154" s="2919">
        <v>1872</v>
      </c>
      <c r="I154" s="2926">
        <v>1872</v>
      </c>
      <c r="J154" s="2926"/>
      <c r="K154" s="2926"/>
      <c r="L154" s="3036">
        <f t="shared" si="28"/>
        <v>0</v>
      </c>
      <c r="M154" s="2948">
        <f t="shared" si="25"/>
        <v>0</v>
      </c>
      <c r="N154" s="2922" t="str">
        <f t="shared" si="31"/>
        <v>-</v>
      </c>
      <c r="O154" s="2919"/>
      <c r="P154" s="2919">
        <f t="shared" si="26"/>
        <v>0</v>
      </c>
      <c r="Q154" s="2919">
        <f t="shared" si="29"/>
        <v>187200</v>
      </c>
      <c r="R154" s="2919">
        <f t="shared" si="30"/>
        <v>187200</v>
      </c>
      <c r="S154" s="2923">
        <f t="shared" si="27"/>
        <v>187200</v>
      </c>
    </row>
    <row r="155" spans="1:21" ht="24.75" thickBot="1">
      <c r="A155" s="3056">
        <v>91.01</v>
      </c>
      <c r="B155" s="3057" t="s">
        <v>1326</v>
      </c>
      <c r="C155" s="3058" t="s">
        <v>273</v>
      </c>
      <c r="D155" s="3059">
        <v>1800</v>
      </c>
      <c r="E155" s="3044">
        <v>185</v>
      </c>
      <c r="F155" s="3044"/>
      <c r="G155" s="3045">
        <v>185</v>
      </c>
      <c r="H155" s="3044">
        <v>185</v>
      </c>
      <c r="I155" s="3060">
        <v>185</v>
      </c>
      <c r="J155" s="3060"/>
      <c r="K155" s="3060"/>
      <c r="L155" s="3060">
        <f t="shared" si="28"/>
        <v>0</v>
      </c>
      <c r="M155" s="3060">
        <f t="shared" si="25"/>
        <v>0</v>
      </c>
      <c r="N155" s="3060" t="str">
        <f t="shared" si="31"/>
        <v>-</v>
      </c>
      <c r="O155" s="3045"/>
      <c r="P155" s="3045">
        <f t="shared" si="26"/>
        <v>0</v>
      </c>
      <c r="Q155" s="3045">
        <f t="shared" si="29"/>
        <v>333000</v>
      </c>
      <c r="R155" s="3045">
        <f t="shared" si="30"/>
        <v>333000</v>
      </c>
      <c r="S155" s="3047">
        <f t="shared" si="27"/>
        <v>333000</v>
      </c>
    </row>
    <row r="156" spans="1:21" ht="15">
      <c r="A156" s="3061">
        <v>9100</v>
      </c>
      <c r="B156" s="3038" t="s">
        <v>1327</v>
      </c>
      <c r="C156" s="3048"/>
      <c r="D156" s="3049"/>
      <c r="E156" s="2956"/>
      <c r="F156" s="2956"/>
      <c r="G156" s="2958"/>
      <c r="H156" s="2958"/>
      <c r="I156" s="2959"/>
      <c r="J156" s="2959"/>
      <c r="K156" s="2959"/>
      <c r="L156" s="3036">
        <f t="shared" si="28"/>
        <v>0</v>
      </c>
      <c r="M156" s="2948">
        <f t="shared" si="25"/>
        <v>0</v>
      </c>
      <c r="N156" s="2922" t="str">
        <f t="shared" si="31"/>
        <v>-</v>
      </c>
      <c r="O156" s="2958"/>
      <c r="P156" s="2958">
        <f t="shared" si="26"/>
        <v>0</v>
      </c>
      <c r="Q156" s="2958"/>
      <c r="R156" s="2958"/>
      <c r="S156" s="2960">
        <f t="shared" si="27"/>
        <v>0</v>
      </c>
      <c r="U156" s="2951">
        <v>3541.54</v>
      </c>
    </row>
    <row r="157" spans="1:21" ht="24">
      <c r="A157" s="2914">
        <v>91.01</v>
      </c>
      <c r="B157" s="2965" t="s">
        <v>1328</v>
      </c>
      <c r="C157" s="2916"/>
      <c r="D157" s="2917"/>
      <c r="E157" s="2918"/>
      <c r="F157" s="2918"/>
      <c r="G157" s="2919"/>
      <c r="H157" s="2919"/>
      <c r="I157" s="2926"/>
      <c r="J157" s="2926"/>
      <c r="K157" s="2926"/>
      <c r="L157" s="3036">
        <f t="shared" si="28"/>
        <v>0</v>
      </c>
      <c r="M157" s="2948">
        <f t="shared" si="25"/>
        <v>0</v>
      </c>
      <c r="N157" s="2922" t="str">
        <f t="shared" si="31"/>
        <v>-</v>
      </c>
      <c r="O157" s="2919"/>
      <c r="P157" s="2919">
        <f t="shared" si="26"/>
        <v>0</v>
      </c>
      <c r="Q157" s="2919">
        <f t="shared" ref="Q157:Q162" si="32">D157*G157</f>
        <v>0</v>
      </c>
      <c r="R157" s="2919">
        <f t="shared" ref="R157:R162" si="33">D157*H157</f>
        <v>0</v>
      </c>
      <c r="S157" s="2923">
        <f t="shared" si="27"/>
        <v>0</v>
      </c>
      <c r="U157" s="3062">
        <f>H153-U156</f>
        <v>91.860000000000127</v>
      </c>
    </row>
    <row r="158" spans="1:21" ht="18" customHeight="1">
      <c r="A158" s="2914" t="s">
        <v>1303</v>
      </c>
      <c r="B158" s="2965" t="s">
        <v>1329</v>
      </c>
      <c r="C158" s="3050" t="s">
        <v>273</v>
      </c>
      <c r="D158" s="2917">
        <v>135</v>
      </c>
      <c r="E158" s="2918">
        <v>156</v>
      </c>
      <c r="F158" s="2918">
        <v>220.5</v>
      </c>
      <c r="G158" s="2919">
        <v>156</v>
      </c>
      <c r="H158" s="2919">
        <v>156</v>
      </c>
      <c r="I158" s="2926">
        <v>156</v>
      </c>
      <c r="J158" s="2926"/>
      <c r="K158" s="2926"/>
      <c r="L158" s="3036">
        <f t="shared" si="28"/>
        <v>0</v>
      </c>
      <c r="M158" s="2948">
        <f t="shared" si="25"/>
        <v>0</v>
      </c>
      <c r="N158" s="2922" t="str">
        <f t="shared" si="31"/>
        <v>-</v>
      </c>
      <c r="O158" s="2919"/>
      <c r="P158" s="2919">
        <f t="shared" si="26"/>
        <v>29767.5</v>
      </c>
      <c r="Q158" s="2919">
        <f t="shared" si="32"/>
        <v>21060</v>
      </c>
      <c r="R158" s="2919">
        <f t="shared" si="33"/>
        <v>21060</v>
      </c>
      <c r="S158" s="2923">
        <f t="shared" si="27"/>
        <v>21060</v>
      </c>
      <c r="U158" s="3062">
        <f>U157*D155</f>
        <v>165348.00000000023</v>
      </c>
    </row>
    <row r="159" spans="1:21" ht="15">
      <c r="A159" s="2914" t="s">
        <v>1305</v>
      </c>
      <c r="B159" s="2965" t="s">
        <v>1330</v>
      </c>
      <c r="C159" s="3050" t="s">
        <v>273</v>
      </c>
      <c r="D159" s="2917">
        <v>190</v>
      </c>
      <c r="E159" s="2918">
        <v>34</v>
      </c>
      <c r="F159" s="2918">
        <v>22.58</v>
      </c>
      <c r="G159" s="2919">
        <v>34</v>
      </c>
      <c r="H159" s="2919">
        <v>34</v>
      </c>
      <c r="I159" s="2926">
        <v>34</v>
      </c>
      <c r="J159" s="2926"/>
      <c r="K159" s="2926"/>
      <c r="L159" s="3036">
        <f t="shared" si="28"/>
        <v>0</v>
      </c>
      <c r="M159" s="2948">
        <f t="shared" si="25"/>
        <v>0</v>
      </c>
      <c r="N159" s="2922" t="str">
        <f t="shared" si="31"/>
        <v>-</v>
      </c>
      <c r="O159" s="2919"/>
      <c r="P159" s="2919">
        <f t="shared" si="26"/>
        <v>4290.2</v>
      </c>
      <c r="Q159" s="2919">
        <f t="shared" si="32"/>
        <v>6460</v>
      </c>
      <c r="R159" s="2919">
        <f t="shared" si="33"/>
        <v>6460</v>
      </c>
      <c r="S159" s="2923">
        <f t="shared" si="27"/>
        <v>6460</v>
      </c>
    </row>
    <row r="160" spans="1:21" ht="15">
      <c r="A160" s="2914">
        <v>91.03</v>
      </c>
      <c r="B160" s="2965" t="s">
        <v>1331</v>
      </c>
      <c r="C160" s="2916"/>
      <c r="D160" s="2917"/>
      <c r="E160" s="2918"/>
      <c r="F160" s="2918"/>
      <c r="G160" s="2919"/>
      <c r="H160" s="2919"/>
      <c r="I160" s="2926"/>
      <c r="J160" s="2926"/>
      <c r="K160" s="2926"/>
      <c r="L160" s="3036">
        <f t="shared" si="28"/>
        <v>0</v>
      </c>
      <c r="M160" s="2948">
        <f t="shared" si="25"/>
        <v>0</v>
      </c>
      <c r="N160" s="2922" t="str">
        <f t="shared" si="31"/>
        <v>-</v>
      </c>
      <c r="O160" s="2919"/>
      <c r="P160" s="2919">
        <f t="shared" si="26"/>
        <v>0</v>
      </c>
      <c r="Q160" s="2919">
        <f t="shared" si="32"/>
        <v>0</v>
      </c>
      <c r="R160" s="2919">
        <f t="shared" si="33"/>
        <v>0</v>
      </c>
      <c r="S160" s="2923">
        <f t="shared" si="27"/>
        <v>0</v>
      </c>
    </row>
    <row r="161" spans="1:25" ht="24">
      <c r="A161" s="2914" t="s">
        <v>1303</v>
      </c>
      <c r="B161" s="2965" t="s">
        <v>1332</v>
      </c>
      <c r="C161" s="3050" t="s">
        <v>273</v>
      </c>
      <c r="D161" s="2917">
        <v>1300</v>
      </c>
      <c r="E161" s="2918">
        <v>356</v>
      </c>
      <c r="F161" s="2918">
        <v>294</v>
      </c>
      <c r="G161" s="2919">
        <v>356</v>
      </c>
      <c r="H161" s="2919">
        <v>356</v>
      </c>
      <c r="I161" s="2926">
        <v>356</v>
      </c>
      <c r="J161" s="2926"/>
      <c r="K161" s="2926"/>
      <c r="L161" s="3036">
        <f t="shared" si="28"/>
        <v>0</v>
      </c>
      <c r="M161" s="2948">
        <f t="shared" si="25"/>
        <v>0</v>
      </c>
      <c r="N161" s="2922" t="str">
        <f t="shared" si="31"/>
        <v>-</v>
      </c>
      <c r="O161" s="2919"/>
      <c r="P161" s="2919">
        <f t="shared" si="26"/>
        <v>382200</v>
      </c>
      <c r="Q161" s="2919">
        <f t="shared" si="32"/>
        <v>462800</v>
      </c>
      <c r="R161" s="2919">
        <f t="shared" si="33"/>
        <v>462800</v>
      </c>
      <c r="S161" s="2923">
        <f t="shared" si="27"/>
        <v>462800</v>
      </c>
    </row>
    <row r="162" spans="1:25" ht="17.25" customHeight="1" thickBot="1">
      <c r="A162" s="2929">
        <v>91.04</v>
      </c>
      <c r="B162" s="3033" t="s">
        <v>1333</v>
      </c>
      <c r="C162" s="3063" t="s">
        <v>255</v>
      </c>
      <c r="D162" s="2932">
        <v>119</v>
      </c>
      <c r="E162" s="2933">
        <v>350</v>
      </c>
      <c r="F162" s="2933">
        <v>336</v>
      </c>
      <c r="G162" s="2934">
        <v>350</v>
      </c>
      <c r="H162" s="2934">
        <v>350</v>
      </c>
      <c r="I162" s="2935">
        <v>350</v>
      </c>
      <c r="J162" s="2935"/>
      <c r="K162" s="2935"/>
      <c r="L162" s="3036">
        <f t="shared" si="28"/>
        <v>0</v>
      </c>
      <c r="M162" s="2948">
        <f t="shared" si="25"/>
        <v>0</v>
      </c>
      <c r="N162" s="2922" t="str">
        <f t="shared" si="31"/>
        <v>-</v>
      </c>
      <c r="O162" s="2919"/>
      <c r="P162" s="2919">
        <f t="shared" si="26"/>
        <v>39984</v>
      </c>
      <c r="Q162" s="2919">
        <f t="shared" si="32"/>
        <v>41650</v>
      </c>
      <c r="R162" s="2919">
        <f t="shared" si="33"/>
        <v>41650</v>
      </c>
      <c r="S162" s="2923">
        <f t="shared" si="27"/>
        <v>41650</v>
      </c>
    </row>
    <row r="163" spans="1:25" s="2942" customFormat="1" ht="18.75" customHeight="1" thickBot="1">
      <c r="A163" s="2936"/>
      <c r="B163" s="2937" t="s">
        <v>1159</v>
      </c>
      <c r="C163" s="2937"/>
      <c r="D163" s="2937"/>
      <c r="E163" s="2937"/>
      <c r="F163" s="2937"/>
      <c r="G163" s="2937"/>
      <c r="H163" s="2937"/>
      <c r="I163" s="2938"/>
      <c r="J163" s="2938"/>
      <c r="K163" s="2938"/>
      <c r="L163" s="2938">
        <f t="shared" ref="L163:S163" si="34">SUM(L103:L162)</f>
        <v>0</v>
      </c>
      <c r="M163" s="2938">
        <f t="shared" si="34"/>
        <v>0</v>
      </c>
      <c r="N163" s="2939" t="str">
        <f t="shared" si="31"/>
        <v>-</v>
      </c>
      <c r="O163" s="2937">
        <f t="shared" si="34"/>
        <v>847097.3</v>
      </c>
      <c r="P163" s="2937">
        <f t="shared" si="34"/>
        <v>18751919.449999999</v>
      </c>
      <c r="Q163" s="2937">
        <f t="shared" si="34"/>
        <v>20817885</v>
      </c>
      <c r="R163" s="2937">
        <f t="shared" si="34"/>
        <v>20817885</v>
      </c>
      <c r="S163" s="2940">
        <f t="shared" si="34"/>
        <v>16472200.166666666</v>
      </c>
      <c r="T163" s="2941"/>
      <c r="Y163" s="2941"/>
    </row>
    <row r="164" spans="1:25" ht="17.25" customHeight="1">
      <c r="A164" s="3008">
        <v>9000</v>
      </c>
      <c r="B164" s="2944" t="s">
        <v>1334</v>
      </c>
      <c r="C164" s="2945"/>
      <c r="D164" s="3064"/>
      <c r="E164" s="2945"/>
      <c r="F164" s="2945"/>
      <c r="G164" s="2947"/>
      <c r="H164" s="2947"/>
      <c r="I164" s="2948"/>
      <c r="J164" s="2948"/>
      <c r="K164" s="2948"/>
      <c r="L164" s="2948"/>
      <c r="M164" s="2948"/>
      <c r="N164" s="2922" t="str">
        <f t="shared" si="31"/>
        <v>-</v>
      </c>
      <c r="O164" s="2947"/>
      <c r="P164" s="2919">
        <f t="shared" ref="P164:P173" si="35">D164*F164</f>
        <v>0</v>
      </c>
      <c r="Q164" s="2947"/>
      <c r="R164" s="2947"/>
      <c r="S164" s="2949"/>
    </row>
    <row r="165" spans="1:25" ht="17.25" customHeight="1">
      <c r="A165" s="3065"/>
      <c r="B165" s="3066" t="s">
        <v>1335</v>
      </c>
      <c r="C165" s="3067"/>
      <c r="D165" s="3068"/>
      <c r="E165" s="3069"/>
      <c r="F165" s="3069"/>
      <c r="G165" s="3070"/>
      <c r="H165" s="3070"/>
      <c r="I165" s="3071"/>
      <c r="J165" s="3071"/>
      <c r="K165" s="3071"/>
      <c r="L165" s="3071"/>
      <c r="M165" s="3071"/>
      <c r="N165" s="2922" t="str">
        <f t="shared" si="31"/>
        <v>-</v>
      </c>
      <c r="O165" s="3070"/>
      <c r="P165" s="2919">
        <f t="shared" si="35"/>
        <v>0</v>
      </c>
      <c r="Q165" s="3070"/>
      <c r="R165" s="3070"/>
      <c r="S165" s="3072"/>
    </row>
    <row r="166" spans="1:25" ht="17.25" customHeight="1">
      <c r="A166" s="3073" t="s">
        <v>1336</v>
      </c>
      <c r="B166" s="3074" t="s">
        <v>1337</v>
      </c>
      <c r="C166" s="3067" t="s">
        <v>106</v>
      </c>
      <c r="D166" s="3068">
        <v>300</v>
      </c>
      <c r="E166" s="3069">
        <v>2560</v>
      </c>
      <c r="F166" s="3069">
        <v>2691</v>
      </c>
      <c r="G166" s="3070">
        <v>2560</v>
      </c>
      <c r="H166" s="3070">
        <v>2560</v>
      </c>
      <c r="I166" s="3071">
        <f>H166</f>
        <v>2560</v>
      </c>
      <c r="J166" s="3071"/>
      <c r="K166" s="3071"/>
      <c r="L166" s="3071">
        <f t="shared" ref="L166:L173" si="36">D166*J166</f>
        <v>0</v>
      </c>
      <c r="M166" s="3071">
        <f t="shared" ref="M166:M173" si="37">D166*K166</f>
        <v>0</v>
      </c>
      <c r="N166" s="2922" t="str">
        <f t="shared" si="31"/>
        <v>-</v>
      </c>
      <c r="O166" s="3070"/>
      <c r="P166" s="2919">
        <f t="shared" si="35"/>
        <v>807300</v>
      </c>
      <c r="Q166" s="3070">
        <f t="shared" ref="Q166:Q173" si="38">D166*G166</f>
        <v>768000</v>
      </c>
      <c r="R166" s="3070">
        <f t="shared" ref="R166:R173" si="39">D166*H166</f>
        <v>768000</v>
      </c>
      <c r="S166" s="3072">
        <f t="shared" ref="S166:S173" si="40">D166*I166</f>
        <v>768000</v>
      </c>
    </row>
    <row r="167" spans="1:25" ht="17.25" customHeight="1">
      <c r="A167" s="3073" t="s">
        <v>1338</v>
      </c>
      <c r="B167" s="3074" t="s">
        <v>1339</v>
      </c>
      <c r="C167" s="3067" t="s">
        <v>106</v>
      </c>
      <c r="D167" s="3068">
        <v>500</v>
      </c>
      <c r="E167" s="3069">
        <v>36</v>
      </c>
      <c r="F167" s="3069"/>
      <c r="G167" s="3070">
        <v>36</v>
      </c>
      <c r="H167" s="3070">
        <v>36</v>
      </c>
      <c r="I167" s="3071">
        <f t="shared" ref="I167:I173" si="41">H167</f>
        <v>36</v>
      </c>
      <c r="J167" s="3071"/>
      <c r="K167" s="3071"/>
      <c r="L167" s="3071">
        <f t="shared" si="36"/>
        <v>0</v>
      </c>
      <c r="M167" s="3071">
        <f t="shared" si="37"/>
        <v>0</v>
      </c>
      <c r="N167" s="2922" t="str">
        <f t="shared" si="31"/>
        <v>-</v>
      </c>
      <c r="O167" s="3070"/>
      <c r="P167" s="2919">
        <f t="shared" si="35"/>
        <v>0</v>
      </c>
      <c r="Q167" s="3070">
        <f t="shared" si="38"/>
        <v>18000</v>
      </c>
      <c r="R167" s="3070">
        <f t="shared" si="39"/>
        <v>18000</v>
      </c>
      <c r="S167" s="3072">
        <f t="shared" si="40"/>
        <v>18000</v>
      </c>
    </row>
    <row r="168" spans="1:25" ht="17.25" customHeight="1">
      <c r="A168" s="3075">
        <v>94.01</v>
      </c>
      <c r="B168" s="3074" t="s">
        <v>1340</v>
      </c>
      <c r="C168" s="3067" t="s">
        <v>1187</v>
      </c>
      <c r="D168" s="3068"/>
      <c r="E168" s="3069"/>
      <c r="F168" s="3069"/>
      <c r="G168" s="3070"/>
      <c r="H168" s="3070"/>
      <c r="I168" s="3071"/>
      <c r="J168" s="3071"/>
      <c r="K168" s="3071"/>
      <c r="L168" s="3071">
        <f t="shared" si="36"/>
        <v>0</v>
      </c>
      <c r="M168" s="3071">
        <f t="shared" si="37"/>
        <v>0</v>
      </c>
      <c r="N168" s="2922" t="str">
        <f t="shared" si="31"/>
        <v>-</v>
      </c>
      <c r="O168" s="3070"/>
      <c r="P168" s="2919">
        <f t="shared" si="35"/>
        <v>0</v>
      </c>
      <c r="Q168" s="3070">
        <f t="shared" si="38"/>
        <v>0</v>
      </c>
      <c r="R168" s="3070">
        <f t="shared" si="39"/>
        <v>0</v>
      </c>
      <c r="S168" s="3072">
        <f t="shared" si="40"/>
        <v>0</v>
      </c>
    </row>
    <row r="169" spans="1:25" ht="25.5">
      <c r="A169" s="3076" t="s">
        <v>576</v>
      </c>
      <c r="B169" s="3077" t="s">
        <v>1341</v>
      </c>
      <c r="C169" s="3067" t="s">
        <v>255</v>
      </c>
      <c r="D169" s="3078">
        <v>1000</v>
      </c>
      <c r="E169" s="3069">
        <v>22</v>
      </c>
      <c r="F169" s="3069">
        <v>5.28</v>
      </c>
      <c r="G169" s="3069">
        <v>22</v>
      </c>
      <c r="H169" s="3069">
        <v>22</v>
      </c>
      <c r="I169" s="3071">
        <f t="shared" si="41"/>
        <v>22</v>
      </c>
      <c r="J169" s="3071"/>
      <c r="K169" s="3071"/>
      <c r="L169" s="3071">
        <f t="shared" si="36"/>
        <v>0</v>
      </c>
      <c r="M169" s="3071">
        <f t="shared" si="37"/>
        <v>0</v>
      </c>
      <c r="N169" s="2922" t="str">
        <f t="shared" si="31"/>
        <v>-</v>
      </c>
      <c r="O169" s="3069"/>
      <c r="P169" s="2919">
        <f t="shared" si="35"/>
        <v>5280</v>
      </c>
      <c r="Q169" s="3069">
        <f t="shared" si="38"/>
        <v>22000</v>
      </c>
      <c r="R169" s="3069">
        <f t="shared" si="39"/>
        <v>22000</v>
      </c>
      <c r="S169" s="3079">
        <f t="shared" si="40"/>
        <v>22000</v>
      </c>
    </row>
    <row r="170" spans="1:25" ht="15" customHeight="1">
      <c r="A170" s="3076" t="s">
        <v>1281</v>
      </c>
      <c r="B170" s="3077" t="s">
        <v>1342</v>
      </c>
      <c r="C170" s="3067" t="s">
        <v>255</v>
      </c>
      <c r="D170" s="3068">
        <v>0</v>
      </c>
      <c r="E170" s="3069">
        <v>0</v>
      </c>
      <c r="F170" s="3069"/>
      <c r="G170" s="3070">
        <v>0</v>
      </c>
      <c r="H170" s="3070">
        <v>0</v>
      </c>
      <c r="I170" s="3071"/>
      <c r="J170" s="3071"/>
      <c r="K170" s="3071"/>
      <c r="L170" s="3071">
        <f t="shared" si="36"/>
        <v>0</v>
      </c>
      <c r="M170" s="3071">
        <f t="shared" si="37"/>
        <v>0</v>
      </c>
      <c r="N170" s="2922" t="str">
        <f t="shared" si="31"/>
        <v>-</v>
      </c>
      <c r="O170" s="3070"/>
      <c r="P170" s="2919">
        <f t="shared" si="35"/>
        <v>0</v>
      </c>
      <c r="Q170" s="3070">
        <f t="shared" si="38"/>
        <v>0</v>
      </c>
      <c r="R170" s="3070">
        <f t="shared" si="39"/>
        <v>0</v>
      </c>
      <c r="S170" s="3072">
        <f t="shared" si="40"/>
        <v>0</v>
      </c>
    </row>
    <row r="171" spans="1:25" ht="17.25" customHeight="1">
      <c r="A171" s="3073">
        <v>94.02</v>
      </c>
      <c r="B171" s="3074" t="s">
        <v>1343</v>
      </c>
      <c r="C171" s="3067"/>
      <c r="D171" s="3068"/>
      <c r="E171" s="3069"/>
      <c r="F171" s="3069"/>
      <c r="G171" s="3070"/>
      <c r="H171" s="3070"/>
      <c r="I171" s="3071"/>
      <c r="J171" s="3071"/>
      <c r="K171" s="3071"/>
      <c r="L171" s="3071">
        <f t="shared" si="36"/>
        <v>0</v>
      </c>
      <c r="M171" s="3071">
        <f t="shared" si="37"/>
        <v>0</v>
      </c>
      <c r="N171" s="2922" t="str">
        <f t="shared" si="31"/>
        <v>-</v>
      </c>
      <c r="O171" s="3070"/>
      <c r="P171" s="2919">
        <f t="shared" si="35"/>
        <v>0</v>
      </c>
      <c r="Q171" s="3070">
        <f t="shared" si="38"/>
        <v>0</v>
      </c>
      <c r="R171" s="3070">
        <f t="shared" si="39"/>
        <v>0</v>
      </c>
      <c r="S171" s="3072">
        <f t="shared" si="40"/>
        <v>0</v>
      </c>
    </row>
    <row r="172" spans="1:25" ht="25.5">
      <c r="A172" s="3076" t="s">
        <v>1344</v>
      </c>
      <c r="B172" s="3077" t="s">
        <v>1345</v>
      </c>
      <c r="C172" s="3067" t="s">
        <v>106</v>
      </c>
      <c r="D172" s="3068">
        <v>3800</v>
      </c>
      <c r="E172" s="3069">
        <v>69</v>
      </c>
      <c r="F172" s="3069">
        <v>66</v>
      </c>
      <c r="G172" s="3080">
        <v>69</v>
      </c>
      <c r="H172" s="3080">
        <v>69</v>
      </c>
      <c r="I172" s="3081">
        <f t="shared" si="41"/>
        <v>69</v>
      </c>
      <c r="J172" s="3081"/>
      <c r="K172" s="3081"/>
      <c r="L172" s="3071">
        <f t="shared" si="36"/>
        <v>0</v>
      </c>
      <c r="M172" s="3071">
        <f t="shared" si="37"/>
        <v>0</v>
      </c>
      <c r="N172" s="2922" t="str">
        <f t="shared" si="31"/>
        <v>-</v>
      </c>
      <c r="O172" s="3080"/>
      <c r="P172" s="2919">
        <f t="shared" si="35"/>
        <v>250800</v>
      </c>
      <c r="Q172" s="3080">
        <f t="shared" si="38"/>
        <v>262200</v>
      </c>
      <c r="R172" s="3080">
        <f t="shared" si="39"/>
        <v>262200</v>
      </c>
      <c r="S172" s="3082">
        <f t="shared" si="40"/>
        <v>262200</v>
      </c>
    </row>
    <row r="173" spans="1:25" ht="26.25" thickBot="1">
      <c r="A173" s="3083">
        <v>94.03</v>
      </c>
      <c r="B173" s="3084" t="s">
        <v>1346</v>
      </c>
      <c r="C173" s="3085" t="s">
        <v>273</v>
      </c>
      <c r="D173" s="3086"/>
      <c r="E173" s="3087">
        <v>2.6</v>
      </c>
      <c r="F173" s="3087">
        <v>1.24</v>
      </c>
      <c r="G173" s="3088">
        <v>2.6</v>
      </c>
      <c r="H173" s="3088">
        <v>2.6</v>
      </c>
      <c r="I173" s="3089">
        <f t="shared" si="41"/>
        <v>2.6</v>
      </c>
      <c r="J173" s="3089"/>
      <c r="K173" s="3089"/>
      <c r="L173" s="3071">
        <f t="shared" si="36"/>
        <v>0</v>
      </c>
      <c r="M173" s="3071">
        <f t="shared" si="37"/>
        <v>0</v>
      </c>
      <c r="N173" s="2922" t="str">
        <f t="shared" si="31"/>
        <v>-</v>
      </c>
      <c r="O173" s="3080">
        <f>D173*E173</f>
        <v>0</v>
      </c>
      <c r="P173" s="2919">
        <f t="shared" si="35"/>
        <v>0</v>
      </c>
      <c r="Q173" s="3080">
        <f t="shared" si="38"/>
        <v>0</v>
      </c>
      <c r="R173" s="3080">
        <f t="shared" si="39"/>
        <v>0</v>
      </c>
      <c r="S173" s="3082">
        <f t="shared" si="40"/>
        <v>0</v>
      </c>
    </row>
    <row r="174" spans="1:25" s="2942" customFormat="1" ht="18.75" customHeight="1" thickBot="1">
      <c r="A174" s="2936"/>
      <c r="B174" s="2937" t="s">
        <v>1159</v>
      </c>
      <c r="C174" s="2937"/>
      <c r="D174" s="2937"/>
      <c r="E174" s="2937"/>
      <c r="F174" s="2937"/>
      <c r="G174" s="2937"/>
      <c r="H174" s="2937"/>
      <c r="I174" s="2937"/>
      <c r="J174" s="2937"/>
      <c r="K174" s="2937"/>
      <c r="L174" s="2937">
        <f>SUM(L165:L173)</f>
        <v>0</v>
      </c>
      <c r="M174" s="2937">
        <f>SUM(M165:M173)</f>
        <v>0</v>
      </c>
      <c r="N174" s="2937" t="str">
        <f t="shared" si="31"/>
        <v>-</v>
      </c>
      <c r="O174" s="2937">
        <f>SUM(O165:O173)</f>
        <v>0</v>
      </c>
      <c r="P174" s="2937">
        <f>SUM(P164:P173)</f>
        <v>1063380</v>
      </c>
      <c r="Q174" s="2937">
        <f>SUM(Q166:Q173)</f>
        <v>1070200</v>
      </c>
      <c r="R174" s="2937">
        <f>SUM(R164:R173)</f>
        <v>1070200</v>
      </c>
      <c r="S174" s="2940">
        <f>SUM(S164:S173)</f>
        <v>1070200</v>
      </c>
      <c r="T174" s="2941"/>
      <c r="Y174" s="2941"/>
    </row>
    <row r="175" spans="1:25" s="2942" customFormat="1" ht="23.25" customHeight="1" thickBot="1">
      <c r="A175" s="3090"/>
      <c r="B175" s="3091" t="s">
        <v>406</v>
      </c>
      <c r="C175" s="3091"/>
      <c r="D175" s="3091"/>
      <c r="E175" s="3091"/>
      <c r="F175" s="3091"/>
      <c r="G175" s="3091"/>
      <c r="H175" s="3091"/>
      <c r="I175" s="3091"/>
      <c r="J175" s="3091"/>
      <c r="K175" s="3091"/>
      <c r="L175" s="3091">
        <f t="shared" ref="L175:S175" si="42">L174+L163+L102+L99+L82+L31+L28</f>
        <v>2075830.1890000002</v>
      </c>
      <c r="M175" s="3091">
        <f t="shared" si="42"/>
        <v>443159.80000000005</v>
      </c>
      <c r="N175" s="3092">
        <f t="shared" si="31"/>
        <v>0.2134855742769044</v>
      </c>
      <c r="O175" s="3091">
        <f t="shared" si="42"/>
        <v>14497728.219999999</v>
      </c>
      <c r="P175" s="3091">
        <f t="shared" si="42"/>
        <v>271943564.18999994</v>
      </c>
      <c r="Q175" s="3091">
        <f t="shared" si="42"/>
        <v>249359942.67589998</v>
      </c>
      <c r="R175" s="3091">
        <f t="shared" si="42"/>
        <v>227468548.36000001</v>
      </c>
      <c r="S175" s="3093">
        <f t="shared" si="42"/>
        <v>168169955.99785542</v>
      </c>
      <c r="T175" s="2941"/>
      <c r="Y175" s="2941"/>
    </row>
    <row r="176" spans="1:25" ht="13.5" thickTop="1"/>
    <row r="178" spans="9:19">
      <c r="R178" s="2951">
        <f>540/50</f>
        <v>10.8</v>
      </c>
      <c r="S178" s="2951">
        <v>71615785.962730393</v>
      </c>
    </row>
    <row r="179" spans="9:19">
      <c r="R179" s="2951">
        <f>236/200</f>
        <v>1.18</v>
      </c>
    </row>
    <row r="181" spans="9:19">
      <c r="O181" s="2951">
        <f>460/12</f>
        <v>38.333333333333336</v>
      </c>
    </row>
    <row r="182" spans="9:19">
      <c r="I182" s="3095">
        <f>150/9.5</f>
        <v>15.789473684210526</v>
      </c>
      <c r="O182" s="2951">
        <f>225/150</f>
        <v>1.5</v>
      </c>
    </row>
    <row r="183" spans="9:19">
      <c r="I183" s="3095">
        <f>150/14.4</f>
        <v>10.416666666666666</v>
      </c>
    </row>
    <row r="184" spans="9:19">
      <c r="I184" s="3095" t="s">
        <v>1347</v>
      </c>
    </row>
  </sheetData>
  <mergeCells count="6">
    <mergeCell ref="A4:A5"/>
    <mergeCell ref="B4:B5"/>
    <mergeCell ref="C4:C5"/>
    <mergeCell ref="D4:D5"/>
    <mergeCell ref="E4:I4"/>
    <mergeCell ref="O4:S4"/>
  </mergeCells>
  <printOptions horizontalCentered="1"/>
  <pageMargins left="0" right="0" top="0.23622047244094499" bottom="0.56999999999999995" header="0.15748031496063" footer="0.15748031496063"/>
  <pageSetup paperSize="9" scale="74" fitToHeight="0" orientation="landscape" r:id="rId1"/>
  <headerFooter alignWithMargins="0"/>
  <rowBreaks count="6" manualBreakCount="6">
    <brk id="23" max="13" man="1"/>
    <brk id="46" max="13" man="1"/>
    <brk id="67" max="13" man="1"/>
    <brk id="89" max="13" man="1"/>
    <brk id="110" max="13" man="1"/>
    <brk id="135" max="13" man="1"/>
  </rowBreaks>
  <drawing r:id="rId2"/>
  <legacyDrawing r:id="rId3"/>
  <oleObjects>
    <mc:AlternateContent xmlns:mc="http://schemas.openxmlformats.org/markup-compatibility/2006">
      <mc:Choice Requires="x14">
        <oleObject progId="StaticMetafile" shapeId="16385" r:id="rId4">
          <objectPr defaultSize="0" autoPict="0" r:id="rId5">
            <anchor moveWithCells="1" sizeWithCells="1">
              <from>
                <xdr:col>20</xdr:col>
                <xdr:colOff>219075</xdr:colOff>
                <xdr:row>5</xdr:row>
                <xdr:rowOff>9525</xdr:rowOff>
              </from>
              <to>
                <xdr:col>21</xdr:col>
                <xdr:colOff>600075</xdr:colOff>
                <xdr:row>6</xdr:row>
                <xdr:rowOff>0</xdr:rowOff>
              </to>
            </anchor>
          </objectPr>
        </oleObject>
      </mc:Choice>
      <mc:Fallback>
        <oleObject progId="StaticMetafile" shapeId="16385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6"/>
  <sheetViews>
    <sheetView view="pageBreakPreview" zoomScale="80" zoomScaleNormal="100" zoomScaleSheetLayoutView="80" zoomScalePageLayoutView="60" workbookViewId="0">
      <pane ySplit="5" topLeftCell="A298" activePane="bottomLeft" state="frozen"/>
      <selection activeCell="F70" sqref="F70"/>
      <selection pane="bottomLeft" activeCell="M308" sqref="M308"/>
    </sheetView>
  </sheetViews>
  <sheetFormatPr defaultRowHeight="25.5"/>
  <cols>
    <col min="1" max="1" width="6.140625" style="1067"/>
    <col min="2" max="2" width="21.85546875" style="1064" customWidth="1"/>
    <col min="3" max="3" width="20" style="1068"/>
    <col min="4" max="4" width="17" style="1065"/>
    <col min="5" max="5" width="9" style="1066"/>
    <col min="6" max="6" width="11.28515625" style="1071"/>
    <col min="7" max="7" width="10.42578125" style="1072"/>
    <col min="8" max="8" width="11.140625" style="1073"/>
    <col min="9" max="9" width="12.140625" style="1069" bestFit="1" customWidth="1"/>
    <col min="10" max="10" width="11" style="1069" bestFit="1" customWidth="1"/>
    <col min="11" max="11" width="12.42578125" style="1069" bestFit="1" customWidth="1"/>
    <col min="12" max="12" width="9.85546875" style="1070" bestFit="1" customWidth="1"/>
    <col min="13" max="13" width="13.42578125" style="1051"/>
    <col min="14" max="15" width="0" style="1044" hidden="1"/>
    <col min="16" max="16384" width="9.140625" style="551"/>
  </cols>
  <sheetData>
    <row r="1" spans="1:15" s="1044" customFormat="1" ht="29.25" customHeight="1">
      <c r="A1" s="4" t="str">
        <f>Cons.Mat.Evalu.!A1</f>
        <v>Cross-land Construction Company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1770"/>
    </row>
    <row r="2" spans="1:15" s="1044" customFormat="1" ht="20.100000000000001" customHeight="1">
      <c r="A2" s="1771" t="str">
        <f>'Weekly Progress Report'!A2:P2</f>
        <v>Project: Haro sebu-Lelo-Qaqe</v>
      </c>
      <c r="B2" s="1772"/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3"/>
    </row>
    <row r="3" spans="1:15" s="1044" customFormat="1" ht="27.75" customHeight="1" thickBot="1">
      <c r="A3" s="1774" t="s">
        <v>622</v>
      </c>
      <c r="B3" s="1775"/>
      <c r="C3" s="1775"/>
      <c r="D3" s="1775"/>
      <c r="E3" s="1775"/>
      <c r="F3" s="1775"/>
      <c r="G3" s="1775"/>
      <c r="H3" s="1775"/>
      <c r="I3" s="1775"/>
      <c r="J3" s="1775"/>
      <c r="K3" s="1775"/>
      <c r="L3" s="1775"/>
      <c r="M3" s="1776"/>
    </row>
    <row r="4" spans="1:15" s="1044" customFormat="1" ht="0.75" hidden="1" customHeight="1" thickBot="1">
      <c r="A4" s="1074"/>
      <c r="B4" s="1075"/>
      <c r="C4" s="1075"/>
      <c r="D4" s="1075"/>
      <c r="E4" s="1075"/>
      <c r="F4" s="1075"/>
      <c r="G4" s="1076"/>
      <c r="H4" s="1075"/>
      <c r="I4" s="1075"/>
      <c r="J4" s="1075"/>
      <c r="K4" s="1075"/>
      <c r="L4" s="1075"/>
      <c r="M4" s="1075"/>
    </row>
    <row r="5" spans="1:15" s="1045" customFormat="1" ht="45" customHeight="1" thickTop="1">
      <c r="A5" s="1077" t="s">
        <v>106</v>
      </c>
      <c r="B5" s="1078" t="s">
        <v>107</v>
      </c>
      <c r="C5" s="1079" t="s">
        <v>108</v>
      </c>
      <c r="D5" s="1080" t="s">
        <v>109</v>
      </c>
      <c r="E5" s="1081" t="s">
        <v>110</v>
      </c>
      <c r="F5" s="1082" t="str">
        <f>'[1]D M S'!$F$5</f>
        <v>Friday</v>
      </c>
      <c r="G5" s="1082" t="str">
        <f>'[2]D M S'!$G$5</f>
        <v>Saturday</v>
      </c>
      <c r="H5" s="1082" t="str">
        <f>'[3]D M S'!$H$5</f>
        <v>Sunday</v>
      </c>
      <c r="I5" s="1083" t="str">
        <f>'[4]D M S'!$I$5</f>
        <v>Monday</v>
      </c>
      <c r="J5" s="1082" t="str">
        <f>'[5]D M S'!$J$5</f>
        <v>Tuesday</v>
      </c>
      <c r="K5" s="1082" t="str">
        <f>'[6]D M S'!$K$5</f>
        <v>Wednesday</v>
      </c>
      <c r="L5" s="1082" t="str">
        <f>'[7]D M S'!$L$5</f>
        <v>Tursday</v>
      </c>
      <c r="M5" s="1084" t="s">
        <v>797</v>
      </c>
      <c r="N5" s="1045" t="s">
        <v>111</v>
      </c>
      <c r="O5" s="1045" t="s">
        <v>112</v>
      </c>
    </row>
    <row r="6" spans="1:15" s="1046" customFormat="1" ht="30" customHeight="1">
      <c r="A6" s="1778" t="s">
        <v>113</v>
      </c>
      <c r="B6" s="1778"/>
      <c r="C6" s="1778"/>
      <c r="D6" s="1778"/>
      <c r="E6" s="1778"/>
      <c r="F6" s="1085"/>
      <c r="G6" s="1086"/>
      <c r="H6" s="1086"/>
      <c r="I6" s="1086"/>
      <c r="J6" s="1086"/>
      <c r="K6" s="1086"/>
      <c r="L6" s="1087"/>
      <c r="M6" s="1086"/>
      <c r="N6" s="1044"/>
      <c r="O6" s="1044"/>
    </row>
    <row r="7" spans="1:15" s="1044" customFormat="1" ht="41.1" customHeight="1">
      <c r="A7" s="1749">
        <v>1</v>
      </c>
      <c r="B7" s="1779" t="s">
        <v>114</v>
      </c>
      <c r="C7" s="1743" t="s">
        <v>617</v>
      </c>
      <c r="D7" s="1782" t="s">
        <v>616</v>
      </c>
      <c r="E7" s="1088" t="s">
        <v>115</v>
      </c>
      <c r="F7" s="1089">
        <f>'[8]D M S'!$M7</f>
        <v>17.329999999999998</v>
      </c>
      <c r="G7" s="1047">
        <f>'[2]D M S'!$M7</f>
        <v>16.75</v>
      </c>
      <c r="H7" s="1090">
        <f>'[3]D M S'!$M7</f>
        <v>0</v>
      </c>
      <c r="I7" s="1090">
        <f>'[9]D M S'!$M7</f>
        <v>18.670000000000002</v>
      </c>
      <c r="J7" s="1090">
        <f>'[5]D M S'!$M7</f>
        <v>8</v>
      </c>
      <c r="K7" s="1090">
        <f>'[6]D M S'!$M7</f>
        <v>12.5</v>
      </c>
      <c r="L7" s="1090">
        <f>'[7]D M S'!$M7</f>
        <v>11</v>
      </c>
      <c r="M7" s="1091">
        <f t="shared" ref="M7:M40" si="0">SUM(F7:L7)</f>
        <v>84.25</v>
      </c>
      <c r="N7" s="84">
        <v>2060</v>
      </c>
      <c r="O7" s="1048">
        <f t="shared" ref="O7:O44" si="1">+N7/M7</f>
        <v>24.451038575667656</v>
      </c>
    </row>
    <row r="8" spans="1:15" s="1044" customFormat="1" ht="41.1" customHeight="1">
      <c r="A8" s="1749"/>
      <c r="B8" s="1780"/>
      <c r="C8" s="1743"/>
      <c r="D8" s="1782"/>
      <c r="E8" s="1088" t="s">
        <v>116</v>
      </c>
      <c r="F8" s="1089">
        <f>'[8]D M S'!$M8</f>
        <v>0.33</v>
      </c>
      <c r="G8" s="1047">
        <f>'[2]D M S'!$M8</f>
        <v>2.08</v>
      </c>
      <c r="H8" s="1090">
        <f>'[3]D M S'!$M8</f>
        <v>0</v>
      </c>
      <c r="I8" s="1090">
        <f>'[9]D M S'!$M8</f>
        <v>0</v>
      </c>
      <c r="J8" s="1090">
        <f>'[5]D M S'!$M8</f>
        <v>12</v>
      </c>
      <c r="K8" s="1090">
        <f>'[6]D M S'!$M8</f>
        <v>7.5</v>
      </c>
      <c r="L8" s="1090">
        <f>'[7]D M S'!$M8</f>
        <v>9</v>
      </c>
      <c r="M8" s="1091">
        <f t="shared" si="0"/>
        <v>30.91</v>
      </c>
      <c r="N8" s="84"/>
      <c r="O8" s="1048">
        <f t="shared" si="1"/>
        <v>0</v>
      </c>
    </row>
    <row r="9" spans="1:15" s="1044" customFormat="1" ht="41.1" customHeight="1">
      <c r="A9" s="1749"/>
      <c r="B9" s="1781"/>
      <c r="C9" s="1743"/>
      <c r="D9" s="1744"/>
      <c r="E9" s="1088" t="s">
        <v>117</v>
      </c>
      <c r="F9" s="1089">
        <f>'[8]D M S'!$M9</f>
        <v>0</v>
      </c>
      <c r="G9" s="1047">
        <f>'[2]D M S'!$M9</f>
        <v>0</v>
      </c>
      <c r="H9" s="1090">
        <f>'[3]D M S'!$M9</f>
        <v>0</v>
      </c>
      <c r="I9" s="1090">
        <f>'[9]D M S'!$M9</f>
        <v>0.33</v>
      </c>
      <c r="J9" s="1090">
        <f>'[5]D M S'!$M9</f>
        <v>0</v>
      </c>
      <c r="K9" s="1090">
        <f>'[6]D M S'!$M9</f>
        <v>0</v>
      </c>
      <c r="L9" s="1090">
        <f>'[7]D M S'!$M9</f>
        <v>0</v>
      </c>
      <c r="M9" s="1091">
        <f t="shared" si="0"/>
        <v>0.33</v>
      </c>
      <c r="N9" s="84"/>
      <c r="O9" s="1048">
        <f t="shared" si="1"/>
        <v>0</v>
      </c>
    </row>
    <row r="10" spans="1:15" s="1044" customFormat="1" ht="41.1" customHeight="1">
      <c r="A10" s="1741">
        <v>2</v>
      </c>
      <c r="B10" s="1742" t="s">
        <v>114</v>
      </c>
      <c r="C10" s="1743" t="s">
        <v>746</v>
      </c>
      <c r="D10" s="1744" t="s">
        <v>616</v>
      </c>
      <c r="E10" s="1715" t="s">
        <v>115</v>
      </c>
      <c r="F10" s="1089">
        <f>'[8]D M S'!$M10</f>
        <v>10.83</v>
      </c>
      <c r="G10" s="1047">
        <f>'[2]D M S'!$M10</f>
        <v>12</v>
      </c>
      <c r="H10" s="1090">
        <f>'[3]D M S'!$M10</f>
        <v>0</v>
      </c>
      <c r="I10" s="1090">
        <f>'[9]D M S'!$M10</f>
        <v>11.33</v>
      </c>
      <c r="J10" s="1090">
        <f>'[5]D M S'!$M10</f>
        <v>7.83</v>
      </c>
      <c r="K10" s="1090">
        <f>'[6]D M S'!$M10</f>
        <v>4.92</v>
      </c>
      <c r="L10" s="1090">
        <f>'[7]D M S'!$M10</f>
        <v>12.33</v>
      </c>
      <c r="M10" s="1091">
        <f t="shared" si="0"/>
        <v>59.239999999999995</v>
      </c>
      <c r="N10" s="84">
        <v>2500</v>
      </c>
      <c r="O10" s="1048">
        <f t="shared" si="1"/>
        <v>42.201215395003381</v>
      </c>
    </row>
    <row r="11" spans="1:15" s="1044" customFormat="1" ht="41.1" customHeight="1">
      <c r="A11" s="1741"/>
      <c r="B11" s="1742"/>
      <c r="C11" s="1743"/>
      <c r="D11" s="1744"/>
      <c r="E11" s="1715" t="s">
        <v>116</v>
      </c>
      <c r="F11" s="1089">
        <f>'[8]D M S'!$M11</f>
        <v>0.17</v>
      </c>
      <c r="G11" s="1047">
        <f>'[2]D M S'!$M11</f>
        <v>0.33</v>
      </c>
      <c r="H11" s="1090">
        <f>'[3]D M S'!$M11</f>
        <v>0</v>
      </c>
      <c r="I11" s="1090">
        <f>'[9]D M S'!$M11</f>
        <v>0</v>
      </c>
      <c r="J11" s="1090">
        <f>'[5]D M S'!$M11</f>
        <v>5.17</v>
      </c>
      <c r="K11" s="1090">
        <f>'[6]D M S'!$M11</f>
        <v>8.08</v>
      </c>
      <c r="L11" s="1090">
        <f>'[7]D M S'!$M11</f>
        <v>0.17</v>
      </c>
      <c r="M11" s="1091">
        <f t="shared" si="0"/>
        <v>13.92</v>
      </c>
      <c r="N11" s="84"/>
      <c r="O11" s="1048">
        <f t="shared" si="1"/>
        <v>0</v>
      </c>
    </row>
    <row r="12" spans="1:15" s="1044" customFormat="1" ht="41.1" customHeight="1">
      <c r="A12" s="1741"/>
      <c r="B12" s="1741"/>
      <c r="C12" s="1743"/>
      <c r="D12" s="1744"/>
      <c r="E12" s="1715" t="s">
        <v>117</v>
      </c>
      <c r="F12" s="1089">
        <f>'[8]D M S'!$M12</f>
        <v>0</v>
      </c>
      <c r="G12" s="1047">
        <f>'[2]D M S'!$M12</f>
        <v>0</v>
      </c>
      <c r="H12" s="1090">
        <f>'[3]D M S'!$M12</f>
        <v>0</v>
      </c>
      <c r="I12" s="1090">
        <f>'[9]D M S'!$M12</f>
        <v>0</v>
      </c>
      <c r="J12" s="1090">
        <f>'[5]D M S'!$M12</f>
        <v>0</v>
      </c>
      <c r="K12" s="1090">
        <f>'[6]D M S'!$M12</f>
        <v>0</v>
      </c>
      <c r="L12" s="1090">
        <f>'[7]D M S'!$M12</f>
        <v>0</v>
      </c>
      <c r="M12" s="1091">
        <f t="shared" si="0"/>
        <v>0</v>
      </c>
      <c r="N12" s="84"/>
      <c r="O12" s="1048" t="e">
        <f t="shared" si="1"/>
        <v>#DIV/0!</v>
      </c>
    </row>
    <row r="13" spans="1:15" s="1044" customFormat="1" ht="41.1" customHeight="1">
      <c r="A13" s="1741">
        <v>3</v>
      </c>
      <c r="B13" s="1742" t="s">
        <v>114</v>
      </c>
      <c r="C13" s="1743" t="s">
        <v>745</v>
      </c>
      <c r="D13" s="1744" t="s">
        <v>616</v>
      </c>
      <c r="E13" s="1715" t="s">
        <v>115</v>
      </c>
      <c r="F13" s="1089">
        <f>'[8]D M S'!$M13</f>
        <v>18</v>
      </c>
      <c r="G13" s="1047">
        <f>'[2]D M S'!$M$13</f>
        <v>16.829999999999998</v>
      </c>
      <c r="H13" s="1090">
        <f>'[3]D M S'!$M13</f>
        <v>0</v>
      </c>
      <c r="I13" s="1090">
        <f>'[9]D M S'!$M13</f>
        <v>20</v>
      </c>
      <c r="J13" s="1090">
        <f>'[5]D M S'!$M13</f>
        <v>8</v>
      </c>
      <c r="K13" s="1090">
        <f>'[6]D M S'!$M13</f>
        <v>12.66</v>
      </c>
      <c r="L13" s="1090">
        <f>'[7]D M S'!$M13</f>
        <v>11.5</v>
      </c>
      <c r="M13" s="1091">
        <f t="shared" ref="M13:M15" si="2">SUM(F13:L13)</f>
        <v>86.99</v>
      </c>
      <c r="N13" s="84">
        <v>2500</v>
      </c>
      <c r="O13" s="1048">
        <f t="shared" ref="O13:O15" si="3">+N13/M13</f>
        <v>28.738935509828718</v>
      </c>
    </row>
    <row r="14" spans="1:15" s="1044" customFormat="1" ht="41.1" customHeight="1">
      <c r="A14" s="1741"/>
      <c r="B14" s="1742"/>
      <c r="C14" s="1743"/>
      <c r="D14" s="1744"/>
      <c r="E14" s="1715" t="s">
        <v>116</v>
      </c>
      <c r="F14" s="1089">
        <f>'[8]D M S'!$M14</f>
        <v>0.5</v>
      </c>
      <c r="G14" s="1047">
        <f>'[2]D M S'!$M$14</f>
        <v>1.5</v>
      </c>
      <c r="H14" s="1090">
        <f>'[3]D M S'!$M14</f>
        <v>0</v>
      </c>
      <c r="I14" s="1090">
        <f>'[9]D M S'!$M14</f>
        <v>0</v>
      </c>
      <c r="J14" s="1090">
        <f>'[5]D M S'!$M14</f>
        <v>12</v>
      </c>
      <c r="K14" s="1090">
        <f>'[6]D M S'!$M14</f>
        <v>7.33</v>
      </c>
      <c r="L14" s="1090">
        <f>'[7]D M S'!$M14</f>
        <v>8.5</v>
      </c>
      <c r="M14" s="1091">
        <f t="shared" si="2"/>
        <v>29.83</v>
      </c>
      <c r="N14" s="84"/>
      <c r="O14" s="1048">
        <f t="shared" si="3"/>
        <v>0</v>
      </c>
    </row>
    <row r="15" spans="1:15" s="1044" customFormat="1" ht="41.1" customHeight="1">
      <c r="A15" s="1741"/>
      <c r="B15" s="1741"/>
      <c r="C15" s="1743"/>
      <c r="D15" s="1744"/>
      <c r="E15" s="1715" t="s">
        <v>117</v>
      </c>
      <c r="F15" s="1089">
        <f>'[8]D M S'!$M15</f>
        <v>0</v>
      </c>
      <c r="G15" s="1047">
        <f>'[2]D M S'!$M$15</f>
        <v>0</v>
      </c>
      <c r="H15" s="1090">
        <f>'[3]D M S'!$M15</f>
        <v>0</v>
      </c>
      <c r="I15" s="1090">
        <f>'[9]D M S'!$M15</f>
        <v>0</v>
      </c>
      <c r="J15" s="1090">
        <f>'[5]D M S'!$M15</f>
        <v>0</v>
      </c>
      <c r="K15" s="1090">
        <f>'[6]D M S'!$M15</f>
        <v>0</v>
      </c>
      <c r="L15" s="1090">
        <f>'[7]D M S'!$M15</f>
        <v>0</v>
      </c>
      <c r="M15" s="1091">
        <f t="shared" si="2"/>
        <v>0</v>
      </c>
      <c r="N15" s="84"/>
      <c r="O15" s="1048" t="e">
        <f t="shared" si="3"/>
        <v>#DIV/0!</v>
      </c>
    </row>
    <row r="16" spans="1:15" s="1044" customFormat="1" ht="41.1" customHeight="1">
      <c r="A16" s="1092"/>
      <c r="B16" s="4" t="s">
        <v>118</v>
      </c>
      <c r="C16" s="4"/>
      <c r="D16" s="4"/>
      <c r="E16" s="1116"/>
      <c r="F16" s="1726">
        <f>'[8]D M S'!$M16</f>
        <v>0</v>
      </c>
      <c r="G16" s="1727">
        <f>'[2]D M S'!$M16</f>
        <v>0</v>
      </c>
      <c r="H16" s="1728">
        <f>'[3]D M S'!$M16</f>
        <v>0</v>
      </c>
      <c r="I16" s="1728">
        <f>'[9]D M S'!$M16</f>
        <v>0</v>
      </c>
      <c r="J16" s="1728">
        <f>'[5]D M S'!$M16</f>
        <v>0</v>
      </c>
      <c r="K16" s="1728">
        <f>'[6]D M S'!$M16</f>
        <v>0</v>
      </c>
      <c r="L16" s="1728">
        <f>'[7]D M S'!$M16</f>
        <v>0</v>
      </c>
      <c r="M16" s="1729">
        <f t="shared" si="0"/>
        <v>0</v>
      </c>
      <c r="N16" s="84"/>
      <c r="O16" s="1048" t="e">
        <f t="shared" si="1"/>
        <v>#DIV/0!</v>
      </c>
    </row>
    <row r="17" spans="1:15" s="1046" customFormat="1" ht="41.1" customHeight="1">
      <c r="A17" s="1748" t="s">
        <v>119</v>
      </c>
      <c r="B17" s="1748"/>
      <c r="C17" s="1748"/>
      <c r="D17" s="1748"/>
      <c r="E17" s="1748"/>
      <c r="F17" s="1089" t="e">
        <f>'[1]D M S'!$M17</f>
        <v>#REF!</v>
      </c>
      <c r="G17" s="1047">
        <f>'[2]D M S'!$M17</f>
        <v>0</v>
      </c>
      <c r="H17" s="1090">
        <f>'[3]D M S'!$M17</f>
        <v>0</v>
      </c>
      <c r="I17" s="1090">
        <f>'[4]D M S'!$M17</f>
        <v>0</v>
      </c>
      <c r="J17" s="1090">
        <f>'[5]D M S'!$M17</f>
        <v>0</v>
      </c>
      <c r="K17" s="1090">
        <f>'[6]D M S'!$M17</f>
        <v>0</v>
      </c>
      <c r="L17" s="1090">
        <f>'[7]D M S'!$M17</f>
        <v>0</v>
      </c>
      <c r="M17" s="1091" t="e">
        <f t="shared" si="0"/>
        <v>#REF!</v>
      </c>
      <c r="N17" s="84"/>
      <c r="O17" s="1048" t="e">
        <f t="shared" si="1"/>
        <v>#REF!</v>
      </c>
    </row>
    <row r="18" spans="1:15" s="1049" customFormat="1" ht="41.1" customHeight="1">
      <c r="A18" s="4">
        <v>1</v>
      </c>
      <c r="B18" s="1783" t="s">
        <v>120</v>
      </c>
      <c r="C18" s="1762" t="s">
        <v>688</v>
      </c>
      <c r="D18" s="1743" t="s">
        <v>618</v>
      </c>
      <c r="E18" s="1088" t="s">
        <v>115</v>
      </c>
      <c r="F18" s="1089">
        <f>'[8]D M S'!$M18</f>
        <v>7.5</v>
      </c>
      <c r="G18" s="1047">
        <f>'[2]D M S'!$M18</f>
        <v>9.5</v>
      </c>
      <c r="H18" s="1090">
        <f>'[3]D M S'!$M18</f>
        <v>0</v>
      </c>
      <c r="I18" s="1090">
        <f>'[9]D M S'!$M18</f>
        <v>9.4</v>
      </c>
      <c r="J18" s="1090">
        <f>'[5]D M S'!$M18</f>
        <v>5.3</v>
      </c>
      <c r="K18" s="1090">
        <f>'[6]D M S'!$M18</f>
        <v>6.5</v>
      </c>
      <c r="L18" s="1090">
        <f>'[7]D M S'!$M18</f>
        <v>9.6300000000000008</v>
      </c>
      <c r="M18" s="1091">
        <f t="shared" si="0"/>
        <v>47.830000000000005</v>
      </c>
      <c r="N18" s="84">
        <v>310</v>
      </c>
      <c r="O18" s="1048">
        <f t="shared" si="1"/>
        <v>6.4812878946268029</v>
      </c>
    </row>
    <row r="19" spans="1:15" s="1049" customFormat="1" ht="41.1" customHeight="1">
      <c r="A19" s="4"/>
      <c r="B19" s="1783"/>
      <c r="C19" s="1762"/>
      <c r="D19" s="1743"/>
      <c r="E19" s="1088" t="s">
        <v>116</v>
      </c>
      <c r="F19" s="1089">
        <f>'[8]D M S'!$M19</f>
        <v>2.5</v>
      </c>
      <c r="G19" s="1047">
        <f>'[2]D M S'!$M19</f>
        <v>0.5</v>
      </c>
      <c r="H19" s="1090">
        <f>'[3]D M S'!$M19</f>
        <v>0</v>
      </c>
      <c r="I19" s="1090">
        <f>'[9]D M S'!$M19</f>
        <v>0</v>
      </c>
      <c r="J19" s="1090">
        <f>'[5]D M S'!$M19</f>
        <v>4.7</v>
      </c>
      <c r="K19" s="1090">
        <f>'[6]D M S'!$M19</f>
        <v>3.5</v>
      </c>
      <c r="L19" s="1090">
        <f>'[7]D M S'!$M19</f>
        <v>0</v>
      </c>
      <c r="M19" s="1091">
        <f t="shared" si="0"/>
        <v>11.2</v>
      </c>
      <c r="N19" s="84"/>
      <c r="O19" s="1048">
        <f t="shared" si="1"/>
        <v>0</v>
      </c>
    </row>
    <row r="20" spans="1:15" s="1049" customFormat="1" ht="41.1" customHeight="1">
      <c r="A20" s="4"/>
      <c r="B20" s="1783"/>
      <c r="C20" s="1762"/>
      <c r="D20" s="1743"/>
      <c r="E20" s="1088" t="s">
        <v>117</v>
      </c>
      <c r="F20" s="1089">
        <f>'[8]D M S'!$M20</f>
        <v>0</v>
      </c>
      <c r="G20" s="1047">
        <f>'[2]D M S'!$M20</f>
        <v>0</v>
      </c>
      <c r="H20" s="1090">
        <f>'[3]D M S'!$M20</f>
        <v>0</v>
      </c>
      <c r="I20" s="1090">
        <f>'[9]D M S'!$M20</f>
        <v>0</v>
      </c>
      <c r="J20" s="1090">
        <f>'[5]D M S'!$M20</f>
        <v>0</v>
      </c>
      <c r="K20" s="1090">
        <f>'[6]D M S'!$M20</f>
        <v>0</v>
      </c>
      <c r="L20" s="1090">
        <f>'[7]D M S'!$M20</f>
        <v>0</v>
      </c>
      <c r="M20" s="1091">
        <f t="shared" si="0"/>
        <v>0</v>
      </c>
      <c r="N20" s="84"/>
      <c r="O20" s="1048" t="e">
        <f t="shared" si="1"/>
        <v>#DIV/0!</v>
      </c>
    </row>
    <row r="21" spans="1:15" s="1049" customFormat="1" ht="12.75" hidden="1" customHeight="1">
      <c r="A21" s="1749">
        <v>2</v>
      </c>
      <c r="B21" s="4" t="s">
        <v>120</v>
      </c>
      <c r="C21" s="1763" t="e">
        <v>#REF!</v>
      </c>
      <c r="D21" s="1743" t="s">
        <v>121</v>
      </c>
      <c r="E21" s="1088" t="s">
        <v>115</v>
      </c>
      <c r="F21" s="1089">
        <f>'[1]D M S'!$M21</f>
        <v>0</v>
      </c>
      <c r="G21" s="1047">
        <f>'[2]D M S'!$M21</f>
        <v>0</v>
      </c>
      <c r="H21" s="1090">
        <f>'[3]D M S'!$M21</f>
        <v>0</v>
      </c>
      <c r="I21" s="1090">
        <f>'[9]D M S'!$M21</f>
        <v>0</v>
      </c>
      <c r="J21" s="1090">
        <f>'[5]D M S'!$M21</f>
        <v>0</v>
      </c>
      <c r="K21" s="1090">
        <f>'[6]D M S'!$M21</f>
        <v>0</v>
      </c>
      <c r="L21" s="1090">
        <f>'[7]D M S'!$M21</f>
        <v>0</v>
      </c>
      <c r="M21" s="1091">
        <f t="shared" si="0"/>
        <v>0</v>
      </c>
      <c r="N21" s="84"/>
      <c r="O21" s="1048" t="e">
        <f t="shared" si="1"/>
        <v>#DIV/0!</v>
      </c>
    </row>
    <row r="22" spans="1:15" s="1049" customFormat="1" ht="12.75" hidden="1" customHeight="1">
      <c r="A22" s="1749"/>
      <c r="B22" s="4"/>
      <c r="C22" s="1763"/>
      <c r="D22" s="1743"/>
      <c r="E22" s="1088" t="s">
        <v>116</v>
      </c>
      <c r="F22" s="1089">
        <f>'[1]D M S'!$M22</f>
        <v>0</v>
      </c>
      <c r="G22" s="1047">
        <f>'[2]D M S'!$M22</f>
        <v>0</v>
      </c>
      <c r="H22" s="1090">
        <f>'[3]D M S'!$M22</f>
        <v>0</v>
      </c>
      <c r="I22" s="1090">
        <f>'[9]D M S'!$M22</f>
        <v>0</v>
      </c>
      <c r="J22" s="1090">
        <f>'[5]D M S'!$M22</f>
        <v>0</v>
      </c>
      <c r="K22" s="1090">
        <f>'[6]D M S'!$M22</f>
        <v>0</v>
      </c>
      <c r="L22" s="1090">
        <f>'[7]D M S'!$M22</f>
        <v>0</v>
      </c>
      <c r="M22" s="1091">
        <f t="shared" si="0"/>
        <v>0</v>
      </c>
      <c r="N22" s="84"/>
      <c r="O22" s="1048" t="e">
        <f t="shared" si="1"/>
        <v>#DIV/0!</v>
      </c>
    </row>
    <row r="23" spans="1:15" s="1049" customFormat="1" ht="12.75" hidden="1" customHeight="1">
      <c r="A23" s="1749"/>
      <c r="B23" s="4"/>
      <c r="C23" s="1763"/>
      <c r="D23" s="1743"/>
      <c r="E23" s="1088" t="s">
        <v>117</v>
      </c>
      <c r="F23" s="1089">
        <f>'[1]D M S'!$M23</f>
        <v>0</v>
      </c>
      <c r="G23" s="1047">
        <f>'[2]D M S'!$M23</f>
        <v>0</v>
      </c>
      <c r="H23" s="1090">
        <f>'[3]D M S'!$M23</f>
        <v>0</v>
      </c>
      <c r="I23" s="1090">
        <f>'[9]D M S'!$M23</f>
        <v>0</v>
      </c>
      <c r="J23" s="1090">
        <f>'[5]D M S'!$M23</f>
        <v>0</v>
      </c>
      <c r="K23" s="1090">
        <f>'[6]D M S'!$M23</f>
        <v>0</v>
      </c>
      <c r="L23" s="1090">
        <f>'[7]D M S'!$M23</f>
        <v>0</v>
      </c>
      <c r="M23" s="1091">
        <f t="shared" si="0"/>
        <v>0</v>
      </c>
      <c r="N23" s="84"/>
      <c r="O23" s="1048" t="e">
        <f t="shared" si="1"/>
        <v>#DIV/0!</v>
      </c>
    </row>
    <row r="24" spans="1:15" ht="41.1" hidden="1" customHeight="1">
      <c r="A24" s="1749">
        <v>2</v>
      </c>
      <c r="B24" s="4" t="s">
        <v>120</v>
      </c>
      <c r="C24" s="1777"/>
      <c r="D24" s="1743"/>
      <c r="E24" s="1088" t="s">
        <v>115</v>
      </c>
      <c r="F24" s="1089">
        <f>'[1]D M S'!$M24</f>
        <v>0</v>
      </c>
      <c r="G24" s="1047">
        <f>'[2]D M S'!$M24</f>
        <v>0</v>
      </c>
      <c r="H24" s="1090">
        <f>'[3]D M S'!$M24</f>
        <v>0</v>
      </c>
      <c r="I24" s="1090">
        <f>'[9]D M S'!$M24</f>
        <v>0</v>
      </c>
      <c r="J24" s="1090">
        <f>'[5]D M S'!$M24</f>
        <v>0</v>
      </c>
      <c r="K24" s="1090">
        <f>'[6]D M S'!$M24</f>
        <v>0</v>
      </c>
      <c r="L24" s="1090">
        <f>'[7]D M S'!$M24</f>
        <v>0</v>
      </c>
      <c r="M24" s="1091">
        <f t="shared" si="0"/>
        <v>0</v>
      </c>
      <c r="N24" s="84"/>
      <c r="O24" s="1048" t="e">
        <f t="shared" si="1"/>
        <v>#DIV/0!</v>
      </c>
    </row>
    <row r="25" spans="1:15" ht="41.1" hidden="1" customHeight="1">
      <c r="A25" s="1749"/>
      <c r="B25" s="4"/>
      <c r="C25" s="1777"/>
      <c r="D25" s="1743"/>
      <c r="E25" s="1088" t="s">
        <v>116</v>
      </c>
      <c r="F25" s="1089">
        <f>'[1]D M S'!$M25</f>
        <v>0</v>
      </c>
      <c r="G25" s="1047">
        <f>'[2]D M S'!$M25</f>
        <v>0</v>
      </c>
      <c r="H25" s="1090">
        <f>'[3]D M S'!$M25</f>
        <v>0</v>
      </c>
      <c r="I25" s="1090">
        <f>'[9]D M S'!$M25</f>
        <v>0</v>
      </c>
      <c r="J25" s="1090">
        <f>'[5]D M S'!$M25</f>
        <v>0</v>
      </c>
      <c r="K25" s="1090">
        <f>'[6]D M S'!$M25</f>
        <v>0</v>
      </c>
      <c r="L25" s="1090">
        <f>'[7]D M S'!$M25</f>
        <v>0</v>
      </c>
      <c r="M25" s="1091">
        <f t="shared" si="0"/>
        <v>0</v>
      </c>
      <c r="N25" s="84"/>
      <c r="O25" s="1048" t="e">
        <f t="shared" si="1"/>
        <v>#DIV/0!</v>
      </c>
    </row>
    <row r="26" spans="1:15" ht="37.5" hidden="1" customHeight="1">
      <c r="A26" s="1749"/>
      <c r="B26" s="4"/>
      <c r="C26" s="1777"/>
      <c r="D26" s="1743"/>
      <c r="E26" s="1088" t="s">
        <v>117</v>
      </c>
      <c r="F26" s="1089">
        <f>'[1]D M S'!$M26</f>
        <v>0</v>
      </c>
      <c r="G26" s="1047">
        <f>'[2]D M S'!$M26</f>
        <v>0</v>
      </c>
      <c r="H26" s="1090">
        <f>'[3]D M S'!$M26</f>
        <v>0</v>
      </c>
      <c r="I26" s="1090">
        <f>'[9]D M S'!$M26</f>
        <v>0</v>
      </c>
      <c r="J26" s="1090">
        <f>'[5]D M S'!$M26</f>
        <v>0</v>
      </c>
      <c r="K26" s="1090">
        <f>'[6]D M S'!$M26</f>
        <v>0</v>
      </c>
      <c r="L26" s="1090">
        <f>'[7]D M S'!$M26</f>
        <v>0</v>
      </c>
      <c r="M26" s="1091">
        <f t="shared" si="0"/>
        <v>0</v>
      </c>
      <c r="N26" s="84"/>
      <c r="O26" s="1048" t="e">
        <f t="shared" si="1"/>
        <v>#DIV/0!</v>
      </c>
    </row>
    <row r="27" spans="1:15" s="1044" customFormat="1" ht="12.75" hidden="1" customHeight="1">
      <c r="A27" s="1749">
        <v>7</v>
      </c>
      <c r="B27" s="4" t="s">
        <v>120</v>
      </c>
      <c r="C27" s="1769"/>
      <c r="D27" s="1743" t="s">
        <v>121</v>
      </c>
      <c r="E27" s="1088" t="s">
        <v>115</v>
      </c>
      <c r="F27" s="1089">
        <f>'[1]D M S'!$M27</f>
        <v>0</v>
      </c>
      <c r="G27" s="1047">
        <f>'[2]D M S'!$M27</f>
        <v>0</v>
      </c>
      <c r="H27" s="1090">
        <f>'[3]D M S'!$M27</f>
        <v>0</v>
      </c>
      <c r="I27" s="1090">
        <f>'[9]D M S'!$M27</f>
        <v>0</v>
      </c>
      <c r="J27" s="1090">
        <f>'[5]D M S'!$M27</f>
        <v>0</v>
      </c>
      <c r="K27" s="1090">
        <f>'[6]D M S'!$M27</f>
        <v>0</v>
      </c>
      <c r="L27" s="1090">
        <f>'[7]D M S'!$M27</f>
        <v>0</v>
      </c>
      <c r="M27" s="1091">
        <f t="shared" si="0"/>
        <v>0</v>
      </c>
      <c r="N27" s="84">
        <v>660</v>
      </c>
      <c r="O27" s="1048" t="e">
        <f t="shared" si="1"/>
        <v>#DIV/0!</v>
      </c>
    </row>
    <row r="28" spans="1:15" s="1044" customFormat="1" ht="12.75" hidden="1" customHeight="1">
      <c r="A28" s="1749"/>
      <c r="B28" s="4"/>
      <c r="C28" s="1769"/>
      <c r="D28" s="1743"/>
      <c r="E28" s="1088" t="s">
        <v>116</v>
      </c>
      <c r="F28" s="1089">
        <f>'[1]D M S'!$M28</f>
        <v>0</v>
      </c>
      <c r="G28" s="1047">
        <f>'[2]D M S'!$M28</f>
        <v>0</v>
      </c>
      <c r="H28" s="1090">
        <f>'[3]D M S'!$M28</f>
        <v>0</v>
      </c>
      <c r="I28" s="1090">
        <f>'[9]D M S'!$M28</f>
        <v>0</v>
      </c>
      <c r="J28" s="1090">
        <f>'[5]D M S'!$M28</f>
        <v>0</v>
      </c>
      <c r="K28" s="1090">
        <f>'[6]D M S'!$M28</f>
        <v>0</v>
      </c>
      <c r="L28" s="1090">
        <f>'[7]D M S'!$M28</f>
        <v>0</v>
      </c>
      <c r="M28" s="1091">
        <f t="shared" si="0"/>
        <v>0</v>
      </c>
      <c r="N28" s="84"/>
      <c r="O28" s="1048" t="e">
        <f t="shared" si="1"/>
        <v>#DIV/0!</v>
      </c>
    </row>
    <row r="29" spans="1:15" s="1044" customFormat="1" ht="12.75" hidden="1" customHeight="1">
      <c r="A29" s="1749"/>
      <c r="B29" s="4"/>
      <c r="C29" s="1769"/>
      <c r="D29" s="1743"/>
      <c r="E29" s="1088" t="s">
        <v>117</v>
      </c>
      <c r="F29" s="1089">
        <f>'[1]D M S'!$M29</f>
        <v>0</v>
      </c>
      <c r="G29" s="1047">
        <f>'[2]D M S'!$M29</f>
        <v>0</v>
      </c>
      <c r="H29" s="1090">
        <f>'[3]D M S'!$M29</f>
        <v>0</v>
      </c>
      <c r="I29" s="1090">
        <f>'[9]D M S'!$M29</f>
        <v>0</v>
      </c>
      <c r="J29" s="1090">
        <f>'[5]D M S'!$M29</f>
        <v>0</v>
      </c>
      <c r="K29" s="1090">
        <f>'[6]D M S'!$M29</f>
        <v>0</v>
      </c>
      <c r="L29" s="1090">
        <f>'[7]D M S'!$M29</f>
        <v>0</v>
      </c>
      <c r="M29" s="1091">
        <f t="shared" si="0"/>
        <v>0</v>
      </c>
      <c r="N29" s="84"/>
      <c r="O29" s="1048" t="e">
        <f t="shared" si="1"/>
        <v>#DIV/0!</v>
      </c>
    </row>
    <row r="30" spans="1:15" s="1044" customFormat="1" ht="40.5" customHeight="1">
      <c r="A30" s="1093"/>
      <c r="B30" s="1764" t="s">
        <v>118</v>
      </c>
      <c r="C30" s="1764"/>
      <c r="D30" s="1764"/>
      <c r="E30" s="1088"/>
      <c r="F30" s="1089">
        <f>'[1]D M S'!$M30</f>
        <v>0</v>
      </c>
      <c r="G30" s="1047">
        <f>'[2]D M S'!$M30</f>
        <v>0</v>
      </c>
      <c r="H30" s="1090">
        <f>'[3]D M S'!$M30</f>
        <v>0</v>
      </c>
      <c r="I30" s="1090">
        <f>'[4]D M S'!$M30</f>
        <v>0</v>
      </c>
      <c r="J30" s="1090">
        <f>'[5]D M S'!$M30</f>
        <v>0</v>
      </c>
      <c r="K30" s="1090">
        <f>'[6]D M S'!$M30</f>
        <v>0</v>
      </c>
      <c r="L30" s="1090">
        <f>'[7]D M S'!$M30</f>
        <v>0</v>
      </c>
      <c r="M30" s="1091">
        <f t="shared" si="0"/>
        <v>0</v>
      </c>
      <c r="N30" s="84"/>
      <c r="O30" s="1048" t="e">
        <f t="shared" si="1"/>
        <v>#DIV/0!</v>
      </c>
    </row>
    <row r="31" spans="1:15" s="1046" customFormat="1" ht="41.1" customHeight="1">
      <c r="A31" s="1748" t="s">
        <v>122</v>
      </c>
      <c r="B31" s="1748"/>
      <c r="C31" s="1748"/>
      <c r="D31" s="1748"/>
      <c r="E31" s="1748"/>
      <c r="F31" s="1089" t="e">
        <f>'[1]D M S'!$M31</f>
        <v>#REF!</v>
      </c>
      <c r="G31" s="1047">
        <f>'[2]D M S'!$M31</f>
        <v>0</v>
      </c>
      <c r="H31" s="1090">
        <f>'[3]D M S'!$M31</f>
        <v>0</v>
      </c>
      <c r="I31" s="1090">
        <f>'[4]D M S'!$M31</f>
        <v>0</v>
      </c>
      <c r="J31" s="1090">
        <f>'[5]D M S'!$M31</f>
        <v>0</v>
      </c>
      <c r="K31" s="1090">
        <f>'[6]D M S'!$M31</f>
        <v>0</v>
      </c>
      <c r="L31" s="1090">
        <f>'[7]D M S'!$M31</f>
        <v>0</v>
      </c>
      <c r="M31" s="1094" t="e">
        <f t="shared" si="0"/>
        <v>#REF!</v>
      </c>
      <c r="N31" s="84"/>
      <c r="O31" s="1048" t="e">
        <f t="shared" si="1"/>
        <v>#REF!</v>
      </c>
    </row>
    <row r="32" spans="1:15" s="1044" customFormat="1" ht="41.1" customHeight="1">
      <c r="A32" s="4">
        <v>1</v>
      </c>
      <c r="B32" s="1765" t="s">
        <v>194</v>
      </c>
      <c r="C32" s="1751" t="s">
        <v>718</v>
      </c>
      <c r="D32" s="4" t="s">
        <v>127</v>
      </c>
      <c r="E32" s="1088" t="s">
        <v>115</v>
      </c>
      <c r="F32" s="1089">
        <f>'[8]D M S'!$M32</f>
        <v>3.42</v>
      </c>
      <c r="G32" s="1047">
        <f>'[2]D M S'!$M32</f>
        <v>2</v>
      </c>
      <c r="H32" s="1090">
        <f>'[3]D M S'!$M32</f>
        <v>0</v>
      </c>
      <c r="I32" s="1090">
        <f>'[9]D M S'!$M32</f>
        <v>1.5</v>
      </c>
      <c r="J32" s="1090">
        <f>'[5]D M S'!$M32</f>
        <v>2.5</v>
      </c>
      <c r="K32" s="1090">
        <f>'[6]D M S'!$M32</f>
        <v>0</v>
      </c>
      <c r="L32" s="1090">
        <f>'[7]D M S'!$M32</f>
        <v>3.08</v>
      </c>
      <c r="M32" s="1091">
        <f t="shared" si="0"/>
        <v>12.5</v>
      </c>
      <c r="N32" s="84">
        <v>270</v>
      </c>
      <c r="O32" s="1048">
        <f t="shared" si="1"/>
        <v>21.6</v>
      </c>
    </row>
    <row r="33" spans="1:16" s="1044" customFormat="1" ht="41.1" customHeight="1">
      <c r="A33" s="4"/>
      <c r="B33" s="1765"/>
      <c r="C33" s="1751"/>
      <c r="D33" s="4"/>
      <c r="E33" s="1088" t="s">
        <v>116</v>
      </c>
      <c r="F33" s="1089">
        <f>'[8]D M S'!$M33</f>
        <v>4.58</v>
      </c>
      <c r="G33" s="1047">
        <f>'[2]D M S'!$M33</f>
        <v>6</v>
      </c>
      <c r="H33" s="1090">
        <f>'[3]D M S'!$M33</f>
        <v>0</v>
      </c>
      <c r="I33" s="1090">
        <f>'[9]D M S'!$M33</f>
        <v>6.5</v>
      </c>
      <c r="J33" s="1090">
        <f>'[5]D M S'!$M33</f>
        <v>5.5</v>
      </c>
      <c r="K33" s="1090">
        <f>'[6]D M S'!$M33</f>
        <v>8</v>
      </c>
      <c r="L33" s="1090">
        <f>'[7]D M S'!$M33</f>
        <v>4.92</v>
      </c>
      <c r="M33" s="1091">
        <f t="shared" si="0"/>
        <v>35.5</v>
      </c>
      <c r="N33" s="84"/>
      <c r="O33" s="1048">
        <f t="shared" si="1"/>
        <v>0</v>
      </c>
    </row>
    <row r="34" spans="1:16" s="1044" customFormat="1" ht="41.1" customHeight="1">
      <c r="A34" s="4"/>
      <c r="B34" s="1765"/>
      <c r="C34" s="1751"/>
      <c r="D34" s="4"/>
      <c r="E34" s="1088" t="s">
        <v>117</v>
      </c>
      <c r="F34" s="1089">
        <f>'[8]D M S'!$M34</f>
        <v>0</v>
      </c>
      <c r="G34" s="1047">
        <f>'[2]D M S'!$M34</f>
        <v>0</v>
      </c>
      <c r="H34" s="1090">
        <f>'[3]D M S'!$M34</f>
        <v>0</v>
      </c>
      <c r="I34" s="1090">
        <f>'[9]D M S'!$M34</f>
        <v>0</v>
      </c>
      <c r="J34" s="1090">
        <f>'[5]D M S'!$M34</f>
        <v>0</v>
      </c>
      <c r="K34" s="1090">
        <f>'[6]D M S'!$M34</f>
        <v>0</v>
      </c>
      <c r="L34" s="1090">
        <f>'[7]D M S'!$M34</f>
        <v>0</v>
      </c>
      <c r="M34" s="1091">
        <f t="shared" si="0"/>
        <v>0</v>
      </c>
      <c r="N34" s="84"/>
      <c r="O34" s="1048" t="e">
        <f t="shared" si="1"/>
        <v>#DIV/0!</v>
      </c>
    </row>
    <row r="35" spans="1:16" s="1044" customFormat="1" ht="41.1" customHeight="1">
      <c r="A35" s="4">
        <v>2</v>
      </c>
      <c r="B35" s="1766" t="s">
        <v>194</v>
      </c>
      <c r="C35" s="1751" t="s">
        <v>689</v>
      </c>
      <c r="D35" s="1769" t="s">
        <v>127</v>
      </c>
      <c r="E35" s="1088" t="s">
        <v>115</v>
      </c>
      <c r="F35" s="1089">
        <f>'[8]D M S'!$M35</f>
        <v>2.5</v>
      </c>
      <c r="G35" s="1047">
        <f>'[2]D M S'!$M35</f>
        <v>3.5</v>
      </c>
      <c r="H35" s="1090">
        <f>'[3]D M S'!$M35</f>
        <v>0</v>
      </c>
      <c r="I35" s="1090">
        <f>'[9]D M S'!$M35</f>
        <v>6.5</v>
      </c>
      <c r="J35" s="1090">
        <f>'[5]D M S'!$M35</f>
        <v>7.33</v>
      </c>
      <c r="K35" s="1090">
        <f>'[6]D M S'!$M35</f>
        <v>0</v>
      </c>
      <c r="L35" s="1090">
        <f>'[7]D M S'!$M35</f>
        <v>2</v>
      </c>
      <c r="M35" s="1091">
        <f t="shared" si="0"/>
        <v>21.83</v>
      </c>
      <c r="N35" s="84">
        <v>270</v>
      </c>
      <c r="O35" s="1048">
        <f t="shared" si="1"/>
        <v>12.368300503893725</v>
      </c>
    </row>
    <row r="36" spans="1:16" s="1044" customFormat="1" ht="41.1" customHeight="1">
      <c r="A36" s="4"/>
      <c r="B36" s="1767"/>
      <c r="C36" s="1751"/>
      <c r="D36" s="1769"/>
      <c r="E36" s="1088" t="s">
        <v>116</v>
      </c>
      <c r="F36" s="1089">
        <f>'[8]D M S'!$M36</f>
        <v>5.5</v>
      </c>
      <c r="G36" s="1047">
        <f>'[2]D M S'!$M36</f>
        <v>4.5</v>
      </c>
      <c r="H36" s="1090">
        <f>'[3]D M S'!$M36</f>
        <v>0</v>
      </c>
      <c r="I36" s="1090">
        <f>'[9]D M S'!$M36</f>
        <v>1.5</v>
      </c>
      <c r="J36" s="1090">
        <f>'[5]D M S'!$M36</f>
        <v>0</v>
      </c>
      <c r="K36" s="1090">
        <f>'[6]D M S'!$M36</f>
        <v>8</v>
      </c>
      <c r="L36" s="1090">
        <f>'[7]D M S'!$M36</f>
        <v>6</v>
      </c>
      <c r="M36" s="1091">
        <f t="shared" si="0"/>
        <v>25.5</v>
      </c>
      <c r="N36" s="84"/>
      <c r="O36" s="1048">
        <f t="shared" si="1"/>
        <v>0</v>
      </c>
    </row>
    <row r="37" spans="1:16" s="1044" customFormat="1" ht="41.1" customHeight="1">
      <c r="A37" s="4"/>
      <c r="B37" s="1768"/>
      <c r="C37" s="1751"/>
      <c r="D37" s="1769"/>
      <c r="E37" s="1088" t="s">
        <v>117</v>
      </c>
      <c r="F37" s="1089">
        <f>'[8]D M S'!$M37</f>
        <v>0</v>
      </c>
      <c r="G37" s="1047">
        <f>'[2]D M S'!$M37</f>
        <v>0</v>
      </c>
      <c r="H37" s="1090">
        <f>'[3]D M S'!$M37</f>
        <v>0</v>
      </c>
      <c r="I37" s="1090">
        <f>'[9]D M S'!$M37</f>
        <v>0</v>
      </c>
      <c r="J37" s="1090">
        <f>'[5]D M S'!$M37</f>
        <v>0</v>
      </c>
      <c r="K37" s="1090">
        <f>'[6]D M S'!$M37</f>
        <v>0</v>
      </c>
      <c r="L37" s="1090">
        <f>'[7]D M S'!$M37</f>
        <v>0</v>
      </c>
      <c r="M37" s="1091">
        <f t="shared" si="0"/>
        <v>0</v>
      </c>
      <c r="N37" s="84"/>
      <c r="O37" s="1048" t="e">
        <f t="shared" si="1"/>
        <v>#DIV/0!</v>
      </c>
    </row>
    <row r="38" spans="1:16" s="1044" customFormat="1" ht="12.75" hidden="1" customHeight="1">
      <c r="A38" s="1749">
        <v>2</v>
      </c>
      <c r="B38" s="1765" t="s">
        <v>124</v>
      </c>
      <c r="C38" s="1743" t="e">
        <v>#REF!</v>
      </c>
      <c r="D38" s="1743"/>
      <c r="E38" s="1088" t="s">
        <v>115</v>
      </c>
      <c r="F38" s="1089">
        <f>'[8]D M S'!$M38</f>
        <v>0</v>
      </c>
      <c r="G38" s="1047">
        <f>'[2]D M S'!$M38</f>
        <v>0</v>
      </c>
      <c r="H38" s="1090">
        <f>'[3]D M S'!$M38</f>
        <v>0</v>
      </c>
      <c r="I38" s="1090">
        <f>'[9]D M S'!$M38</f>
        <v>0</v>
      </c>
      <c r="J38" s="1090">
        <f>'[5]D M S'!$M38</f>
        <v>0</v>
      </c>
      <c r="K38" s="1090">
        <f>'[6]D M S'!$M38</f>
        <v>0</v>
      </c>
      <c r="L38" s="1090">
        <f>'[7]D M S'!$M38</f>
        <v>0</v>
      </c>
      <c r="M38" s="1091">
        <f t="shared" si="0"/>
        <v>0</v>
      </c>
      <c r="N38" s="84"/>
      <c r="O38" s="1048" t="e">
        <f t="shared" si="1"/>
        <v>#DIV/0!</v>
      </c>
    </row>
    <row r="39" spans="1:16" s="1044" customFormat="1" ht="12.75" hidden="1" customHeight="1">
      <c r="A39" s="1749"/>
      <c r="B39" s="1765"/>
      <c r="C39" s="1743"/>
      <c r="D39" s="1743"/>
      <c r="E39" s="1088" t="s">
        <v>116</v>
      </c>
      <c r="F39" s="1089">
        <f>'[8]D M S'!$M39</f>
        <v>0</v>
      </c>
      <c r="G39" s="1047">
        <f>'[2]D M S'!$M39</f>
        <v>0</v>
      </c>
      <c r="H39" s="1090">
        <f>'[3]D M S'!$M39</f>
        <v>0</v>
      </c>
      <c r="I39" s="1090">
        <f>'[9]D M S'!$M39</f>
        <v>0</v>
      </c>
      <c r="J39" s="1090">
        <f>'[5]D M S'!$M39</f>
        <v>0</v>
      </c>
      <c r="K39" s="1090">
        <f>'[6]D M S'!$M39</f>
        <v>0</v>
      </c>
      <c r="L39" s="1090">
        <f>'[7]D M S'!$M39</f>
        <v>0</v>
      </c>
      <c r="M39" s="1091">
        <f t="shared" si="0"/>
        <v>0</v>
      </c>
      <c r="N39" s="84"/>
      <c r="O39" s="1048" t="e">
        <f t="shared" si="1"/>
        <v>#DIV/0!</v>
      </c>
    </row>
    <row r="40" spans="1:16" s="1044" customFormat="1" ht="12.75" hidden="1" customHeight="1">
      <c r="A40" s="1749"/>
      <c r="B40" s="1765"/>
      <c r="C40" s="1743"/>
      <c r="D40" s="1743"/>
      <c r="E40" s="1088" t="s">
        <v>117</v>
      </c>
      <c r="F40" s="1089">
        <f>'[8]D M S'!$M40</f>
        <v>0</v>
      </c>
      <c r="G40" s="1047">
        <f>'[2]D M S'!$M40</f>
        <v>0</v>
      </c>
      <c r="H40" s="1090">
        <f>'[3]D M S'!$M40</f>
        <v>0</v>
      </c>
      <c r="I40" s="1090">
        <f>'[9]D M S'!$M40</f>
        <v>0</v>
      </c>
      <c r="J40" s="1090">
        <f>'[5]D M S'!$M40</f>
        <v>0</v>
      </c>
      <c r="K40" s="1090">
        <f>'[6]D M S'!$M40</f>
        <v>0</v>
      </c>
      <c r="L40" s="1090">
        <f>'[7]D M S'!$M40</f>
        <v>0</v>
      </c>
      <c r="M40" s="1091">
        <f t="shared" si="0"/>
        <v>0</v>
      </c>
      <c r="N40" s="84"/>
      <c r="O40" s="1048" t="e">
        <f t="shared" si="1"/>
        <v>#DIV/0!</v>
      </c>
    </row>
    <row r="41" spans="1:16" s="1046" customFormat="1" ht="41.1" customHeight="1">
      <c r="A41" s="1748" t="s">
        <v>125</v>
      </c>
      <c r="B41" s="1748"/>
      <c r="C41" s="1748"/>
      <c r="D41" s="1748"/>
      <c r="E41" s="1748"/>
      <c r="F41" s="1089" t="e">
        <f>'[1]D M S'!$M41</f>
        <v>#REF!</v>
      </c>
      <c r="G41" s="1047">
        <f>'[2]D M S'!$M41</f>
        <v>0</v>
      </c>
      <c r="H41" s="1090">
        <f>'[3]D M S'!$M41</f>
        <v>0</v>
      </c>
      <c r="I41" s="1090">
        <f>'[4]D M S'!$M41</f>
        <v>0</v>
      </c>
      <c r="J41" s="1090">
        <f>'[5]D M S'!$M41</f>
        <v>0</v>
      </c>
      <c r="K41" s="1090">
        <f>'[6]D M S'!$M41</f>
        <v>0</v>
      </c>
      <c r="L41" s="1090">
        <f>'[7]D M S'!$M41</f>
        <v>0</v>
      </c>
      <c r="M41" s="1094"/>
      <c r="N41" s="84"/>
      <c r="O41" s="1048" t="e">
        <f t="shared" si="1"/>
        <v>#DIV/0!</v>
      </c>
    </row>
    <row r="42" spans="1:16" s="1044" customFormat="1" ht="41.1" customHeight="1">
      <c r="A42" s="1749">
        <v>1</v>
      </c>
      <c r="B42" s="4" t="s">
        <v>126</v>
      </c>
      <c r="C42" s="1750" t="s">
        <v>690</v>
      </c>
      <c r="D42" s="1743" t="s">
        <v>619</v>
      </c>
      <c r="E42" s="1088" t="s">
        <v>115</v>
      </c>
      <c r="F42" s="1089">
        <f>'[8]D M S'!$M42</f>
        <v>9.83</v>
      </c>
      <c r="G42" s="1047">
        <f>'[2]D M S'!$M42</f>
        <v>13.67</v>
      </c>
      <c r="H42" s="1090">
        <f>'[3]D M S'!$M42</f>
        <v>0</v>
      </c>
      <c r="I42" s="1090">
        <f>'[9]D M S'!$M42</f>
        <v>10</v>
      </c>
      <c r="J42" s="1090">
        <f>'[5]D M S'!$M42</f>
        <v>5.17</v>
      </c>
      <c r="K42" s="1090">
        <f>'[6]D M S'!$M42</f>
        <v>0</v>
      </c>
      <c r="L42" s="1090">
        <f>'[7]D M S'!$M42</f>
        <v>10.199999999999999</v>
      </c>
      <c r="M42" s="1091">
        <f t="shared" ref="M42:M67" si="4">SUM(F42:L42)</f>
        <v>48.870000000000005</v>
      </c>
      <c r="N42" s="84"/>
      <c r="O42" s="1048">
        <f t="shared" si="1"/>
        <v>0</v>
      </c>
    </row>
    <row r="43" spans="1:16" s="1044" customFormat="1" ht="40.5" customHeight="1">
      <c r="A43" s="1749"/>
      <c r="B43" s="4"/>
      <c r="C43" s="1750"/>
      <c r="D43" s="1743"/>
      <c r="E43" s="1088" t="s">
        <v>116</v>
      </c>
      <c r="F43" s="1089">
        <f>'[8]D M S'!$M43</f>
        <v>0</v>
      </c>
      <c r="G43" s="1047">
        <f>'[2]D M S'!$M43</f>
        <v>0</v>
      </c>
      <c r="H43" s="1090">
        <f>'[3]D M S'!$M43</f>
        <v>0</v>
      </c>
      <c r="I43" s="1090">
        <f>'[9]D M S'!$M43</f>
        <v>0</v>
      </c>
      <c r="J43" s="1090">
        <f>'[5]D M S'!$M43</f>
        <v>4.83</v>
      </c>
      <c r="K43" s="1090">
        <f>'[6]D M S'!$M43</f>
        <v>10</v>
      </c>
      <c r="L43" s="1090">
        <f>'[7]D M S'!$M43</f>
        <v>0</v>
      </c>
      <c r="M43" s="1091">
        <f t="shared" si="4"/>
        <v>14.83</v>
      </c>
      <c r="N43" s="84"/>
      <c r="O43" s="1048">
        <f t="shared" si="1"/>
        <v>0</v>
      </c>
    </row>
    <row r="44" spans="1:16" s="1044" customFormat="1" ht="41.1" customHeight="1">
      <c r="A44" s="1749"/>
      <c r="B44" s="4"/>
      <c r="C44" s="1750"/>
      <c r="D44" s="1743"/>
      <c r="E44" s="1088" t="s">
        <v>117</v>
      </c>
      <c r="F44" s="1089">
        <f>'[8]D M S'!$M44</f>
        <v>0</v>
      </c>
      <c r="G44" s="1047">
        <f>'[2]D M S'!$M44</f>
        <v>0</v>
      </c>
      <c r="H44" s="1090">
        <f>'[3]D M S'!$M44</f>
        <v>0</v>
      </c>
      <c r="I44" s="1090">
        <f>'[9]D M S'!$M44</f>
        <v>0</v>
      </c>
      <c r="J44" s="1090">
        <f>'[5]D M S'!$M44</f>
        <v>0</v>
      </c>
      <c r="K44" s="1090">
        <f>'[6]D M S'!$M44</f>
        <v>0</v>
      </c>
      <c r="L44" s="1090">
        <f>'[7]D M S'!$M44</f>
        <v>0</v>
      </c>
      <c r="M44" s="1091">
        <f t="shared" si="4"/>
        <v>0</v>
      </c>
      <c r="N44" s="84"/>
      <c r="O44" s="1048" t="e">
        <f t="shared" si="1"/>
        <v>#DIV/0!</v>
      </c>
    </row>
    <row r="45" spans="1:16" s="1044" customFormat="1" ht="41.1" customHeight="1">
      <c r="A45" s="1749">
        <v>2</v>
      </c>
      <c r="B45" s="1095"/>
      <c r="C45" s="1751" t="s">
        <v>691</v>
      </c>
      <c r="D45" s="1743" t="s">
        <v>619</v>
      </c>
      <c r="E45" s="1088" t="s">
        <v>115</v>
      </c>
      <c r="F45" s="1089">
        <f>'[8]D M S'!$M45</f>
        <v>0</v>
      </c>
      <c r="G45" s="1047">
        <f>'[2]D M S'!$M45</f>
        <v>0.25</v>
      </c>
      <c r="H45" s="1090">
        <f>'[3]D M S'!$M45</f>
        <v>0</v>
      </c>
      <c r="I45" s="1090">
        <f>'[9]D M S'!$M45</f>
        <v>10</v>
      </c>
      <c r="J45" s="1090">
        <f>'[5]D M S'!$M45</f>
        <v>8</v>
      </c>
      <c r="K45" s="1090">
        <f>'[6]D M S'!$M45</f>
        <v>7</v>
      </c>
      <c r="L45" s="1090">
        <f>'[7]D M S'!$M45</f>
        <v>0.5</v>
      </c>
      <c r="M45" s="1091">
        <f t="shared" si="4"/>
        <v>25.75</v>
      </c>
      <c r="N45" s="84"/>
      <c r="O45" s="1048"/>
    </row>
    <row r="46" spans="1:16" ht="41.1" customHeight="1">
      <c r="A46" s="1749"/>
      <c r="B46" s="1096" t="s">
        <v>126</v>
      </c>
      <c r="C46" s="1752"/>
      <c r="D46" s="1743"/>
      <c r="E46" s="1088" t="s">
        <v>116</v>
      </c>
      <c r="F46" s="1089">
        <f>'[8]D M S'!$M46</f>
        <v>10</v>
      </c>
      <c r="G46" s="1047">
        <f>'[2]D M S'!$M46</f>
        <v>9.75</v>
      </c>
      <c r="H46" s="1090">
        <f>'[3]D M S'!$M46</f>
        <v>0</v>
      </c>
      <c r="I46" s="1090">
        <f>'[9]D M S'!$M46</f>
        <v>0</v>
      </c>
      <c r="J46" s="1090">
        <f>'[5]D M S'!$M46</f>
        <v>2</v>
      </c>
      <c r="K46" s="1090">
        <f>'[6]D M S'!$M46</f>
        <v>3</v>
      </c>
      <c r="L46" s="1090">
        <f>'[7]D M S'!$M46</f>
        <v>9.5</v>
      </c>
      <c r="M46" s="1091">
        <f t="shared" si="4"/>
        <v>34.25</v>
      </c>
      <c r="N46" s="84"/>
      <c r="O46" s="1048"/>
    </row>
    <row r="47" spans="1:16" s="1044" customFormat="1" ht="41.1" customHeight="1">
      <c r="A47" s="1749"/>
      <c r="B47" s="1097"/>
      <c r="C47" s="1753"/>
      <c r="D47" s="1743"/>
      <c r="E47" s="1088" t="s">
        <v>117</v>
      </c>
      <c r="F47" s="1089">
        <f>'[8]D M S'!$M47</f>
        <v>0</v>
      </c>
      <c r="G47" s="1047">
        <f>'[2]D M S'!$M47</f>
        <v>0</v>
      </c>
      <c r="H47" s="1090">
        <f>'[3]D M S'!$M47</f>
        <v>0</v>
      </c>
      <c r="I47" s="1090">
        <f>'[9]D M S'!$M47</f>
        <v>0</v>
      </c>
      <c r="J47" s="1090">
        <f>'[5]D M S'!$M47</f>
        <v>0</v>
      </c>
      <c r="K47" s="1090">
        <f>'[6]D M S'!$M47</f>
        <v>0</v>
      </c>
      <c r="L47" s="1090">
        <f>'[7]D M S'!$M47</f>
        <v>0</v>
      </c>
      <c r="M47" s="1091">
        <f t="shared" si="4"/>
        <v>0</v>
      </c>
      <c r="N47" s="84"/>
      <c r="O47" s="1048"/>
    </row>
    <row r="48" spans="1:16" s="1345" customFormat="1" ht="41.1" customHeight="1">
      <c r="A48" s="1745">
        <v>3</v>
      </c>
      <c r="B48" s="1745" t="s">
        <v>126</v>
      </c>
      <c r="C48" s="1745" t="s">
        <v>747</v>
      </c>
      <c r="D48" s="1745" t="s">
        <v>619</v>
      </c>
      <c r="E48" s="1097" t="s">
        <v>115</v>
      </c>
      <c r="F48" s="1089">
        <f>'[8]D M S'!$M48</f>
        <v>9.6999999999999993</v>
      </c>
      <c r="G48" s="1097">
        <f>'[2]D M S'!$M48</f>
        <v>12.9</v>
      </c>
      <c r="H48" s="1097">
        <f>'[3]D M S'!$M48</f>
        <v>0</v>
      </c>
      <c r="I48" s="1097">
        <f>'[9]D M S'!$M48</f>
        <v>12.6</v>
      </c>
      <c r="J48" s="1097">
        <f>'[5]D M S'!$M48</f>
        <v>6</v>
      </c>
      <c r="K48" s="1097">
        <f>'[6]D M S'!$M48</f>
        <v>0</v>
      </c>
      <c r="L48" s="1097">
        <f>'[7]D M S'!$M48</f>
        <v>0</v>
      </c>
      <c r="M48" s="1097">
        <f t="shared" ref="M48:M50" si="5">SUM(F48:L48)</f>
        <v>41.2</v>
      </c>
      <c r="N48" s="1097"/>
      <c r="O48" s="1097"/>
      <c r="P48" s="1097"/>
    </row>
    <row r="49" spans="1:16" s="1345" customFormat="1" ht="41.1" customHeight="1">
      <c r="A49" s="1746"/>
      <c r="B49" s="1746"/>
      <c r="C49" s="1746"/>
      <c r="D49" s="1746"/>
      <c r="E49" s="1097" t="s">
        <v>116</v>
      </c>
      <c r="F49" s="1089">
        <f>'[8]D M S'!$M49</f>
        <v>0</v>
      </c>
      <c r="G49" s="1097">
        <f>'[2]D M S'!$M49</f>
        <v>0</v>
      </c>
      <c r="H49" s="1097">
        <f>'[3]D M S'!$M49</f>
        <v>0</v>
      </c>
      <c r="I49" s="1097">
        <f>'[9]D M S'!$M49</f>
        <v>0</v>
      </c>
      <c r="J49" s="1097">
        <f>'[5]D M S'!$M49</f>
        <v>4</v>
      </c>
      <c r="K49" s="1097">
        <f>'[6]D M S'!$M49</f>
        <v>10</v>
      </c>
      <c r="L49" s="1097">
        <f>'[7]D M S'!$M49</f>
        <v>10</v>
      </c>
      <c r="M49" s="1097">
        <f t="shared" si="5"/>
        <v>24</v>
      </c>
      <c r="N49" s="1097"/>
      <c r="O49" s="1097"/>
      <c r="P49" s="1097"/>
    </row>
    <row r="50" spans="1:16" s="1345" customFormat="1" ht="41.1" customHeight="1">
      <c r="A50" s="1747"/>
      <c r="B50" s="1747"/>
      <c r="C50" s="1747"/>
      <c r="D50" s="1747"/>
      <c r="E50" s="1097" t="s">
        <v>117</v>
      </c>
      <c r="F50" s="1089">
        <f>'[8]D M S'!$M50</f>
        <v>0</v>
      </c>
      <c r="G50" s="1097">
        <f>'[2]D M S'!$M50</f>
        <v>0</v>
      </c>
      <c r="H50" s="1097">
        <f>'[3]D M S'!$M50</f>
        <v>0</v>
      </c>
      <c r="I50" s="1097">
        <f>'[9]D M S'!$M50</f>
        <v>0</v>
      </c>
      <c r="J50" s="1097">
        <f>'[5]D M S'!$M50</f>
        <v>0</v>
      </c>
      <c r="K50" s="1097">
        <f>'[6]D M S'!$M50</f>
        <v>0</v>
      </c>
      <c r="L50" s="1097">
        <f>'[7]D M S'!$M50</f>
        <v>0</v>
      </c>
      <c r="M50" s="1097">
        <f t="shared" si="5"/>
        <v>0</v>
      </c>
      <c r="N50" s="1097"/>
      <c r="O50" s="1097"/>
      <c r="P50" s="1097"/>
    </row>
    <row r="51" spans="1:16" s="1345" customFormat="1" ht="41.1" hidden="1" customHeight="1">
      <c r="A51" s="1784">
        <v>4</v>
      </c>
      <c r="B51" s="1785" t="s">
        <v>126</v>
      </c>
      <c r="C51" s="1788" t="s">
        <v>760</v>
      </c>
      <c r="D51" s="1789" t="s">
        <v>619</v>
      </c>
      <c r="E51" s="1339" t="s">
        <v>115</v>
      </c>
      <c r="F51" s="1089">
        <f>'[8]D M S'!$M51</f>
        <v>0</v>
      </c>
      <c r="G51" s="1340">
        <f>'[2]D M S'!$M51</f>
        <v>0</v>
      </c>
      <c r="H51" s="1341">
        <f>'[3]D M S'!$M51</f>
        <v>0</v>
      </c>
      <c r="I51" s="1090">
        <f>'[9]D M S'!$M51</f>
        <v>0</v>
      </c>
      <c r="J51" s="1341">
        <f>'[5]D M S'!$M51</f>
        <v>0</v>
      </c>
      <c r="K51" s="1341">
        <f>'[6]D M S'!$M51</f>
        <v>0</v>
      </c>
      <c r="L51" s="1341">
        <f>'[7]D M S'!$M51</f>
        <v>0</v>
      </c>
      <c r="M51" s="1342">
        <f t="shared" ref="M51:M53" si="6">SUM(F51:L51)</f>
        <v>0</v>
      </c>
      <c r="N51" s="1343"/>
      <c r="O51" s="1344"/>
    </row>
    <row r="52" spans="1:16" s="1345" customFormat="1" ht="41.1" hidden="1" customHeight="1">
      <c r="A52" s="1784"/>
      <c r="B52" s="1786"/>
      <c r="C52" s="1788"/>
      <c r="D52" s="1789"/>
      <c r="E52" s="1339" t="s">
        <v>116</v>
      </c>
      <c r="F52" s="1089">
        <f>'[8]D M S'!$M52</f>
        <v>0</v>
      </c>
      <c r="G52" s="1340">
        <f>'[2]D M S'!$M52</f>
        <v>0</v>
      </c>
      <c r="H52" s="1341">
        <f>'[3]D M S'!$M52</f>
        <v>0</v>
      </c>
      <c r="I52" s="1090">
        <f>'[9]D M S'!$M52</f>
        <v>0</v>
      </c>
      <c r="J52" s="1341">
        <f>'[5]D M S'!$M52</f>
        <v>0</v>
      </c>
      <c r="K52" s="1341">
        <f>'[6]D M S'!$M52</f>
        <v>0</v>
      </c>
      <c r="L52" s="1341">
        <f>'[7]D M S'!$M52</f>
        <v>0</v>
      </c>
      <c r="M52" s="1342">
        <f t="shared" si="6"/>
        <v>0</v>
      </c>
      <c r="N52" s="1343"/>
      <c r="O52" s="1344"/>
    </row>
    <row r="53" spans="1:16" s="1345" customFormat="1" ht="41.1" hidden="1" customHeight="1">
      <c r="A53" s="1784"/>
      <c r="B53" s="1787"/>
      <c r="C53" s="1788"/>
      <c r="D53" s="1789"/>
      <c r="E53" s="1339" t="s">
        <v>117</v>
      </c>
      <c r="F53" s="1089">
        <f>'[8]D M S'!$M53</f>
        <v>0</v>
      </c>
      <c r="G53" s="1340">
        <f>'[2]D M S'!$M53</f>
        <v>0</v>
      </c>
      <c r="H53" s="1341">
        <f>'[3]D M S'!$M53</f>
        <v>0</v>
      </c>
      <c r="I53" s="1090">
        <f>'[9]D M S'!$M53</f>
        <v>0</v>
      </c>
      <c r="J53" s="1341">
        <f>'[5]D M S'!$M53</f>
        <v>0</v>
      </c>
      <c r="K53" s="1341">
        <f>'[6]D M S'!$M53</f>
        <v>0</v>
      </c>
      <c r="L53" s="1341">
        <f>'[7]D M S'!$M53</f>
        <v>0</v>
      </c>
      <c r="M53" s="1342">
        <f t="shared" si="6"/>
        <v>0</v>
      </c>
      <c r="N53" s="1343"/>
      <c r="O53" s="1344"/>
    </row>
    <row r="54" spans="1:16" s="1046" customFormat="1" ht="41.1" customHeight="1">
      <c r="A54" s="1748" t="s">
        <v>128</v>
      </c>
      <c r="B54" s="1748"/>
      <c r="C54" s="1748"/>
      <c r="D54" s="1748"/>
      <c r="E54" s="1748"/>
      <c r="F54" s="1089">
        <f>'[1]D M S'!$M53</f>
        <v>0</v>
      </c>
      <c r="G54" s="1047">
        <f>'[2]D M S'!$M54</f>
        <v>0</v>
      </c>
      <c r="H54" s="1090">
        <f>'[3]D M S'!$M54</f>
        <v>0</v>
      </c>
      <c r="I54" s="1090">
        <f>'[4]D M S'!$M54</f>
        <v>0</v>
      </c>
      <c r="J54" s="1090">
        <f>'[5]D M S'!$M54</f>
        <v>0</v>
      </c>
      <c r="K54" s="1090">
        <f>'[6]D M S'!$M54</f>
        <v>0</v>
      </c>
      <c r="L54" s="1090">
        <f>'[7]D M S'!$M54</f>
        <v>0</v>
      </c>
      <c r="M54" s="1094">
        <f t="shared" si="4"/>
        <v>0</v>
      </c>
      <c r="N54" s="84"/>
      <c r="O54" s="1048" t="e">
        <f>+N54/M54</f>
        <v>#DIV/0!</v>
      </c>
    </row>
    <row r="55" spans="1:16" s="1044" customFormat="1" ht="41.1" customHeight="1">
      <c r="A55" s="1749">
        <v>1</v>
      </c>
      <c r="B55" s="4" t="s">
        <v>620</v>
      </c>
      <c r="C55" s="1744"/>
      <c r="D55" s="1744" t="s">
        <v>621</v>
      </c>
      <c r="E55" s="1098" t="s">
        <v>115</v>
      </c>
      <c r="F55" s="1089">
        <f>'[8]D M S'!$M55</f>
        <v>8.3000000000000007</v>
      </c>
      <c r="G55" s="1047">
        <f>'[2]D M S'!$M55</f>
        <v>8.1999999999999993</v>
      </c>
      <c r="H55" s="1090">
        <f>'[3]D M S'!$M55</f>
        <v>0</v>
      </c>
      <c r="I55" s="1090">
        <f>'[9]D M S'!$M55</f>
        <v>8.6999999999999993</v>
      </c>
      <c r="J55" s="1090">
        <f>'[5]D M S'!$M55</f>
        <v>4.2</v>
      </c>
      <c r="K55" s="1090">
        <f>'[6]D M S'!$M55</f>
        <v>0</v>
      </c>
      <c r="L55" s="1090">
        <f>'[7]D M S'!$M55</f>
        <v>9.1</v>
      </c>
      <c r="M55" s="1091">
        <f t="shared" si="4"/>
        <v>38.5</v>
      </c>
      <c r="N55" s="84">
        <v>1030</v>
      </c>
      <c r="O55" s="1048">
        <f>+N55/M55</f>
        <v>26.753246753246753</v>
      </c>
    </row>
    <row r="56" spans="1:16" s="1044" customFormat="1" ht="41.1" customHeight="1">
      <c r="A56" s="1749"/>
      <c r="B56" s="4"/>
      <c r="C56" s="1744"/>
      <c r="D56" s="1744"/>
      <c r="E56" s="1098" t="s">
        <v>116</v>
      </c>
      <c r="F56" s="1089">
        <f>'[8]D M S'!$M56</f>
        <v>0</v>
      </c>
      <c r="G56" s="1047">
        <f>'[2]D M S'!$M56</f>
        <v>0</v>
      </c>
      <c r="H56" s="1090">
        <f>'[3]D M S'!$M56</f>
        <v>0</v>
      </c>
      <c r="I56" s="1090">
        <f>'[9]D M S'!$M56</f>
        <v>0</v>
      </c>
      <c r="J56" s="1090">
        <f>'[5]D M S'!$M56</f>
        <v>5.8</v>
      </c>
      <c r="K56" s="1090">
        <f>'[6]D M S'!$M56</f>
        <v>10</v>
      </c>
      <c r="L56" s="1090">
        <f>'[7]D M S'!$M56</f>
        <v>0</v>
      </c>
      <c r="M56" s="1091">
        <f t="shared" si="4"/>
        <v>15.8</v>
      </c>
      <c r="N56" s="84"/>
      <c r="O56" s="1048">
        <f>+N56/M56</f>
        <v>0</v>
      </c>
    </row>
    <row r="57" spans="1:16" s="1044" customFormat="1" ht="41.1" customHeight="1">
      <c r="A57" s="1749"/>
      <c r="B57" s="4"/>
      <c r="C57" s="1744"/>
      <c r="D57" s="1744"/>
      <c r="E57" s="1098" t="s">
        <v>117</v>
      </c>
      <c r="F57" s="1089">
        <f>'[8]D M S'!$M57</f>
        <v>0</v>
      </c>
      <c r="G57" s="1047">
        <f>'[2]D M S'!$M57</f>
        <v>0</v>
      </c>
      <c r="H57" s="1090">
        <f>'[3]D M S'!$M57</f>
        <v>0</v>
      </c>
      <c r="I57" s="1090">
        <f>'[9]D M S'!$M57</f>
        <v>0</v>
      </c>
      <c r="J57" s="1090">
        <f>'[5]D M S'!$M57</f>
        <v>0</v>
      </c>
      <c r="K57" s="1090">
        <f>'[6]D M S'!$M57</f>
        <v>0</v>
      </c>
      <c r="L57" s="1090">
        <f>'[7]D M S'!$M57</f>
        <v>0</v>
      </c>
      <c r="M57" s="1091">
        <f t="shared" si="4"/>
        <v>0</v>
      </c>
      <c r="N57" s="84"/>
      <c r="O57" s="1048" t="e">
        <f>+N57/M57</f>
        <v>#DIV/0!</v>
      </c>
    </row>
    <row r="58" spans="1:16" s="1044" customFormat="1" ht="41.1" hidden="1" customHeight="1">
      <c r="A58" s="4">
        <v>2</v>
      </c>
      <c r="B58" s="4" t="s">
        <v>129</v>
      </c>
      <c r="C58" s="1782" t="s">
        <v>130</v>
      </c>
      <c r="D58" s="1782" t="s">
        <v>131</v>
      </c>
      <c r="E58" s="1098" t="s">
        <v>115</v>
      </c>
      <c r="F58" s="1089">
        <f>'[1]D M S'!$M58</f>
        <v>0</v>
      </c>
      <c r="G58" s="1047">
        <f>'[2]D M S'!$M58</f>
        <v>0</v>
      </c>
      <c r="H58" s="1090">
        <f>'[3]D M S'!$M58</f>
        <v>0</v>
      </c>
      <c r="I58" s="1090">
        <f>'[9]D M S'!$M58</f>
        <v>0</v>
      </c>
      <c r="J58" s="1090">
        <f>'[5]D M S'!$M58</f>
        <v>0</v>
      </c>
      <c r="K58" s="1090">
        <f>'[6]D M S'!$M58</f>
        <v>0</v>
      </c>
      <c r="L58" s="1090">
        <f>'[7]D M S'!$M58</f>
        <v>0</v>
      </c>
      <c r="M58" s="1091">
        <f t="shared" si="4"/>
        <v>0</v>
      </c>
      <c r="N58" s="84"/>
      <c r="O58" s="1048"/>
    </row>
    <row r="59" spans="1:16" s="1044" customFormat="1" ht="41.1" hidden="1" customHeight="1">
      <c r="A59" s="4"/>
      <c r="B59" s="4"/>
      <c r="C59" s="1782"/>
      <c r="D59" s="1782"/>
      <c r="E59" s="1098" t="s">
        <v>116</v>
      </c>
      <c r="F59" s="1089">
        <f>'[1]D M S'!$M59</f>
        <v>0</v>
      </c>
      <c r="G59" s="1047">
        <f>'[2]D M S'!$M59</f>
        <v>0</v>
      </c>
      <c r="H59" s="1090">
        <f>'[3]D M S'!$M59</f>
        <v>0</v>
      </c>
      <c r="I59" s="1090">
        <f>'[9]D M S'!$M59</f>
        <v>0</v>
      </c>
      <c r="J59" s="1090">
        <f>'[5]D M S'!$M59</f>
        <v>0</v>
      </c>
      <c r="K59" s="1090">
        <f>'[6]D M S'!$M59</f>
        <v>0</v>
      </c>
      <c r="L59" s="1090">
        <f>'[7]D M S'!$M59</f>
        <v>0</v>
      </c>
      <c r="M59" s="1091">
        <f t="shared" si="4"/>
        <v>0</v>
      </c>
      <c r="N59" s="84"/>
      <c r="O59" s="1048"/>
    </row>
    <row r="60" spans="1:16" s="1044" customFormat="1" ht="41.1" hidden="1" customHeight="1">
      <c r="A60" s="4"/>
      <c r="B60" s="4"/>
      <c r="C60" s="1782"/>
      <c r="D60" s="1782"/>
      <c r="E60" s="1098" t="s">
        <v>117</v>
      </c>
      <c r="F60" s="1089">
        <f>'[1]D M S'!$M60</f>
        <v>0</v>
      </c>
      <c r="G60" s="1047">
        <f>'[2]D M S'!$M60</f>
        <v>0</v>
      </c>
      <c r="H60" s="1090">
        <f>'[3]D M S'!$M60</f>
        <v>0</v>
      </c>
      <c r="I60" s="1090">
        <f>'[9]D M S'!$M60</f>
        <v>0</v>
      </c>
      <c r="J60" s="1090">
        <f>'[5]D M S'!$M60</f>
        <v>0</v>
      </c>
      <c r="K60" s="1090">
        <f>'[6]D M S'!$M60</f>
        <v>0</v>
      </c>
      <c r="L60" s="1090">
        <f>'[7]D M S'!$M60</f>
        <v>0</v>
      </c>
      <c r="M60" s="1091">
        <f t="shared" si="4"/>
        <v>0</v>
      </c>
      <c r="N60" s="84"/>
      <c r="O60" s="1048"/>
    </row>
    <row r="61" spans="1:16" s="1046" customFormat="1" ht="41.1" customHeight="1">
      <c r="A61" s="1790" t="s">
        <v>132</v>
      </c>
      <c r="B61" s="1790"/>
      <c r="C61" s="1790"/>
      <c r="D61" s="1790"/>
      <c r="E61" s="1790"/>
      <c r="F61" s="1089"/>
      <c r="G61" s="1047">
        <f>'[2]D M S'!$M61</f>
        <v>0</v>
      </c>
      <c r="H61" s="1090">
        <f>'[3]D M S'!$M61</f>
        <v>0</v>
      </c>
      <c r="I61" s="1090">
        <f>'[4]D M S'!$M61</f>
        <v>0</v>
      </c>
      <c r="J61" s="1090">
        <f>'[5]D M S'!$M61</f>
        <v>0</v>
      </c>
      <c r="K61" s="1090">
        <f>'[6]D M S'!$M61</f>
        <v>0</v>
      </c>
      <c r="L61" s="1090">
        <f>'[7]D M S'!$M61</f>
        <v>0</v>
      </c>
      <c r="M61" s="1099"/>
      <c r="N61" s="84"/>
      <c r="O61" s="1048" t="e">
        <f t="shared" ref="O61:O74" si="7">+N61/M61</f>
        <v>#DIV/0!</v>
      </c>
    </row>
    <row r="62" spans="1:16" s="1044" customFormat="1" ht="41.1" customHeight="1">
      <c r="A62" s="1749">
        <v>1</v>
      </c>
      <c r="B62" s="4" t="s">
        <v>692</v>
      </c>
      <c r="C62" s="1743" t="s">
        <v>623</v>
      </c>
      <c r="D62" s="1743" t="s">
        <v>624</v>
      </c>
      <c r="E62" s="1088" t="s">
        <v>115</v>
      </c>
      <c r="F62" s="1089">
        <f>'[8]D M S'!$M62</f>
        <v>0</v>
      </c>
      <c r="G62" s="1047">
        <f>'[2]D M S'!$M62</f>
        <v>6</v>
      </c>
      <c r="H62" s="1090">
        <f>'[3]D M S'!$M62</f>
        <v>0</v>
      </c>
      <c r="I62" s="1090">
        <f>'[9]D M S'!$M62</f>
        <v>6.5</v>
      </c>
      <c r="J62" s="1090">
        <f>'[5]D M S'!$M62</f>
        <v>6.5</v>
      </c>
      <c r="K62" s="1090">
        <f>'[6]D M S'!$M62</f>
        <v>6.5</v>
      </c>
      <c r="L62" s="1090">
        <f>'[7]D M S'!$M62</f>
        <v>7</v>
      </c>
      <c r="M62" s="1091">
        <f t="shared" si="4"/>
        <v>32.5</v>
      </c>
      <c r="N62" s="84"/>
      <c r="O62" s="1048">
        <f t="shared" si="7"/>
        <v>0</v>
      </c>
    </row>
    <row r="63" spans="1:16" s="1044" customFormat="1" ht="41.1" customHeight="1">
      <c r="A63" s="1749"/>
      <c r="B63" s="4"/>
      <c r="C63" s="1743"/>
      <c r="D63" s="1743"/>
      <c r="E63" s="1088" t="s">
        <v>116</v>
      </c>
      <c r="F63" s="1089">
        <f>'[8]D M S'!$M63</f>
        <v>10</v>
      </c>
      <c r="G63" s="1047">
        <f>'[2]D M S'!$M63</f>
        <v>3</v>
      </c>
      <c r="H63" s="1090">
        <f>'[3]D M S'!$M63</f>
        <v>0</v>
      </c>
      <c r="I63" s="1090">
        <f>'[9]D M S'!$M63</f>
        <v>3.5</v>
      </c>
      <c r="J63" s="1090">
        <f>'[5]D M S'!$M63</f>
        <v>2.5</v>
      </c>
      <c r="K63" s="1090">
        <f>'[6]D M S'!$M63</f>
        <v>2.5</v>
      </c>
      <c r="L63" s="1090">
        <f>'[7]D M S'!$M63</f>
        <v>3</v>
      </c>
      <c r="M63" s="1091">
        <f t="shared" si="4"/>
        <v>24.5</v>
      </c>
      <c r="N63" s="84"/>
      <c r="O63" s="1048">
        <f t="shared" si="7"/>
        <v>0</v>
      </c>
    </row>
    <row r="64" spans="1:16" s="1044" customFormat="1" ht="41.1" customHeight="1">
      <c r="A64" s="1749"/>
      <c r="B64" s="4"/>
      <c r="C64" s="1743"/>
      <c r="D64" s="1743"/>
      <c r="E64" s="1088" t="s">
        <v>117</v>
      </c>
      <c r="F64" s="1089">
        <f>'[8]D M S'!$M64</f>
        <v>0</v>
      </c>
      <c r="G64" s="1047">
        <f>'[2]D M S'!$M64</f>
        <v>0</v>
      </c>
      <c r="H64" s="1090">
        <f>'[3]D M S'!$M64</f>
        <v>0</v>
      </c>
      <c r="I64" s="1090">
        <f>'[9]D M S'!$M64</f>
        <v>0</v>
      </c>
      <c r="J64" s="1090">
        <f>'[5]D M S'!$M64</f>
        <v>0</v>
      </c>
      <c r="K64" s="1090">
        <f>'[6]D M S'!$M64</f>
        <v>0</v>
      </c>
      <c r="L64" s="1090">
        <f>'[7]D M S'!$M64</f>
        <v>0</v>
      </c>
      <c r="M64" s="1091">
        <f t="shared" si="4"/>
        <v>0</v>
      </c>
      <c r="N64" s="84"/>
      <c r="O64" s="1048" t="e">
        <f t="shared" si="7"/>
        <v>#DIV/0!</v>
      </c>
    </row>
    <row r="65" spans="1:15" s="1044" customFormat="1" ht="12.75" hidden="1" customHeight="1">
      <c r="A65" s="1749">
        <v>3</v>
      </c>
      <c r="B65" s="4" t="s">
        <v>547</v>
      </c>
      <c r="C65" s="1743"/>
      <c r="D65" s="1743"/>
      <c r="E65" s="1088" t="s">
        <v>115</v>
      </c>
      <c r="F65" s="1089">
        <f>'[1]D M S'!$M65</f>
        <v>0</v>
      </c>
      <c r="G65" s="1100"/>
      <c r="H65" s="1090"/>
      <c r="I65" s="1090">
        <f>'[4]D M S'!$M65</f>
        <v>0</v>
      </c>
      <c r="J65" s="1101"/>
      <c r="K65" s="1101"/>
      <c r="L65" s="1102"/>
      <c r="M65" s="1091">
        <f t="shared" si="4"/>
        <v>0</v>
      </c>
      <c r="N65" s="84">
        <v>23</v>
      </c>
      <c r="O65" s="1048" t="e">
        <f t="shared" si="7"/>
        <v>#DIV/0!</v>
      </c>
    </row>
    <row r="66" spans="1:15" s="1044" customFormat="1" ht="12.75" hidden="1" customHeight="1">
      <c r="A66" s="1749"/>
      <c r="B66" s="4"/>
      <c r="C66" s="1743"/>
      <c r="D66" s="1743"/>
      <c r="E66" s="1088" t="s">
        <v>116</v>
      </c>
      <c r="F66" s="1089">
        <f>'[1]D M S'!$M66</f>
        <v>0</v>
      </c>
      <c r="G66" s="1100"/>
      <c r="H66" s="1090"/>
      <c r="I66" s="1090">
        <f>'[4]D M S'!$M66</f>
        <v>0</v>
      </c>
      <c r="J66" s="1101"/>
      <c r="K66" s="1101"/>
      <c r="L66" s="1102"/>
      <c r="M66" s="1091">
        <f t="shared" si="4"/>
        <v>0</v>
      </c>
      <c r="N66" s="84"/>
      <c r="O66" s="1048" t="e">
        <f t="shared" si="7"/>
        <v>#DIV/0!</v>
      </c>
    </row>
    <row r="67" spans="1:15" s="1044" customFormat="1" ht="12.75" hidden="1" customHeight="1">
      <c r="A67" s="1749"/>
      <c r="B67" s="4"/>
      <c r="C67" s="1743"/>
      <c r="D67" s="1743"/>
      <c r="E67" s="1088" t="s">
        <v>117</v>
      </c>
      <c r="F67" s="1089">
        <f>'[1]D M S'!$M67</f>
        <v>0</v>
      </c>
      <c r="G67" s="1100"/>
      <c r="H67" s="1090"/>
      <c r="I67" s="1090">
        <f>'[4]D M S'!$M67</f>
        <v>0</v>
      </c>
      <c r="J67" s="1103"/>
      <c r="K67" s="1103"/>
      <c r="L67" s="1104"/>
      <c r="M67" s="1091">
        <f t="shared" si="4"/>
        <v>0</v>
      </c>
      <c r="N67" s="84"/>
      <c r="O67" s="1048" t="e">
        <f t="shared" si="7"/>
        <v>#DIV/0!</v>
      </c>
    </row>
    <row r="68" spans="1:15" s="1046" customFormat="1" ht="41.1" hidden="1" customHeight="1">
      <c r="A68" s="1790" t="s">
        <v>133</v>
      </c>
      <c r="B68" s="1790"/>
      <c r="C68" s="1790"/>
      <c r="D68" s="1790"/>
      <c r="E68" s="1790"/>
      <c r="F68" s="1790"/>
      <c r="G68" s="1790"/>
      <c r="H68" s="1790"/>
      <c r="I68" s="1790"/>
      <c r="J68" s="1790"/>
      <c r="K68" s="1105"/>
      <c r="L68" s="1790"/>
      <c r="M68" s="1790"/>
      <c r="N68" s="84"/>
      <c r="O68" s="1048" t="e">
        <f t="shared" si="7"/>
        <v>#DIV/0!</v>
      </c>
    </row>
    <row r="69" spans="1:15" s="1044" customFormat="1" ht="41.1" hidden="1" customHeight="1">
      <c r="A69" s="1749">
        <v>1</v>
      </c>
      <c r="B69" s="1791" t="s">
        <v>625</v>
      </c>
      <c r="C69" s="1743" t="s">
        <v>694</v>
      </c>
      <c r="D69" s="1789" t="s">
        <v>626</v>
      </c>
      <c r="E69" s="1088" t="s">
        <v>115</v>
      </c>
      <c r="F69" s="1089">
        <f>'[1]D M S'!$M69</f>
        <v>0</v>
      </c>
      <c r="G69" s="1047">
        <f>'[2]D M S'!$M69</f>
        <v>0</v>
      </c>
      <c r="H69" s="1106">
        <f>'[3]D M S'!$M69</f>
        <v>0</v>
      </c>
      <c r="I69" s="1106">
        <f>'[4]D M S'!$M69</f>
        <v>0</v>
      </c>
      <c r="J69" s="1106">
        <f>'[5]D M S'!$M69</f>
        <v>0</v>
      </c>
      <c r="K69" s="1106">
        <f>'[6]D M S'!$M69</f>
        <v>0</v>
      </c>
      <c r="L69" s="1106">
        <f>'[7]D M S'!$M69</f>
        <v>0</v>
      </c>
      <c r="M69" s="1091">
        <f t="shared" ref="M69:M105" si="8">SUM(F69:L69)</f>
        <v>0</v>
      </c>
      <c r="N69" s="84"/>
      <c r="O69" s="1048" t="e">
        <f t="shared" si="7"/>
        <v>#DIV/0!</v>
      </c>
    </row>
    <row r="70" spans="1:15" s="1044" customFormat="1" ht="41.1" hidden="1" customHeight="1">
      <c r="A70" s="1749"/>
      <c r="B70" s="1792"/>
      <c r="C70" s="1743"/>
      <c r="D70" s="1789"/>
      <c r="E70" s="1088" t="s">
        <v>116</v>
      </c>
      <c r="F70" s="1089">
        <f>'[1]D M S'!$M70</f>
        <v>0</v>
      </c>
      <c r="G70" s="1047">
        <f>'[2]D M S'!$M70</f>
        <v>0</v>
      </c>
      <c r="H70" s="1106">
        <f>'[3]D M S'!$M70</f>
        <v>0</v>
      </c>
      <c r="I70" s="1106">
        <f>'[4]D M S'!$M70</f>
        <v>0</v>
      </c>
      <c r="J70" s="1106">
        <f>'[5]D M S'!$M70</f>
        <v>0</v>
      </c>
      <c r="K70" s="1106">
        <f>'[6]D M S'!$M70</f>
        <v>0</v>
      </c>
      <c r="L70" s="1106">
        <f>'[7]D M S'!$M70</f>
        <v>0</v>
      </c>
      <c r="M70" s="1091">
        <f t="shared" si="8"/>
        <v>0</v>
      </c>
      <c r="N70" s="84"/>
      <c r="O70" s="1048" t="e">
        <f t="shared" si="7"/>
        <v>#DIV/0!</v>
      </c>
    </row>
    <row r="71" spans="1:15" s="1044" customFormat="1" ht="57.75" hidden="1" customHeight="1">
      <c r="A71" s="1749"/>
      <c r="B71" s="1793"/>
      <c r="C71" s="1743"/>
      <c r="D71" s="1789"/>
      <c r="E71" s="1088" t="s">
        <v>117</v>
      </c>
      <c r="F71" s="1089">
        <f>'[1]D M S'!$M71</f>
        <v>0</v>
      </c>
      <c r="G71" s="1047">
        <f>'[2]D M S'!$M71</f>
        <v>0</v>
      </c>
      <c r="H71" s="1106">
        <f>'[3]D M S'!$M71</f>
        <v>0</v>
      </c>
      <c r="I71" s="1106">
        <f>'[4]D M S'!$M71</f>
        <v>0</v>
      </c>
      <c r="J71" s="1106">
        <f>'[5]D M S'!$M71</f>
        <v>0</v>
      </c>
      <c r="K71" s="1106">
        <f>'[6]D M S'!$M71</f>
        <v>0</v>
      </c>
      <c r="L71" s="1106">
        <f>'[7]D M S'!$M71</f>
        <v>0</v>
      </c>
      <c r="M71" s="1091">
        <f t="shared" si="8"/>
        <v>0</v>
      </c>
      <c r="N71" s="84"/>
      <c r="O71" s="1048" t="e">
        <f t="shared" si="7"/>
        <v>#DIV/0!</v>
      </c>
    </row>
    <row r="72" spans="1:15" s="1044" customFormat="1" ht="41.1" hidden="1" customHeight="1">
      <c r="A72" s="1749">
        <v>2</v>
      </c>
      <c r="B72" s="4" t="s">
        <v>625</v>
      </c>
      <c r="C72" s="1743"/>
      <c r="D72" s="1789" t="s">
        <v>627</v>
      </c>
      <c r="E72" s="1088" t="s">
        <v>115</v>
      </c>
      <c r="F72" s="1089">
        <f>'[1]D M S'!$M73</f>
        <v>0</v>
      </c>
      <c r="G72" s="1047">
        <f>'[2]D M S'!$M72</f>
        <v>0</v>
      </c>
      <c r="H72" s="1106">
        <f>'[3]D M S'!$M72</f>
        <v>0</v>
      </c>
      <c r="I72" s="1106">
        <f>'[4]D M S'!$M72</f>
        <v>0</v>
      </c>
      <c r="J72" s="1106">
        <f>'[5]D M S'!$M72</f>
        <v>0</v>
      </c>
      <c r="K72" s="1106">
        <f>'[6]D M S'!$M72</f>
        <v>0</v>
      </c>
      <c r="L72" s="1106">
        <f>'[7]D M S'!$M72</f>
        <v>0</v>
      </c>
      <c r="M72" s="1091">
        <f t="shared" si="8"/>
        <v>0</v>
      </c>
      <c r="N72" s="84"/>
      <c r="O72" s="1048" t="e">
        <f t="shared" si="7"/>
        <v>#DIV/0!</v>
      </c>
    </row>
    <row r="73" spans="1:15" s="1044" customFormat="1" ht="37.5" hidden="1" customHeight="1">
      <c r="A73" s="1749"/>
      <c r="B73" s="4"/>
      <c r="C73" s="1743"/>
      <c r="D73" s="1789"/>
      <c r="E73" s="1088" t="s">
        <v>116</v>
      </c>
      <c r="F73" s="1089">
        <f>'[1]D M S'!$M74</f>
        <v>0</v>
      </c>
      <c r="G73" s="1047">
        <f>'[2]D M S'!$M73</f>
        <v>0</v>
      </c>
      <c r="H73" s="1106">
        <f>'[3]D M S'!$M73</f>
        <v>0</v>
      </c>
      <c r="I73" s="1106">
        <f>'[4]D M S'!$M73</f>
        <v>0</v>
      </c>
      <c r="J73" s="1106">
        <f>'[5]D M S'!$M73</f>
        <v>0</v>
      </c>
      <c r="K73" s="1106">
        <f>'[6]D M S'!$M73</f>
        <v>0</v>
      </c>
      <c r="L73" s="1106">
        <f>'[7]D M S'!$M73</f>
        <v>0</v>
      </c>
      <c r="M73" s="1091">
        <f t="shared" si="8"/>
        <v>0</v>
      </c>
      <c r="N73" s="84"/>
      <c r="O73" s="1048" t="e">
        <f t="shared" si="7"/>
        <v>#DIV/0!</v>
      </c>
    </row>
    <row r="74" spans="1:15" s="1044" customFormat="1" ht="41.1" hidden="1" customHeight="1">
      <c r="A74" s="1749"/>
      <c r="B74" s="4"/>
      <c r="C74" s="1743"/>
      <c r="D74" s="1789"/>
      <c r="E74" s="1088" t="s">
        <v>117</v>
      </c>
      <c r="F74" s="1089">
        <f>'[1]D M S'!$M75</f>
        <v>0</v>
      </c>
      <c r="G74" s="1047">
        <f>'[2]D M S'!$M74</f>
        <v>0</v>
      </c>
      <c r="H74" s="1106">
        <f>'[3]D M S'!$M74</f>
        <v>0</v>
      </c>
      <c r="I74" s="1106">
        <f>'[4]D M S'!$M74</f>
        <v>0</v>
      </c>
      <c r="J74" s="1106">
        <f>'[5]D M S'!$M74</f>
        <v>0</v>
      </c>
      <c r="K74" s="1106">
        <f>'[6]D M S'!$M74</f>
        <v>0</v>
      </c>
      <c r="L74" s="1106">
        <f>'[7]D M S'!$M74</f>
        <v>0</v>
      </c>
      <c r="M74" s="1091">
        <f t="shared" si="8"/>
        <v>0</v>
      </c>
      <c r="N74" s="84"/>
      <c r="O74" s="1048" t="e">
        <f t="shared" si="7"/>
        <v>#DIV/0!</v>
      </c>
    </row>
    <row r="75" spans="1:15" s="1044" customFormat="1" ht="41.1" hidden="1" customHeight="1">
      <c r="A75" s="4">
        <v>3</v>
      </c>
      <c r="B75" s="4" t="s">
        <v>133</v>
      </c>
      <c r="C75" s="1769"/>
      <c r="D75" s="1769"/>
      <c r="E75" s="1088" t="s">
        <v>115</v>
      </c>
      <c r="F75" s="1089">
        <f>'[1]D M S'!$M75</f>
        <v>0</v>
      </c>
      <c r="G75" s="1100"/>
      <c r="H75" s="1106"/>
      <c r="I75" s="1106">
        <f>'[4]D M S'!$M75</f>
        <v>0</v>
      </c>
      <c r="J75" s="1106"/>
      <c r="K75" s="1106"/>
      <c r="L75" s="1106">
        <f>'[7]D M S'!$M75</f>
        <v>0</v>
      </c>
      <c r="M75" s="1091">
        <f t="shared" si="8"/>
        <v>0</v>
      </c>
      <c r="N75" s="84"/>
      <c r="O75" s="1048"/>
    </row>
    <row r="76" spans="1:15" s="1044" customFormat="1" ht="39.75" hidden="1" customHeight="1">
      <c r="A76" s="4"/>
      <c r="B76" s="4"/>
      <c r="C76" s="1769"/>
      <c r="D76" s="1769"/>
      <c r="E76" s="1088" t="s">
        <v>116</v>
      </c>
      <c r="F76" s="1089">
        <f>'[1]D M S'!$M76</f>
        <v>0</v>
      </c>
      <c r="G76" s="1100"/>
      <c r="H76" s="1106"/>
      <c r="I76" s="1106">
        <f>'[4]D M S'!$M76</f>
        <v>0</v>
      </c>
      <c r="J76" s="1106"/>
      <c r="K76" s="1106"/>
      <c r="L76" s="1106">
        <f>'[7]D M S'!$M76</f>
        <v>0</v>
      </c>
      <c r="M76" s="1091">
        <f t="shared" si="8"/>
        <v>0</v>
      </c>
      <c r="N76" s="84"/>
      <c r="O76" s="1048"/>
    </row>
    <row r="77" spans="1:15" s="1044" customFormat="1" ht="40.5" hidden="1" customHeight="1">
      <c r="A77" s="4"/>
      <c r="B77" s="4"/>
      <c r="C77" s="1769"/>
      <c r="D77" s="1769"/>
      <c r="E77" s="1088" t="s">
        <v>117</v>
      </c>
      <c r="F77" s="1089">
        <f>'[1]D M S'!$M77</f>
        <v>0</v>
      </c>
      <c r="G77" s="1100"/>
      <c r="H77" s="1106"/>
      <c r="I77" s="1106">
        <f>'[4]D M S'!$M77</f>
        <v>0</v>
      </c>
      <c r="J77" s="1106"/>
      <c r="K77" s="1106"/>
      <c r="L77" s="1106">
        <f>'[7]D M S'!$M77</f>
        <v>0</v>
      </c>
      <c r="M77" s="1091">
        <f t="shared" si="8"/>
        <v>0</v>
      </c>
      <c r="N77" s="84"/>
      <c r="O77" s="1048"/>
    </row>
    <row r="78" spans="1:15" s="1044" customFormat="1" ht="41.1" hidden="1" customHeight="1">
      <c r="A78" s="1749">
        <v>4</v>
      </c>
      <c r="B78" s="4" t="s">
        <v>133</v>
      </c>
      <c r="C78" s="1743"/>
      <c r="D78" s="1743"/>
      <c r="E78" s="1088" t="s">
        <v>115</v>
      </c>
      <c r="F78" s="1089">
        <f>'[1]D M S'!$M78</f>
        <v>0</v>
      </c>
      <c r="G78" s="1100"/>
      <c r="H78" s="1106"/>
      <c r="I78" s="1106">
        <f>'[4]D M S'!$M78</f>
        <v>0</v>
      </c>
      <c r="J78" s="1106"/>
      <c r="K78" s="1106"/>
      <c r="L78" s="1106">
        <f>'[7]D M S'!$M78</f>
        <v>0</v>
      </c>
      <c r="M78" s="1091">
        <f t="shared" si="8"/>
        <v>0</v>
      </c>
      <c r="N78" s="84"/>
      <c r="O78" s="1048" t="e">
        <f t="shared" ref="O78:O102" si="9">+N78/M78</f>
        <v>#DIV/0!</v>
      </c>
    </row>
    <row r="79" spans="1:15" s="1044" customFormat="1" ht="41.1" hidden="1" customHeight="1">
      <c r="A79" s="1749"/>
      <c r="B79" s="4"/>
      <c r="C79" s="1743"/>
      <c r="D79" s="1743"/>
      <c r="E79" s="1088" t="s">
        <v>116</v>
      </c>
      <c r="F79" s="1089">
        <f>'[1]D M S'!$M79</f>
        <v>0</v>
      </c>
      <c r="G79" s="1100"/>
      <c r="H79" s="1106"/>
      <c r="I79" s="1106">
        <f>'[4]D M S'!$M79</f>
        <v>0</v>
      </c>
      <c r="J79" s="1106"/>
      <c r="K79" s="1106"/>
      <c r="L79" s="1106">
        <f>'[7]D M S'!$M79</f>
        <v>0</v>
      </c>
      <c r="M79" s="1091">
        <f t="shared" si="8"/>
        <v>0</v>
      </c>
      <c r="N79" s="84"/>
      <c r="O79" s="1048" t="e">
        <f t="shared" si="9"/>
        <v>#DIV/0!</v>
      </c>
    </row>
    <row r="80" spans="1:15" s="1044" customFormat="1" ht="41.1" hidden="1" customHeight="1">
      <c r="A80" s="1749"/>
      <c r="B80" s="4"/>
      <c r="C80" s="1743"/>
      <c r="D80" s="1743"/>
      <c r="E80" s="1088" t="s">
        <v>117</v>
      </c>
      <c r="F80" s="1089">
        <f>'[1]D M S'!$M80</f>
        <v>0</v>
      </c>
      <c r="G80" s="1100"/>
      <c r="H80" s="1100"/>
      <c r="I80" s="1106">
        <f>'[4]D M S'!$M80</f>
        <v>0</v>
      </c>
      <c r="J80" s="1100"/>
      <c r="K80" s="1100"/>
      <c r="L80" s="1106">
        <f>'[7]D M S'!$M80</f>
        <v>0</v>
      </c>
      <c r="M80" s="1091">
        <f t="shared" si="8"/>
        <v>0</v>
      </c>
      <c r="N80" s="84"/>
      <c r="O80" s="1048" t="e">
        <f t="shared" si="9"/>
        <v>#DIV/0!</v>
      </c>
    </row>
    <row r="81" spans="1:15" s="1044" customFormat="1" ht="12.75" hidden="1" customHeight="1">
      <c r="A81" s="1749">
        <v>4</v>
      </c>
      <c r="B81" s="4" t="s">
        <v>133</v>
      </c>
      <c r="C81" s="1743"/>
      <c r="D81" s="1743"/>
      <c r="E81" s="1088" t="s">
        <v>115</v>
      </c>
      <c r="F81" s="1089">
        <f>'[1]D M S'!$M81</f>
        <v>0</v>
      </c>
      <c r="G81" s="1100"/>
      <c r="H81" s="1104"/>
      <c r="I81" s="1106">
        <f>'[4]D M S'!$M81</f>
        <v>0</v>
      </c>
      <c r="J81" s="1107"/>
      <c r="K81" s="1107"/>
      <c r="L81" s="1106">
        <f>'[7]D M S'!$M81</f>
        <v>0</v>
      </c>
      <c r="M81" s="1091">
        <f t="shared" si="8"/>
        <v>0</v>
      </c>
      <c r="N81" s="84"/>
      <c r="O81" s="1048" t="e">
        <f t="shared" si="9"/>
        <v>#DIV/0!</v>
      </c>
    </row>
    <row r="82" spans="1:15" s="1044" customFormat="1" ht="12.75" hidden="1" customHeight="1">
      <c r="A82" s="1749"/>
      <c r="B82" s="4"/>
      <c r="C82" s="1743"/>
      <c r="D82" s="1743"/>
      <c r="E82" s="1088" t="s">
        <v>116</v>
      </c>
      <c r="F82" s="1089">
        <f>'[1]D M S'!$M82</f>
        <v>0</v>
      </c>
      <c r="G82" s="1100"/>
      <c r="H82" s="1106"/>
      <c r="I82" s="1106">
        <f>'[4]D M S'!$M82</f>
        <v>0</v>
      </c>
      <c r="J82" s="1108"/>
      <c r="K82" s="1108"/>
      <c r="L82" s="1106">
        <f>'[7]D M S'!$M82</f>
        <v>0</v>
      </c>
      <c r="M82" s="1091">
        <f t="shared" si="8"/>
        <v>0</v>
      </c>
      <c r="N82" s="84"/>
      <c r="O82" s="1048" t="e">
        <f t="shared" si="9"/>
        <v>#DIV/0!</v>
      </c>
    </row>
    <row r="83" spans="1:15" s="1044" customFormat="1" ht="12.75" hidden="1" customHeight="1">
      <c r="A83" s="1749"/>
      <c r="B83" s="4"/>
      <c r="C83" s="1743"/>
      <c r="D83" s="1743"/>
      <c r="E83" s="1088" t="s">
        <v>117</v>
      </c>
      <c r="F83" s="1089">
        <f>'[1]D M S'!$M83</f>
        <v>0</v>
      </c>
      <c r="G83" s="1100"/>
      <c r="H83" s="1090"/>
      <c r="I83" s="1106">
        <f>'[4]D M S'!$M83</f>
        <v>0</v>
      </c>
      <c r="J83" s="1109"/>
      <c r="K83" s="1109"/>
      <c r="L83" s="1106">
        <f>'[7]D M S'!$M83</f>
        <v>0</v>
      </c>
      <c r="M83" s="1091">
        <f t="shared" si="8"/>
        <v>0</v>
      </c>
      <c r="N83" s="84"/>
      <c r="O83" s="1048" t="e">
        <f t="shared" si="9"/>
        <v>#DIV/0!</v>
      </c>
    </row>
    <row r="84" spans="1:15" s="1046" customFormat="1" ht="41.1" hidden="1" customHeight="1">
      <c r="A84" s="1790" t="s">
        <v>134</v>
      </c>
      <c r="B84" s="1790"/>
      <c r="C84" s="1790"/>
      <c r="D84" s="1790"/>
      <c r="E84" s="1790"/>
      <c r="F84" s="1790"/>
      <c r="G84" s="1790"/>
      <c r="H84" s="1790"/>
      <c r="I84" s="1790"/>
      <c r="J84" s="1790"/>
      <c r="K84" s="1105"/>
      <c r="L84" s="1790"/>
      <c r="M84" s="1790">
        <f t="shared" si="8"/>
        <v>0</v>
      </c>
      <c r="N84" s="84"/>
      <c r="O84" s="1048" t="e">
        <f t="shared" si="9"/>
        <v>#DIV/0!</v>
      </c>
    </row>
    <row r="85" spans="1:15" s="1044" customFormat="1" ht="41.1" hidden="1" customHeight="1">
      <c r="A85" s="1749">
        <v>1</v>
      </c>
      <c r="B85" s="1791" t="s">
        <v>648</v>
      </c>
      <c r="C85" s="1743" t="s">
        <v>353</v>
      </c>
      <c r="D85" s="1743" t="s">
        <v>649</v>
      </c>
      <c r="E85" s="1088" t="s">
        <v>115</v>
      </c>
      <c r="F85" s="1089"/>
      <c r="G85" s="1100"/>
      <c r="H85" s="1100"/>
      <c r="I85" s="1100"/>
      <c r="J85" s="1106"/>
      <c r="K85" s="1106"/>
      <c r="L85" s="1106"/>
      <c r="M85" s="1091">
        <f t="shared" si="8"/>
        <v>0</v>
      </c>
      <c r="N85" s="84"/>
      <c r="O85" s="1048" t="e">
        <f t="shared" si="9"/>
        <v>#DIV/0!</v>
      </c>
    </row>
    <row r="86" spans="1:15" s="1044" customFormat="1" ht="41.1" hidden="1" customHeight="1">
      <c r="A86" s="1749"/>
      <c r="B86" s="1792"/>
      <c r="C86" s="1743"/>
      <c r="D86" s="1743"/>
      <c r="E86" s="1088" t="s">
        <v>116</v>
      </c>
      <c r="F86" s="1089"/>
      <c r="G86" s="1100"/>
      <c r="H86" s="1100"/>
      <c r="I86" s="1100"/>
      <c r="J86" s="1106"/>
      <c r="K86" s="1106"/>
      <c r="L86" s="1106"/>
      <c r="M86" s="1091">
        <f t="shared" si="8"/>
        <v>0</v>
      </c>
      <c r="N86" s="84"/>
      <c r="O86" s="1048" t="e">
        <f t="shared" si="9"/>
        <v>#DIV/0!</v>
      </c>
    </row>
    <row r="87" spans="1:15" s="1044" customFormat="1" ht="41.1" hidden="1" customHeight="1">
      <c r="A87" s="1749"/>
      <c r="B87" s="1793"/>
      <c r="C87" s="1743"/>
      <c r="D87" s="1743"/>
      <c r="E87" s="1088" t="s">
        <v>117</v>
      </c>
      <c r="F87" s="1110"/>
      <c r="G87" s="1100"/>
      <c r="H87" s="1106"/>
      <c r="I87" s="1106"/>
      <c r="J87" s="1106"/>
      <c r="K87" s="1106"/>
      <c r="L87" s="1106"/>
      <c r="M87" s="1091">
        <f t="shared" si="8"/>
        <v>0</v>
      </c>
      <c r="N87" s="84"/>
      <c r="O87" s="1048" t="e">
        <f t="shared" si="9"/>
        <v>#DIV/0!</v>
      </c>
    </row>
    <row r="88" spans="1:15" s="1044" customFormat="1" ht="41.1" hidden="1" customHeight="1">
      <c r="A88" s="1749">
        <v>2</v>
      </c>
      <c r="B88" s="4" t="s">
        <v>648</v>
      </c>
      <c r="C88" s="1743" t="s">
        <v>357</v>
      </c>
      <c r="D88" s="1743" t="s">
        <v>649</v>
      </c>
      <c r="E88" s="1088" t="s">
        <v>115</v>
      </c>
      <c r="F88" s="1089"/>
      <c r="G88" s="1100"/>
      <c r="H88" s="1106"/>
      <c r="I88" s="1106"/>
      <c r="J88" s="1106"/>
      <c r="K88" s="1106"/>
      <c r="L88" s="1106"/>
      <c r="M88" s="1091">
        <f t="shared" si="8"/>
        <v>0</v>
      </c>
      <c r="N88" s="84"/>
      <c r="O88" s="1048" t="e">
        <f t="shared" si="9"/>
        <v>#DIV/0!</v>
      </c>
    </row>
    <row r="89" spans="1:15" s="1044" customFormat="1" ht="41.1" hidden="1" customHeight="1">
      <c r="A89" s="1749"/>
      <c r="B89" s="4"/>
      <c r="C89" s="1743"/>
      <c r="D89" s="1743"/>
      <c r="E89" s="1088" t="s">
        <v>116</v>
      </c>
      <c r="F89" s="1110"/>
      <c r="G89" s="1100"/>
      <c r="H89" s="1106"/>
      <c r="I89" s="1106"/>
      <c r="J89" s="1106"/>
      <c r="K89" s="1106"/>
      <c r="L89" s="1106"/>
      <c r="M89" s="1091">
        <f t="shared" si="8"/>
        <v>0</v>
      </c>
      <c r="N89" s="84"/>
      <c r="O89" s="1048" t="e">
        <f t="shared" si="9"/>
        <v>#DIV/0!</v>
      </c>
    </row>
    <row r="90" spans="1:15" s="1044" customFormat="1" ht="41.1" hidden="1" customHeight="1">
      <c r="A90" s="1749"/>
      <c r="B90" s="4"/>
      <c r="C90" s="1743"/>
      <c r="D90" s="1743"/>
      <c r="E90" s="1088" t="s">
        <v>117</v>
      </c>
      <c r="F90" s="1089"/>
      <c r="G90" s="1111"/>
      <c r="H90" s="1111"/>
      <c r="I90" s="1111"/>
      <c r="J90" s="1111"/>
      <c r="K90" s="1111"/>
      <c r="L90" s="1111"/>
      <c r="M90" s="1091">
        <f t="shared" si="8"/>
        <v>0</v>
      </c>
      <c r="N90" s="84"/>
      <c r="O90" s="1048" t="e">
        <f t="shared" si="9"/>
        <v>#DIV/0!</v>
      </c>
    </row>
    <row r="91" spans="1:15" s="1044" customFormat="1" ht="41.1" hidden="1" customHeight="1">
      <c r="A91" s="1749">
        <v>3</v>
      </c>
      <c r="B91" s="1791" t="s">
        <v>661</v>
      </c>
      <c r="C91" s="1743" t="s">
        <v>360</v>
      </c>
      <c r="D91" s="1743" t="s">
        <v>649</v>
      </c>
      <c r="E91" s="1088" t="s">
        <v>115</v>
      </c>
      <c r="F91" s="1112"/>
      <c r="G91" s="1100"/>
      <c r="H91" s="1104"/>
      <c r="I91" s="1113"/>
      <c r="J91" s="1113"/>
      <c r="K91" s="1113"/>
      <c r="L91" s="1113"/>
      <c r="M91" s="1091">
        <f t="shared" si="8"/>
        <v>0</v>
      </c>
      <c r="N91" s="84"/>
      <c r="O91" s="1048" t="e">
        <f t="shared" si="9"/>
        <v>#DIV/0!</v>
      </c>
    </row>
    <row r="92" spans="1:15" s="1044" customFormat="1" ht="41.1" hidden="1" customHeight="1">
      <c r="A92" s="1749"/>
      <c r="B92" s="1792"/>
      <c r="C92" s="1743"/>
      <c r="D92" s="1743"/>
      <c r="E92" s="1088" t="s">
        <v>116</v>
      </c>
      <c r="F92" s="1110"/>
      <c r="G92" s="1100"/>
      <c r="H92" s="1106"/>
      <c r="I92" s="1106"/>
      <c r="J92" s="1106"/>
      <c r="K92" s="1106"/>
      <c r="L92" s="1106"/>
      <c r="M92" s="1091">
        <f t="shared" si="8"/>
        <v>0</v>
      </c>
      <c r="N92" s="84"/>
      <c r="O92" s="1048" t="e">
        <f t="shared" si="9"/>
        <v>#DIV/0!</v>
      </c>
    </row>
    <row r="93" spans="1:15" s="1044" customFormat="1" ht="41.1" hidden="1" customHeight="1">
      <c r="A93" s="1749"/>
      <c r="B93" s="1793"/>
      <c r="C93" s="1743"/>
      <c r="D93" s="1743"/>
      <c r="E93" s="1088" t="s">
        <v>117</v>
      </c>
      <c r="F93" s="1110"/>
      <c r="G93" s="1111"/>
      <c r="H93" s="1111"/>
      <c r="I93" s="1111"/>
      <c r="J93" s="1111"/>
      <c r="K93" s="1111"/>
      <c r="L93" s="1111"/>
      <c r="M93" s="1091">
        <f t="shared" si="8"/>
        <v>0</v>
      </c>
      <c r="N93" s="84"/>
      <c r="O93" s="1048" t="e">
        <f t="shared" si="9"/>
        <v>#DIV/0!</v>
      </c>
    </row>
    <row r="94" spans="1:15" s="1044" customFormat="1" ht="41.1" hidden="1" customHeight="1">
      <c r="A94" s="1749">
        <v>4</v>
      </c>
      <c r="B94" s="4" t="s">
        <v>135</v>
      </c>
      <c r="C94" s="1743">
        <v>6686919</v>
      </c>
      <c r="D94" s="1743" t="s">
        <v>548</v>
      </c>
      <c r="E94" s="1088" t="s">
        <v>115</v>
      </c>
      <c r="F94" s="1112"/>
      <c r="G94" s="1100"/>
      <c r="H94" s="1104"/>
      <c r="I94" s="1113"/>
      <c r="J94" s="1106"/>
      <c r="K94" s="1106"/>
      <c r="L94" s="1106"/>
      <c r="M94" s="1091">
        <f t="shared" si="8"/>
        <v>0</v>
      </c>
      <c r="N94" s="84"/>
      <c r="O94" s="1048" t="e">
        <f t="shared" si="9"/>
        <v>#DIV/0!</v>
      </c>
    </row>
    <row r="95" spans="1:15" s="1044" customFormat="1" ht="41.1" hidden="1" customHeight="1">
      <c r="A95" s="1749"/>
      <c r="B95" s="4"/>
      <c r="C95" s="1743"/>
      <c r="D95" s="1743"/>
      <c r="E95" s="1088" t="s">
        <v>116</v>
      </c>
      <c r="F95" s="1110"/>
      <c r="G95" s="1100"/>
      <c r="H95" s="1106"/>
      <c r="I95" s="1106"/>
      <c r="J95" s="1106"/>
      <c r="K95" s="1106"/>
      <c r="L95" s="1106"/>
      <c r="M95" s="1091">
        <f t="shared" si="8"/>
        <v>0</v>
      </c>
      <c r="N95" s="84"/>
      <c r="O95" s="1048" t="e">
        <f t="shared" si="9"/>
        <v>#DIV/0!</v>
      </c>
    </row>
    <row r="96" spans="1:15" s="1044" customFormat="1" ht="41.1" hidden="1" customHeight="1">
      <c r="A96" s="1749"/>
      <c r="B96" s="4"/>
      <c r="C96" s="1743"/>
      <c r="D96" s="1743"/>
      <c r="E96" s="1088" t="s">
        <v>117</v>
      </c>
      <c r="F96" s="1110"/>
      <c r="G96" s="1111"/>
      <c r="H96" s="1111"/>
      <c r="I96" s="1111"/>
      <c r="J96" s="1111"/>
      <c r="K96" s="1111"/>
      <c r="L96" s="1111"/>
      <c r="M96" s="1091">
        <f t="shared" si="8"/>
        <v>0</v>
      </c>
      <c r="N96" s="84"/>
      <c r="O96" s="1048" t="e">
        <f t="shared" si="9"/>
        <v>#DIV/0!</v>
      </c>
    </row>
    <row r="97" spans="1:15" s="1044" customFormat="1" ht="41.1" hidden="1" customHeight="1">
      <c r="A97" s="1749">
        <v>5</v>
      </c>
      <c r="B97" s="4" t="s">
        <v>135</v>
      </c>
      <c r="C97" s="1743"/>
      <c r="D97" s="1743"/>
      <c r="E97" s="1088" t="s">
        <v>115</v>
      </c>
      <c r="F97" s="1089"/>
      <c r="G97" s="1100"/>
      <c r="H97" s="1106"/>
      <c r="I97" s="1106"/>
      <c r="J97" s="1106"/>
      <c r="K97" s="1106"/>
      <c r="L97" s="1106"/>
      <c r="M97" s="1091">
        <f t="shared" si="8"/>
        <v>0</v>
      </c>
      <c r="N97" s="84"/>
      <c r="O97" s="1048" t="e">
        <f t="shared" si="9"/>
        <v>#DIV/0!</v>
      </c>
    </row>
    <row r="98" spans="1:15" s="1044" customFormat="1" ht="41.1" hidden="1" customHeight="1">
      <c r="A98" s="1749"/>
      <c r="B98" s="4"/>
      <c r="C98" s="1743"/>
      <c r="D98" s="1743"/>
      <c r="E98" s="1088" t="s">
        <v>116</v>
      </c>
      <c r="F98" s="1110"/>
      <c r="G98" s="1100"/>
      <c r="H98" s="1106"/>
      <c r="I98" s="1106"/>
      <c r="J98" s="1106"/>
      <c r="K98" s="1106"/>
      <c r="L98" s="1106"/>
      <c r="M98" s="1091">
        <f t="shared" si="8"/>
        <v>0</v>
      </c>
      <c r="N98" s="84"/>
      <c r="O98" s="1048" t="e">
        <f t="shared" si="9"/>
        <v>#DIV/0!</v>
      </c>
    </row>
    <row r="99" spans="1:15" s="1044" customFormat="1" ht="41.1" hidden="1" customHeight="1">
      <c r="A99" s="1749"/>
      <c r="B99" s="4"/>
      <c r="C99" s="1743"/>
      <c r="D99" s="1743"/>
      <c r="E99" s="1088" t="s">
        <v>117</v>
      </c>
      <c r="F99" s="1110"/>
      <c r="G99" s="1100"/>
      <c r="H99" s="1100"/>
      <c r="I99" s="1100"/>
      <c r="J99" s="1100"/>
      <c r="K99" s="1100"/>
      <c r="L99" s="1100"/>
      <c r="M99" s="1091">
        <f t="shared" si="8"/>
        <v>0</v>
      </c>
      <c r="N99" s="84"/>
      <c r="O99" s="1048" t="e">
        <f t="shared" si="9"/>
        <v>#DIV/0!</v>
      </c>
    </row>
    <row r="100" spans="1:15" s="1044" customFormat="1" ht="41.1" hidden="1" customHeight="1">
      <c r="A100" s="1749">
        <v>6</v>
      </c>
      <c r="B100" s="4" t="s">
        <v>135</v>
      </c>
      <c r="C100" s="1743"/>
      <c r="D100" s="1743"/>
      <c r="E100" s="1088" t="s">
        <v>115</v>
      </c>
      <c r="F100" s="1112"/>
      <c r="G100" s="1100"/>
      <c r="H100" s="1106"/>
      <c r="I100" s="1106"/>
      <c r="J100" s="1106"/>
      <c r="K100" s="1106"/>
      <c r="L100" s="1106"/>
      <c r="M100" s="1091">
        <f t="shared" si="8"/>
        <v>0</v>
      </c>
      <c r="N100" s="84"/>
      <c r="O100" s="1048" t="e">
        <f t="shared" si="9"/>
        <v>#DIV/0!</v>
      </c>
    </row>
    <row r="101" spans="1:15" s="1044" customFormat="1" ht="41.1" hidden="1" customHeight="1">
      <c r="A101" s="1749"/>
      <c r="B101" s="4"/>
      <c r="C101" s="1743"/>
      <c r="D101" s="1743"/>
      <c r="E101" s="1088" t="s">
        <v>116</v>
      </c>
      <c r="F101" s="1110"/>
      <c r="G101" s="1100"/>
      <c r="H101" s="1106"/>
      <c r="I101" s="1106"/>
      <c r="J101" s="1106"/>
      <c r="K101" s="1106"/>
      <c r="L101" s="1106"/>
      <c r="M101" s="1091">
        <f t="shared" si="8"/>
        <v>0</v>
      </c>
      <c r="N101" s="84"/>
      <c r="O101" s="1048" t="e">
        <f t="shared" si="9"/>
        <v>#DIV/0!</v>
      </c>
    </row>
    <row r="102" spans="1:15" s="1044" customFormat="1" ht="41.1" hidden="1" customHeight="1">
      <c r="A102" s="1749"/>
      <c r="B102" s="4"/>
      <c r="C102" s="1743"/>
      <c r="D102" s="1743"/>
      <c r="E102" s="1088" t="s">
        <v>117</v>
      </c>
      <c r="F102" s="1110"/>
      <c r="G102" s="1100"/>
      <c r="H102" s="1106"/>
      <c r="I102" s="1106"/>
      <c r="J102" s="1106"/>
      <c r="K102" s="1106"/>
      <c r="L102" s="1106"/>
      <c r="M102" s="1091">
        <f t="shared" si="8"/>
        <v>0</v>
      </c>
      <c r="N102" s="84"/>
      <c r="O102" s="1048" t="e">
        <f t="shared" si="9"/>
        <v>#DIV/0!</v>
      </c>
    </row>
    <row r="103" spans="1:15" s="1044" customFormat="1" ht="41.1" hidden="1" customHeight="1">
      <c r="A103" s="1749">
        <v>1</v>
      </c>
      <c r="B103" s="1114"/>
      <c r="C103" s="1769"/>
      <c r="D103" s="1743" t="s">
        <v>650</v>
      </c>
      <c r="E103" s="1088" t="s">
        <v>115</v>
      </c>
      <c r="F103" s="1089"/>
      <c r="G103" s="1100"/>
      <c r="H103" s="1106"/>
      <c r="I103" s="1106"/>
      <c r="J103" s="1106"/>
      <c r="K103" s="1106"/>
      <c r="L103" s="1106"/>
      <c r="M103" s="1091">
        <f t="shared" si="8"/>
        <v>0</v>
      </c>
      <c r="N103" s="84"/>
      <c r="O103" s="1048"/>
    </row>
    <row r="104" spans="1:15" s="1044" customFormat="1" ht="41.1" hidden="1" customHeight="1">
      <c r="A104" s="1749"/>
      <c r="B104" s="1115" t="s">
        <v>136</v>
      </c>
      <c r="C104" s="1769"/>
      <c r="D104" s="1743"/>
      <c r="E104" s="1088" t="s">
        <v>116</v>
      </c>
      <c r="F104" s="1089"/>
      <c r="G104" s="1100"/>
      <c r="H104" s="1106"/>
      <c r="I104" s="1106"/>
      <c r="J104" s="1106"/>
      <c r="K104" s="1106"/>
      <c r="L104" s="1106"/>
      <c r="M104" s="1091">
        <f t="shared" si="8"/>
        <v>0</v>
      </c>
      <c r="N104" s="84"/>
      <c r="O104" s="1048"/>
    </row>
    <row r="105" spans="1:15" s="1044" customFormat="1" ht="41.1" hidden="1" customHeight="1">
      <c r="A105" s="1749"/>
      <c r="B105" s="1116"/>
      <c r="C105" s="1769"/>
      <c r="D105" s="1743"/>
      <c r="E105" s="1088" t="s">
        <v>117</v>
      </c>
      <c r="F105" s="1089"/>
      <c r="G105" s="1108"/>
      <c r="H105" s="1108"/>
      <c r="I105" s="1108"/>
      <c r="J105" s="1108"/>
      <c r="K105" s="1108"/>
      <c r="L105" s="1108"/>
      <c r="M105" s="1091">
        <f t="shared" si="8"/>
        <v>0</v>
      </c>
      <c r="N105" s="84"/>
      <c r="O105" s="1048"/>
    </row>
    <row r="106" spans="1:15" s="1046" customFormat="1" ht="41.1" hidden="1" customHeight="1">
      <c r="A106" s="1790" t="s">
        <v>634</v>
      </c>
      <c r="B106" s="1790"/>
      <c r="C106" s="1790"/>
      <c r="D106" s="1790"/>
      <c r="E106" s="1790"/>
      <c r="F106" s="1790"/>
      <c r="G106" s="1790"/>
      <c r="H106" s="1790"/>
      <c r="I106" s="1790"/>
      <c r="J106" s="1790"/>
      <c r="K106" s="1105"/>
      <c r="L106" s="1790"/>
      <c r="M106" s="1790"/>
      <c r="N106" s="84"/>
      <c r="O106" s="1048"/>
    </row>
    <row r="107" spans="1:15" s="1044" customFormat="1" ht="41.1" hidden="1" customHeight="1">
      <c r="A107" s="1749">
        <v>1</v>
      </c>
      <c r="B107" s="1794" t="s">
        <v>663</v>
      </c>
      <c r="C107" s="1797" t="s">
        <v>629</v>
      </c>
      <c r="D107" s="1797" t="s">
        <v>662</v>
      </c>
      <c r="E107" s="1088" t="s">
        <v>115</v>
      </c>
      <c r="F107" s="1089">
        <f>'[1]D M S'!$M107</f>
        <v>0</v>
      </c>
      <c r="G107" s="1047">
        <f>'[2]D M S'!$M107</f>
        <v>0</v>
      </c>
      <c r="H107" s="1047">
        <f>'[3]D M S'!$M107</f>
        <v>0</v>
      </c>
      <c r="I107" s="1047">
        <f>'[4]D M S'!$M107</f>
        <v>0</v>
      </c>
      <c r="J107" s="1047">
        <f>'[5]D M S'!$M107</f>
        <v>0</v>
      </c>
      <c r="K107" s="1047">
        <f>'[6]D M S'!$M107</f>
        <v>0</v>
      </c>
      <c r="L107" s="1047">
        <f>'[7]D M S'!$M107</f>
        <v>0</v>
      </c>
      <c r="M107" s="1091">
        <f t="shared" ref="M107:M124" si="10">SUM(F107:L107)</f>
        <v>0</v>
      </c>
      <c r="N107" s="84"/>
      <c r="O107" s="1048"/>
    </row>
    <row r="108" spans="1:15" s="1044" customFormat="1" ht="41.1" hidden="1" customHeight="1">
      <c r="A108" s="1749"/>
      <c r="B108" s="1795"/>
      <c r="C108" s="1797"/>
      <c r="D108" s="1797"/>
      <c r="E108" s="1088" t="s">
        <v>116</v>
      </c>
      <c r="F108" s="1089">
        <f>'[1]D M S'!$M108</f>
        <v>0</v>
      </c>
      <c r="G108" s="1047">
        <f>'[2]D M S'!$M108</f>
        <v>0</v>
      </c>
      <c r="H108" s="1047">
        <f>'[3]D M S'!$M108</f>
        <v>0</v>
      </c>
      <c r="I108" s="1047">
        <f>'[4]D M S'!$M108</f>
        <v>0</v>
      </c>
      <c r="J108" s="1047">
        <f>'[5]D M S'!$M108</f>
        <v>0</v>
      </c>
      <c r="K108" s="1047">
        <f>'[6]D M S'!$M108</f>
        <v>0</v>
      </c>
      <c r="L108" s="1047">
        <f>'[7]D M S'!$M108</f>
        <v>0</v>
      </c>
      <c r="M108" s="1091">
        <f t="shared" si="10"/>
        <v>0</v>
      </c>
      <c r="N108" s="84"/>
      <c r="O108" s="1048"/>
    </row>
    <row r="109" spans="1:15" s="1044" customFormat="1" ht="41.1" hidden="1" customHeight="1">
      <c r="A109" s="1749"/>
      <c r="B109" s="1796"/>
      <c r="C109" s="1797"/>
      <c r="D109" s="1797"/>
      <c r="E109" s="1088" t="s">
        <v>117</v>
      </c>
      <c r="F109" s="1089">
        <f>'[1]D M S'!$M109</f>
        <v>0</v>
      </c>
      <c r="G109" s="1047">
        <f>'[2]D M S'!$M109</f>
        <v>0</v>
      </c>
      <c r="H109" s="1047">
        <f>'[3]D M S'!$M109</f>
        <v>0</v>
      </c>
      <c r="I109" s="1047">
        <f>'[4]D M S'!$M109</f>
        <v>0</v>
      </c>
      <c r="J109" s="1050">
        <f>'[5]D M S'!$M109</f>
        <v>0</v>
      </c>
      <c r="K109" s="1047">
        <f>'[6]D M S'!$M109</f>
        <v>0</v>
      </c>
      <c r="L109" s="1047">
        <f>'[7]D M S'!$M109</f>
        <v>0</v>
      </c>
      <c r="M109" s="1091">
        <f t="shared" si="10"/>
        <v>0</v>
      </c>
      <c r="N109" s="84"/>
      <c r="O109" s="1048"/>
    </row>
    <row r="110" spans="1:15" s="1044" customFormat="1" ht="41.1" hidden="1" customHeight="1">
      <c r="A110" s="1749">
        <v>2</v>
      </c>
      <c r="B110" s="1798"/>
      <c r="C110" s="1801" t="s">
        <v>629</v>
      </c>
      <c r="D110" s="1801" t="s">
        <v>630</v>
      </c>
      <c r="E110" s="1088" t="s">
        <v>115</v>
      </c>
      <c r="F110" s="1089">
        <f>'[1]D M S'!$M110</f>
        <v>0</v>
      </c>
      <c r="G110" s="1047">
        <f>'[2]D M S'!$M110</f>
        <v>0</v>
      </c>
      <c r="H110" s="1047">
        <f>'[3]D M S'!$M110</f>
        <v>0</v>
      </c>
      <c r="I110" s="1047">
        <f>'[4]D M S'!$M110</f>
        <v>0</v>
      </c>
      <c r="J110" s="1047">
        <f>'[5]D M S'!$M110</f>
        <v>0</v>
      </c>
      <c r="K110" s="1047">
        <f>'[6]D M S'!$M110</f>
        <v>0</v>
      </c>
      <c r="L110" s="1047">
        <f>'[7]D M S'!$M110</f>
        <v>0</v>
      </c>
      <c r="M110" s="1091">
        <f t="shared" si="10"/>
        <v>0</v>
      </c>
      <c r="N110" s="84"/>
      <c r="O110" s="1048"/>
    </row>
    <row r="111" spans="1:15" s="1044" customFormat="1" ht="41.1" hidden="1" customHeight="1">
      <c r="A111" s="1749"/>
      <c r="B111" s="1799"/>
      <c r="C111" s="1801"/>
      <c r="D111" s="1801"/>
      <c r="E111" s="1088" t="s">
        <v>116</v>
      </c>
      <c r="F111" s="1089">
        <f>'[1]D M S'!$M111</f>
        <v>0</v>
      </c>
      <c r="G111" s="1047">
        <f>'[2]D M S'!$M111</f>
        <v>0</v>
      </c>
      <c r="H111" s="1047">
        <f>'[3]D M S'!$M111</f>
        <v>0</v>
      </c>
      <c r="I111" s="1047">
        <f>'[4]D M S'!$M111</f>
        <v>0</v>
      </c>
      <c r="J111" s="1047">
        <f>'[5]D M S'!$M111</f>
        <v>0</v>
      </c>
      <c r="K111" s="1047">
        <f>'[6]D M S'!$M111</f>
        <v>0</v>
      </c>
      <c r="L111" s="1047">
        <f>'[7]D M S'!$M111</f>
        <v>0</v>
      </c>
      <c r="M111" s="1091">
        <f t="shared" si="10"/>
        <v>0</v>
      </c>
      <c r="N111" s="84"/>
      <c r="O111" s="1048"/>
    </row>
    <row r="112" spans="1:15" s="1044" customFormat="1" ht="41.1" hidden="1" customHeight="1">
      <c r="A112" s="1749"/>
      <c r="B112" s="1800"/>
      <c r="C112" s="1801"/>
      <c r="D112" s="1801"/>
      <c r="E112" s="1088" t="s">
        <v>117</v>
      </c>
      <c r="F112" s="1089">
        <f>'[1]D M S'!$M112</f>
        <v>0</v>
      </c>
      <c r="G112" s="1047">
        <f>'[2]D M S'!$M112</f>
        <v>0</v>
      </c>
      <c r="H112" s="1047">
        <f>'[3]D M S'!$M112</f>
        <v>0</v>
      </c>
      <c r="I112" s="1047">
        <f>'[4]D M S'!$M112</f>
        <v>0</v>
      </c>
      <c r="J112" s="1050">
        <f>'[5]D M S'!$M112</f>
        <v>0</v>
      </c>
      <c r="K112" s="1047">
        <f>'[6]D M S'!$M112</f>
        <v>0</v>
      </c>
      <c r="L112" s="1047">
        <f>'[7]D M S'!$M112</f>
        <v>0</v>
      </c>
      <c r="M112" s="1091">
        <f t="shared" si="10"/>
        <v>0</v>
      </c>
      <c r="N112" s="84"/>
      <c r="O112" s="1048"/>
    </row>
    <row r="113" spans="1:15" ht="41.1" hidden="1" customHeight="1">
      <c r="A113" s="1749">
        <v>3</v>
      </c>
      <c r="B113" s="1791" t="s">
        <v>628</v>
      </c>
      <c r="C113" s="1802" t="s">
        <v>631</v>
      </c>
      <c r="D113" s="1743" t="s">
        <v>632</v>
      </c>
      <c r="E113" s="1088" t="s">
        <v>115</v>
      </c>
      <c r="F113" s="1089">
        <f>'[1]D M S'!$M113</f>
        <v>0</v>
      </c>
      <c r="G113" s="1047">
        <f>'[2]D M S'!$M113</f>
        <v>0</v>
      </c>
      <c r="H113" s="1047">
        <f>'[3]D M S'!$M113</f>
        <v>0</v>
      </c>
      <c r="I113" s="1047">
        <f>'[4]D M S'!$M113</f>
        <v>0</v>
      </c>
      <c r="J113" s="1050">
        <f>'[5]D M S'!$M113</f>
        <v>0</v>
      </c>
      <c r="K113" s="1047">
        <f>'[6]D M S'!$M113</f>
        <v>0</v>
      </c>
      <c r="L113" s="1047">
        <f>'[7]D M S'!$M113</f>
        <v>0</v>
      </c>
      <c r="M113" s="1091">
        <f t="shared" si="10"/>
        <v>0</v>
      </c>
      <c r="N113" s="84"/>
      <c r="O113" s="1048"/>
    </row>
    <row r="114" spans="1:15" ht="41.1" hidden="1" customHeight="1">
      <c r="A114" s="1749"/>
      <c r="B114" s="1792"/>
      <c r="C114" s="1802"/>
      <c r="D114" s="1743"/>
      <c r="E114" s="1088" t="s">
        <v>116</v>
      </c>
      <c r="F114" s="1089">
        <f>'[1]D M S'!$M114</f>
        <v>0</v>
      </c>
      <c r="G114" s="1047">
        <f>'[2]D M S'!$M114</f>
        <v>0</v>
      </c>
      <c r="H114" s="1047">
        <f>'[3]D M S'!$M114</f>
        <v>0</v>
      </c>
      <c r="I114" s="1047">
        <f>'[4]D M S'!$M114</f>
        <v>0</v>
      </c>
      <c r="J114" s="1050">
        <f>'[5]D M S'!$M114</f>
        <v>0</v>
      </c>
      <c r="K114" s="1047">
        <f>'[6]D M S'!$M114</f>
        <v>0</v>
      </c>
      <c r="L114" s="1047">
        <f>'[7]D M S'!$M114</f>
        <v>0</v>
      </c>
      <c r="M114" s="1091">
        <f t="shared" si="10"/>
        <v>0</v>
      </c>
      <c r="N114" s="84"/>
      <c r="O114" s="1048"/>
    </row>
    <row r="115" spans="1:15" ht="41.1" hidden="1" customHeight="1">
      <c r="A115" s="1749"/>
      <c r="B115" s="1793"/>
      <c r="C115" s="1802"/>
      <c r="D115" s="1743"/>
      <c r="E115" s="1088" t="s">
        <v>117</v>
      </c>
      <c r="F115" s="1089">
        <f>'[1]D M S'!$M115</f>
        <v>0</v>
      </c>
      <c r="G115" s="1047">
        <f>'[2]D M S'!$M115</f>
        <v>0</v>
      </c>
      <c r="H115" s="1047">
        <f>'[3]D M S'!$M115</f>
        <v>0</v>
      </c>
      <c r="I115" s="1047">
        <f>'[4]D M S'!$M115</f>
        <v>0</v>
      </c>
      <c r="J115" s="1050">
        <f>'[5]D M S'!$M115</f>
        <v>0</v>
      </c>
      <c r="K115" s="1047">
        <f>'[6]D M S'!$M115</f>
        <v>0</v>
      </c>
      <c r="L115" s="1047">
        <f>'[7]D M S'!$M115</f>
        <v>0</v>
      </c>
      <c r="M115" s="1091">
        <f t="shared" si="10"/>
        <v>0</v>
      </c>
      <c r="N115" s="84"/>
      <c r="O115" s="1048"/>
    </row>
    <row r="116" spans="1:15" ht="41.1" hidden="1" customHeight="1">
      <c r="A116" s="1749">
        <v>4</v>
      </c>
      <c r="B116" s="4" t="s">
        <v>633</v>
      </c>
      <c r="C116" s="1803" t="s">
        <v>635</v>
      </c>
      <c r="D116" s="1804" t="s">
        <v>636</v>
      </c>
      <c r="E116" s="1088" t="s">
        <v>115</v>
      </c>
      <c r="F116" s="1089">
        <f>'[1]D M S'!$M116</f>
        <v>0</v>
      </c>
      <c r="G116" s="1047">
        <f>'[2]D M S'!$M116</f>
        <v>0</v>
      </c>
      <c r="H116" s="1047">
        <f>'[3]D M S'!$M116</f>
        <v>0</v>
      </c>
      <c r="I116" s="1047">
        <f>'[4]D M S'!$M116</f>
        <v>0</v>
      </c>
      <c r="J116" s="1050">
        <f>'[5]D M S'!$M116</f>
        <v>0</v>
      </c>
      <c r="K116" s="1047">
        <f>'[6]D M S'!$M116</f>
        <v>0</v>
      </c>
      <c r="L116" s="1047">
        <f>'[7]D M S'!$M116</f>
        <v>0</v>
      </c>
      <c r="M116" s="1091">
        <f t="shared" si="10"/>
        <v>0</v>
      </c>
      <c r="N116" s="84"/>
      <c r="O116" s="1048"/>
    </row>
    <row r="117" spans="1:15" ht="41.1" hidden="1" customHeight="1">
      <c r="A117" s="1749"/>
      <c r="B117" s="4"/>
      <c r="C117" s="1803"/>
      <c r="D117" s="1804"/>
      <c r="E117" s="1088" t="s">
        <v>116</v>
      </c>
      <c r="F117" s="1089">
        <f>'[1]D M S'!$M117</f>
        <v>0</v>
      </c>
      <c r="G117" s="1047">
        <f>'[2]D M S'!$M117</f>
        <v>0</v>
      </c>
      <c r="H117" s="1047">
        <f>'[3]D M S'!$M117</f>
        <v>0</v>
      </c>
      <c r="I117" s="1047">
        <f>'[4]D M S'!$M117</f>
        <v>0</v>
      </c>
      <c r="J117" s="1050">
        <f>'[5]D M S'!$M117</f>
        <v>0</v>
      </c>
      <c r="K117" s="1047">
        <f>'[6]D M S'!$M117</f>
        <v>0</v>
      </c>
      <c r="L117" s="1047">
        <f>'[7]D M S'!$M117</f>
        <v>0</v>
      </c>
      <c r="M117" s="1091">
        <f t="shared" si="10"/>
        <v>0</v>
      </c>
      <c r="N117" s="84"/>
      <c r="O117" s="1048"/>
    </row>
    <row r="118" spans="1:15" ht="41.1" hidden="1" customHeight="1">
      <c r="A118" s="1749"/>
      <c r="B118" s="4"/>
      <c r="C118" s="1803"/>
      <c r="D118" s="1804"/>
      <c r="E118" s="1088" t="s">
        <v>117</v>
      </c>
      <c r="F118" s="1089">
        <f>'[1]D M S'!$M118</f>
        <v>0</v>
      </c>
      <c r="G118" s="1047">
        <f>'[2]D M S'!$M118</f>
        <v>0</v>
      </c>
      <c r="H118" s="1047">
        <f>'[3]D M S'!$M118</f>
        <v>0</v>
      </c>
      <c r="I118" s="1047">
        <f>'[4]D M S'!$M118</f>
        <v>0</v>
      </c>
      <c r="J118" s="1050">
        <f>'[5]D M S'!$M118</f>
        <v>0</v>
      </c>
      <c r="K118" s="1047">
        <f>'[6]D M S'!$M118</f>
        <v>0</v>
      </c>
      <c r="L118" s="1047">
        <f>'[7]D M S'!$M118</f>
        <v>0</v>
      </c>
      <c r="M118" s="1091">
        <f t="shared" si="10"/>
        <v>0</v>
      </c>
      <c r="N118" s="84"/>
      <c r="O118" s="1048"/>
    </row>
    <row r="119" spans="1:15" s="1044" customFormat="1" ht="41.1" hidden="1" customHeight="1">
      <c r="A119" s="1749">
        <v>5</v>
      </c>
      <c r="B119" s="4" t="s">
        <v>137</v>
      </c>
      <c r="C119" s="1797"/>
      <c r="D119" s="1804"/>
      <c r="E119" s="1088" t="s">
        <v>115</v>
      </c>
      <c r="F119" s="1089">
        <f>'[1]D M S'!$M119</f>
        <v>0</v>
      </c>
      <c r="G119" s="1047">
        <f>'[2]D M S'!$M119</f>
        <v>0</v>
      </c>
      <c r="H119" s="1047">
        <f>'[3]D M S'!$M119</f>
        <v>0</v>
      </c>
      <c r="I119" s="1047">
        <f>'[4]D M S'!$M119</f>
        <v>0</v>
      </c>
      <c r="J119" s="1050">
        <f>'[5]D M S'!$M119</f>
        <v>0</v>
      </c>
      <c r="K119" s="1047">
        <f>'[6]D M S'!$M119</f>
        <v>0</v>
      </c>
      <c r="L119" s="1047">
        <f>'[7]D M S'!$M119</f>
        <v>0</v>
      </c>
      <c r="M119" s="1091">
        <f t="shared" si="10"/>
        <v>0</v>
      </c>
      <c r="N119" s="84"/>
      <c r="O119" s="1048"/>
    </row>
    <row r="120" spans="1:15" s="1044" customFormat="1" ht="41.1" hidden="1" customHeight="1">
      <c r="A120" s="1749"/>
      <c r="B120" s="4"/>
      <c r="C120" s="1797"/>
      <c r="D120" s="1804"/>
      <c r="E120" s="1088" t="s">
        <v>116</v>
      </c>
      <c r="F120" s="1089">
        <f>'[1]D M S'!$M120</f>
        <v>0</v>
      </c>
      <c r="G120" s="1047">
        <f>'[2]D M S'!$M120</f>
        <v>0</v>
      </c>
      <c r="H120" s="1047">
        <f>'[3]D M S'!$M120</f>
        <v>0</v>
      </c>
      <c r="I120" s="1047">
        <f>'[4]D M S'!$M120</f>
        <v>0</v>
      </c>
      <c r="J120" s="1050">
        <f>'[5]D M S'!$M120</f>
        <v>0</v>
      </c>
      <c r="K120" s="1047">
        <f>'[6]D M S'!$M120</f>
        <v>0</v>
      </c>
      <c r="L120" s="1047">
        <f>'[7]D M S'!$M120</f>
        <v>0</v>
      </c>
      <c r="M120" s="1091">
        <f t="shared" si="10"/>
        <v>0</v>
      </c>
      <c r="N120" s="84"/>
      <c r="O120" s="1048"/>
    </row>
    <row r="121" spans="1:15" s="1044" customFormat="1" ht="41.1" hidden="1" customHeight="1">
      <c r="A121" s="1749"/>
      <c r="B121" s="4"/>
      <c r="C121" s="1797"/>
      <c r="D121" s="1804"/>
      <c r="E121" s="1088" t="s">
        <v>117</v>
      </c>
      <c r="F121" s="1089">
        <f>'[1]D M S'!$M121</f>
        <v>0</v>
      </c>
      <c r="G121" s="1047">
        <f>'[2]D M S'!$M121</f>
        <v>0</v>
      </c>
      <c r="H121" s="1047">
        <f>'[3]D M S'!$M121</f>
        <v>0</v>
      </c>
      <c r="I121" s="1047">
        <f>'[4]D M S'!$M121</f>
        <v>0</v>
      </c>
      <c r="J121" s="1050">
        <f>'[5]D M S'!$M121</f>
        <v>0</v>
      </c>
      <c r="K121" s="1047">
        <f>'[6]D M S'!$M121</f>
        <v>0</v>
      </c>
      <c r="L121" s="1047">
        <f>'[7]D M S'!$M121</f>
        <v>0</v>
      </c>
      <c r="M121" s="1091">
        <f t="shared" si="10"/>
        <v>0</v>
      </c>
      <c r="N121" s="84"/>
      <c r="O121" s="1048"/>
    </row>
    <row r="122" spans="1:15" s="1044" customFormat="1" ht="41.1" hidden="1" customHeight="1">
      <c r="A122" s="1749">
        <v>6</v>
      </c>
      <c r="B122" s="4" t="s">
        <v>137</v>
      </c>
      <c r="C122" s="1797"/>
      <c r="D122" s="1804"/>
      <c r="E122" s="1088" t="s">
        <v>115</v>
      </c>
      <c r="F122" s="1089">
        <f>'[1]D M S'!$M122</f>
        <v>0</v>
      </c>
      <c r="G122" s="1047">
        <f>'[2]D M S'!$M122</f>
        <v>0</v>
      </c>
      <c r="H122" s="1047">
        <f>'[3]D M S'!$M122</f>
        <v>0</v>
      </c>
      <c r="I122" s="1047">
        <f>'[4]D M S'!$M122</f>
        <v>0</v>
      </c>
      <c r="J122" s="1050">
        <f>'[5]D M S'!$M122</f>
        <v>0</v>
      </c>
      <c r="K122" s="1047">
        <f>'[6]D M S'!$M122</f>
        <v>0</v>
      </c>
      <c r="L122" s="1047">
        <f>'[7]D M S'!$M122</f>
        <v>0</v>
      </c>
      <c r="M122" s="1091">
        <f t="shared" si="10"/>
        <v>0</v>
      </c>
      <c r="N122" s="84"/>
      <c r="O122" s="1048"/>
    </row>
    <row r="123" spans="1:15" s="1044" customFormat="1" ht="41.1" hidden="1" customHeight="1">
      <c r="A123" s="1749"/>
      <c r="B123" s="4"/>
      <c r="C123" s="1797"/>
      <c r="D123" s="1804"/>
      <c r="E123" s="1088" t="s">
        <v>116</v>
      </c>
      <c r="F123" s="1089">
        <f>'[1]D M S'!$M123</f>
        <v>0</v>
      </c>
      <c r="G123" s="1047">
        <f>'[2]D M S'!$M123</f>
        <v>0</v>
      </c>
      <c r="H123" s="1047">
        <f>'[3]D M S'!$M123</f>
        <v>0</v>
      </c>
      <c r="I123" s="1047">
        <f>'[4]D M S'!$M123</f>
        <v>0</v>
      </c>
      <c r="J123" s="1050">
        <f>'[5]D M S'!$M123</f>
        <v>0</v>
      </c>
      <c r="K123" s="1047">
        <f>'[6]D M S'!$M123</f>
        <v>0</v>
      </c>
      <c r="L123" s="1047">
        <f>'[7]D M S'!$M123</f>
        <v>0</v>
      </c>
      <c r="M123" s="1091">
        <f t="shared" si="10"/>
        <v>0</v>
      </c>
      <c r="N123" s="84"/>
      <c r="O123" s="1048"/>
    </row>
    <row r="124" spans="1:15" s="1044" customFormat="1" ht="41.1" hidden="1" customHeight="1">
      <c r="A124" s="1749"/>
      <c r="B124" s="4"/>
      <c r="C124" s="1797"/>
      <c r="D124" s="1804"/>
      <c r="E124" s="1088" t="s">
        <v>117</v>
      </c>
      <c r="F124" s="1089">
        <f>'[1]D M S'!$M124</f>
        <v>0</v>
      </c>
      <c r="G124" s="1047">
        <f>'[2]D M S'!$M124</f>
        <v>0</v>
      </c>
      <c r="H124" s="1047">
        <f>'[3]D M S'!$M124</f>
        <v>0</v>
      </c>
      <c r="I124" s="1047">
        <f>'[4]D M S'!$M124</f>
        <v>0</v>
      </c>
      <c r="J124" s="1050">
        <f>'[5]D M S'!$M124</f>
        <v>0</v>
      </c>
      <c r="K124" s="1047">
        <f>'[6]D M S'!$M124</f>
        <v>0</v>
      </c>
      <c r="L124" s="1047">
        <f>'[7]D M S'!$M124</f>
        <v>0</v>
      </c>
      <c r="M124" s="1091">
        <f t="shared" si="10"/>
        <v>0</v>
      </c>
      <c r="N124" s="84"/>
      <c r="O124" s="1048"/>
    </row>
    <row r="125" spans="1:15" s="1046" customFormat="1" ht="41.1" customHeight="1">
      <c r="A125" s="1790" t="s">
        <v>138</v>
      </c>
      <c r="B125" s="1790"/>
      <c r="C125" s="1790"/>
      <c r="D125" s="1790"/>
      <c r="E125" s="1790"/>
      <c r="F125" s="1790"/>
      <c r="G125" s="1790"/>
      <c r="H125" s="1790"/>
      <c r="I125" s="1790"/>
      <c r="J125" s="1790"/>
      <c r="K125" s="1105"/>
      <c r="L125" s="1790"/>
      <c r="M125" s="1790"/>
      <c r="N125" s="84"/>
      <c r="O125" s="1048"/>
    </row>
    <row r="126" spans="1:15" s="1044" customFormat="1" ht="12.75" hidden="1" customHeight="1">
      <c r="A126" s="1749">
        <v>1</v>
      </c>
      <c r="B126" s="1765" t="s">
        <v>139</v>
      </c>
      <c r="C126" s="1743" t="e">
        <v>#REF!</v>
      </c>
      <c r="D126" s="1743" t="s">
        <v>140</v>
      </c>
      <c r="E126" s="1088" t="s">
        <v>115</v>
      </c>
      <c r="F126" s="1106"/>
      <c r="G126" s="1100"/>
      <c r="H126" s="1090"/>
      <c r="I126" s="1106"/>
      <c r="J126" s="1106"/>
      <c r="K126" s="1106"/>
      <c r="L126" s="1106"/>
      <c r="M126" s="1090"/>
      <c r="N126" s="84"/>
      <c r="O126" s="1048"/>
    </row>
    <row r="127" spans="1:15" s="1044" customFormat="1" ht="12.75" hidden="1" customHeight="1">
      <c r="A127" s="1749"/>
      <c r="B127" s="1765"/>
      <c r="C127" s="1743"/>
      <c r="D127" s="1743"/>
      <c r="E127" s="1088" t="s">
        <v>116</v>
      </c>
      <c r="F127" s="1106"/>
      <c r="G127" s="1100"/>
      <c r="H127" s="1090"/>
      <c r="I127" s="1090"/>
      <c r="J127" s="1106"/>
      <c r="K127" s="1106"/>
      <c r="L127" s="1117"/>
      <c r="M127" s="1090"/>
      <c r="N127" s="84"/>
      <c r="O127" s="1048"/>
    </row>
    <row r="128" spans="1:15" s="1044" customFormat="1" ht="12.75" hidden="1" customHeight="1">
      <c r="A128" s="1749"/>
      <c r="B128" s="1765"/>
      <c r="C128" s="1743"/>
      <c r="D128" s="1743"/>
      <c r="E128" s="1088" t="s">
        <v>117</v>
      </c>
      <c r="F128" s="1106"/>
      <c r="G128" s="1100"/>
      <c r="H128" s="1090"/>
      <c r="I128" s="1090"/>
      <c r="J128" s="1106"/>
      <c r="K128" s="1106"/>
      <c r="L128" s="1117"/>
      <c r="M128" s="1090"/>
      <c r="N128" s="84"/>
      <c r="O128" s="1048"/>
    </row>
    <row r="129" spans="1:15" s="1044" customFormat="1" ht="41.1" customHeight="1">
      <c r="A129" s="1749">
        <v>1</v>
      </c>
      <c r="B129" s="1765" t="s">
        <v>751</v>
      </c>
      <c r="C129" s="1769" t="s">
        <v>637</v>
      </c>
      <c r="D129" s="1743" t="s">
        <v>638</v>
      </c>
      <c r="E129" s="1088" t="s">
        <v>115</v>
      </c>
      <c r="F129" s="1118">
        <f>'[8]D M S'!$M129</f>
        <v>10</v>
      </c>
      <c r="G129" s="1047">
        <f>'[2]D M S'!$M129</f>
        <v>10</v>
      </c>
      <c r="H129" s="1106">
        <f>'[3]D M S'!$M129</f>
        <v>0</v>
      </c>
      <c r="I129" s="1090">
        <f>'[9]D M S'!$M129</f>
        <v>10</v>
      </c>
      <c r="J129" s="1106">
        <f>'[5]D M S'!$M129</f>
        <v>8</v>
      </c>
      <c r="K129" s="1106">
        <f>'[6]D M S'!$M129</f>
        <v>6</v>
      </c>
      <c r="L129" s="1106">
        <f>'[7]D M S'!$M129</f>
        <v>10</v>
      </c>
      <c r="M129" s="1091">
        <f t="shared" ref="M129:M192" si="11">SUM(F129:L129)</f>
        <v>54</v>
      </c>
      <c r="N129" s="84"/>
      <c r="O129" s="1048"/>
    </row>
    <row r="130" spans="1:15" s="1044" customFormat="1" ht="41.1" customHeight="1">
      <c r="A130" s="1749"/>
      <c r="B130" s="1765"/>
      <c r="C130" s="1769"/>
      <c r="D130" s="1743"/>
      <c r="E130" s="1088" t="s">
        <v>116</v>
      </c>
      <c r="F130" s="1118">
        <f>'[8]D M S'!$M130</f>
        <v>0</v>
      </c>
      <c r="G130" s="1047">
        <f>'[2]D M S'!$M130</f>
        <v>0</v>
      </c>
      <c r="H130" s="1119">
        <f>'[3]D M S'!$M130</f>
        <v>0</v>
      </c>
      <c r="I130" s="1090">
        <f>'[9]D M S'!$M130</f>
        <v>0</v>
      </c>
      <c r="J130" s="1106">
        <f>'[5]D M S'!$M130</f>
        <v>0</v>
      </c>
      <c r="K130" s="1106">
        <f>'[6]D M S'!$M130</f>
        <v>0</v>
      </c>
      <c r="L130" s="1106">
        <f>'[7]D M S'!$M130</f>
        <v>0</v>
      </c>
      <c r="M130" s="1091">
        <f t="shared" si="11"/>
        <v>0</v>
      </c>
      <c r="N130" s="84"/>
      <c r="O130" s="1048"/>
    </row>
    <row r="131" spans="1:15" s="1044" customFormat="1" ht="41.1" customHeight="1">
      <c r="A131" s="1749"/>
      <c r="B131" s="1765"/>
      <c r="C131" s="1769"/>
      <c r="D131" s="1743"/>
      <c r="E131" s="1088" t="s">
        <v>117</v>
      </c>
      <c r="F131" s="1118">
        <f>'[8]D M S'!$M131</f>
        <v>0</v>
      </c>
      <c r="G131" s="1047">
        <f>'[2]D M S'!$M131</f>
        <v>0</v>
      </c>
      <c r="H131" s="1120">
        <f>'[3]D M S'!$M131</f>
        <v>0</v>
      </c>
      <c r="I131" s="1090">
        <f>'[9]D M S'!$M131</f>
        <v>0</v>
      </c>
      <c r="J131" s="1106">
        <f>'[5]D M S'!$M131</f>
        <v>0</v>
      </c>
      <c r="K131" s="1106">
        <f>'[6]D M S'!$M131</f>
        <v>0</v>
      </c>
      <c r="L131" s="1106">
        <f>'[7]D M S'!$M131</f>
        <v>0</v>
      </c>
      <c r="M131" s="1091">
        <f t="shared" si="11"/>
        <v>0</v>
      </c>
      <c r="N131" s="84"/>
      <c r="O131" s="1048"/>
    </row>
    <row r="132" spans="1:15" s="1044" customFormat="1" ht="41.1" customHeight="1">
      <c r="A132" s="4">
        <v>2</v>
      </c>
      <c r="B132" s="1765" t="s">
        <v>750</v>
      </c>
      <c r="C132" s="1769" t="s">
        <v>749</v>
      </c>
      <c r="D132" s="1743" t="s">
        <v>748</v>
      </c>
      <c r="E132" s="1088" t="s">
        <v>115</v>
      </c>
      <c r="F132" s="1118">
        <f>'[8]D M S'!$M132</f>
        <v>0</v>
      </c>
      <c r="G132" s="1047">
        <f>'[2]D M S'!$M132</f>
        <v>0</v>
      </c>
      <c r="H132" s="1106">
        <f>'[3]D M S'!$M132</f>
        <v>0</v>
      </c>
      <c r="I132" s="1090">
        <f>'[9]D M S'!$M132</f>
        <v>0</v>
      </c>
      <c r="J132" s="1106">
        <f>'[5]D M S'!$M132</f>
        <v>0</v>
      </c>
      <c r="K132" s="1106">
        <f>'[6]D M S'!$M132</f>
        <v>0</v>
      </c>
      <c r="L132" s="1106">
        <f>'[7]D M S'!$M132</f>
        <v>0</v>
      </c>
      <c r="M132" s="1091">
        <f t="shared" si="11"/>
        <v>0</v>
      </c>
      <c r="N132" s="84"/>
      <c r="O132" s="1048"/>
    </row>
    <row r="133" spans="1:15" s="1044" customFormat="1" ht="41.1" customHeight="1">
      <c r="A133" s="4"/>
      <c r="B133" s="1765"/>
      <c r="C133" s="1769"/>
      <c r="D133" s="1743"/>
      <c r="E133" s="1088" t="s">
        <v>116</v>
      </c>
      <c r="F133" s="1118">
        <f>'[8]D M S'!$M133</f>
        <v>0</v>
      </c>
      <c r="G133" s="1047">
        <f>'[2]D M S'!$M133</f>
        <v>0</v>
      </c>
      <c r="H133" s="1047">
        <f>'[2]D M S'!$M133</f>
        <v>0</v>
      </c>
      <c r="I133" s="1090">
        <f>'[9]D M S'!$M133</f>
        <v>0</v>
      </c>
      <c r="J133" s="1047">
        <f>'[2]D M S'!$M133</f>
        <v>0</v>
      </c>
      <c r="K133" s="1047">
        <f>'[2]D M S'!$M133</f>
        <v>0</v>
      </c>
      <c r="L133" s="1047">
        <f>'[2]D M S'!$M133</f>
        <v>0</v>
      </c>
      <c r="M133" s="1091">
        <f t="shared" si="11"/>
        <v>0</v>
      </c>
      <c r="N133" s="84"/>
      <c r="O133" s="1048"/>
    </row>
    <row r="134" spans="1:15" s="1044" customFormat="1" ht="41.1" customHeight="1">
      <c r="A134" s="4"/>
      <c r="B134" s="1765"/>
      <c r="C134" s="1769"/>
      <c r="D134" s="1743"/>
      <c r="E134" s="1088" t="s">
        <v>117</v>
      </c>
      <c r="F134" s="1118">
        <f>'[8]D M S'!$M134</f>
        <v>8</v>
      </c>
      <c r="G134" s="1047">
        <f>'[2]D M S'!$M134</f>
        <v>8</v>
      </c>
      <c r="H134" s="1120">
        <f>'[3]D M S'!$M134</f>
        <v>0</v>
      </c>
      <c r="I134" s="1090">
        <f>'[9]D M S'!$M134</f>
        <v>8</v>
      </c>
      <c r="J134" s="1106">
        <f>'[5]D M S'!$M134</f>
        <v>8</v>
      </c>
      <c r="K134" s="1106">
        <f>'[6]D M S'!$M134</f>
        <v>8</v>
      </c>
      <c r="L134" s="1106">
        <f>'[7]D M S'!$M134</f>
        <v>8</v>
      </c>
      <c r="M134" s="1091">
        <f t="shared" si="11"/>
        <v>48</v>
      </c>
      <c r="N134" s="84"/>
      <c r="O134" s="1048"/>
    </row>
    <row r="135" spans="1:15" s="1044" customFormat="1" ht="41.1" customHeight="1">
      <c r="A135" s="4">
        <v>3</v>
      </c>
      <c r="B135" s="1765" t="s">
        <v>141</v>
      </c>
      <c r="C135" s="1769" t="s">
        <v>781</v>
      </c>
      <c r="D135" s="1743" t="s">
        <v>143</v>
      </c>
      <c r="E135" s="1088" t="s">
        <v>115</v>
      </c>
      <c r="F135" s="1118">
        <f>'[8]D M S'!$M135</f>
        <v>10</v>
      </c>
      <c r="G135" s="1047">
        <f>'[2]D M S'!$M135</f>
        <v>10</v>
      </c>
      <c r="H135" s="1047">
        <f>'[3]D M S'!$M135</f>
        <v>0</v>
      </c>
      <c r="I135" s="1090">
        <f>'[9]D M S'!$M135</f>
        <v>10</v>
      </c>
      <c r="J135" s="1106">
        <f>'[5]D M S'!$M135</f>
        <v>8</v>
      </c>
      <c r="K135" s="1106">
        <f>'[6]D M S'!$M135</f>
        <v>0</v>
      </c>
      <c r="L135" s="1106">
        <f>'[7]D M S'!$M135</f>
        <v>10</v>
      </c>
      <c r="M135" s="1091">
        <f>SUM(F135:L135)</f>
        <v>48</v>
      </c>
      <c r="N135" s="84"/>
      <c r="O135" s="1048"/>
    </row>
    <row r="136" spans="1:15" s="1044" customFormat="1" ht="41.1" customHeight="1">
      <c r="A136" s="4"/>
      <c r="B136" s="1765"/>
      <c r="C136" s="1769"/>
      <c r="D136" s="1743"/>
      <c r="E136" s="1088" t="s">
        <v>116</v>
      </c>
      <c r="F136" s="1118">
        <f>'[8]D M S'!$M136</f>
        <v>0</v>
      </c>
      <c r="G136" s="1047">
        <f>'[2]D M S'!$M136</f>
        <v>0</v>
      </c>
      <c r="H136" s="1106">
        <f>'[3]D M S'!$M136</f>
        <v>0</v>
      </c>
      <c r="I136" s="1090">
        <f>'[9]D M S'!$M136</f>
        <v>0</v>
      </c>
      <c r="J136" s="1106">
        <f>'[5]D M S'!$M136</f>
        <v>0</v>
      </c>
      <c r="K136" s="1106">
        <f>'[6]D M S'!$M136</f>
        <v>10</v>
      </c>
      <c r="L136" s="1106">
        <f>'[7]D M S'!$M136</f>
        <v>0</v>
      </c>
      <c r="M136" s="1091">
        <f>SUM(F136:L136)</f>
        <v>10</v>
      </c>
      <c r="N136" s="84"/>
      <c r="O136" s="1048"/>
    </row>
    <row r="137" spans="1:15" s="1044" customFormat="1" ht="41.1" customHeight="1">
      <c r="A137" s="4"/>
      <c r="B137" s="1765"/>
      <c r="C137" s="1769"/>
      <c r="D137" s="1743"/>
      <c r="E137" s="1088" t="s">
        <v>117</v>
      </c>
      <c r="F137" s="1118">
        <f>'[8]D M S'!$M137</f>
        <v>0</v>
      </c>
      <c r="G137" s="1047">
        <f>'[2]D M S'!$M137</f>
        <v>0</v>
      </c>
      <c r="H137" s="1106">
        <f>'[3]D M S'!$M137</f>
        <v>0</v>
      </c>
      <c r="I137" s="1090">
        <f>'[9]D M S'!$M137</f>
        <v>0</v>
      </c>
      <c r="J137" s="1106">
        <f>'[5]D M S'!$M137</f>
        <v>0</v>
      </c>
      <c r="K137" s="1106">
        <f>'[6]D M S'!$M137</f>
        <v>0</v>
      </c>
      <c r="L137" s="1106">
        <f>'[7]D M S'!$M137</f>
        <v>0</v>
      </c>
      <c r="M137" s="1091">
        <f t="shared" si="11"/>
        <v>0</v>
      </c>
      <c r="N137" s="84"/>
      <c r="O137" s="1048"/>
    </row>
    <row r="138" spans="1:15" s="1044" customFormat="1" ht="20.25" hidden="1">
      <c r="A138" s="4">
        <v>4</v>
      </c>
      <c r="B138" s="1765" t="s">
        <v>141</v>
      </c>
      <c r="C138" s="1769" t="s">
        <v>770</v>
      </c>
      <c r="D138" s="1743" t="s">
        <v>143</v>
      </c>
      <c r="E138" s="1088" t="s">
        <v>115</v>
      </c>
      <c r="F138" s="1118">
        <f>'[1]D M S'!$M138</f>
        <v>0</v>
      </c>
      <c r="G138" s="1047">
        <f>'[2]D M S'!$M138</f>
        <v>0</v>
      </c>
      <c r="H138" s="1106">
        <f>'[3]D M S'!$M138</f>
        <v>0</v>
      </c>
      <c r="I138" s="1090">
        <f>'[9]D M S'!$M138</f>
        <v>0</v>
      </c>
      <c r="J138" s="1106">
        <f>'[5]D M S'!$M138</f>
        <v>0</v>
      </c>
      <c r="K138" s="1106">
        <f>'[6]D M S'!$M138</f>
        <v>0</v>
      </c>
      <c r="L138" s="1106">
        <f>'[7]D M S'!$M138</f>
        <v>0</v>
      </c>
      <c r="M138" s="1091">
        <f t="shared" si="11"/>
        <v>0</v>
      </c>
      <c r="N138" s="84"/>
      <c r="O138" s="1048"/>
    </row>
    <row r="139" spans="1:15" s="1044" customFormat="1" ht="20.25" hidden="1">
      <c r="A139" s="4"/>
      <c r="B139" s="1765"/>
      <c r="C139" s="1769"/>
      <c r="D139" s="1743"/>
      <c r="E139" s="1088" t="s">
        <v>116</v>
      </c>
      <c r="F139" s="1118">
        <f>'[1]D M S'!$M139</f>
        <v>0</v>
      </c>
      <c r="G139" s="1047">
        <f>'[2]D M S'!$M139</f>
        <v>0</v>
      </c>
      <c r="H139" s="1106">
        <f>'[3]D M S'!$M139</f>
        <v>0</v>
      </c>
      <c r="I139" s="1090">
        <f>'[9]D M S'!$M139</f>
        <v>0</v>
      </c>
      <c r="J139" s="1106">
        <f>'[5]D M S'!$M139</f>
        <v>0</v>
      </c>
      <c r="K139" s="1106">
        <f>'[6]D M S'!$M139</f>
        <v>0</v>
      </c>
      <c r="L139" s="1106">
        <f>'[7]D M S'!$M139</f>
        <v>0</v>
      </c>
      <c r="M139" s="1091">
        <f t="shared" si="11"/>
        <v>0</v>
      </c>
      <c r="N139" s="84"/>
      <c r="O139" s="1048"/>
    </row>
    <row r="140" spans="1:15" s="1044" customFormat="1" ht="20.25" hidden="1">
      <c r="A140" s="4"/>
      <c r="B140" s="1765"/>
      <c r="C140" s="1769"/>
      <c r="D140" s="1743"/>
      <c r="E140" s="1088" t="s">
        <v>117</v>
      </c>
      <c r="F140" s="1118">
        <f>'[1]D M S'!$M140</f>
        <v>0</v>
      </c>
      <c r="G140" s="1047">
        <f>'[2]D M S'!$M140</f>
        <v>0</v>
      </c>
      <c r="H140" s="1106">
        <f>'[3]D M S'!$M140</f>
        <v>0</v>
      </c>
      <c r="I140" s="1090">
        <f>'[9]D M S'!$M140</f>
        <v>0</v>
      </c>
      <c r="J140" s="1106">
        <f>'[5]D M S'!$M140</f>
        <v>0</v>
      </c>
      <c r="K140" s="1106">
        <f>'[6]D M S'!$M140</f>
        <v>0</v>
      </c>
      <c r="L140" s="1106">
        <f>'[7]D M S'!$M140</f>
        <v>0</v>
      </c>
      <c r="M140" s="1091">
        <f t="shared" si="11"/>
        <v>0</v>
      </c>
      <c r="N140" s="84"/>
      <c r="O140" s="1048"/>
    </row>
    <row r="141" spans="1:15" ht="41.1" customHeight="1">
      <c r="A141" s="1805">
        <v>1</v>
      </c>
      <c r="B141" s="1732" t="s">
        <v>126</v>
      </c>
      <c r="C141" s="1735">
        <v>10233</v>
      </c>
      <c r="D141" s="1806" t="s">
        <v>719</v>
      </c>
      <c r="E141" s="1088" t="s">
        <v>115</v>
      </c>
      <c r="F141" s="1118">
        <f>'[8]D M S'!$M141</f>
        <v>10</v>
      </c>
      <c r="G141" s="1047">
        <f>'[2]D M S'!$M141</f>
        <v>10.17</v>
      </c>
      <c r="H141" s="1047">
        <f>'[3]D M S'!$M141</f>
        <v>0</v>
      </c>
      <c r="I141" s="1090">
        <f>'[9]D M S'!$M141</f>
        <v>10</v>
      </c>
      <c r="J141" s="1106">
        <f>'[5]D M S'!$M141</f>
        <v>5.4</v>
      </c>
      <c r="K141" s="1106">
        <f>'[6]D M S'!$M141</f>
        <v>0</v>
      </c>
      <c r="L141" s="1106">
        <f>'[7]D M S'!$M141</f>
        <v>9.92</v>
      </c>
      <c r="M141" s="1091">
        <f t="shared" si="11"/>
        <v>45.49</v>
      </c>
      <c r="N141" s="84"/>
      <c r="O141" s="1048"/>
    </row>
    <row r="142" spans="1:15" ht="41.1" customHeight="1">
      <c r="A142" s="1805">
        <v>7.3</v>
      </c>
      <c r="B142" s="1732"/>
      <c r="C142" s="1735"/>
      <c r="D142" s="1806"/>
      <c r="E142" s="1088" t="s">
        <v>116</v>
      </c>
      <c r="F142" s="1118">
        <f>'[8]D M S'!$M142</f>
        <v>0</v>
      </c>
      <c r="G142" s="1047">
        <f>'[2]D M S'!$M142</f>
        <v>0.17</v>
      </c>
      <c r="H142" s="1047">
        <f>'[3]D M S'!$M142</f>
        <v>0</v>
      </c>
      <c r="I142" s="1090">
        <f>'[9]D M S'!$M142</f>
        <v>0</v>
      </c>
      <c r="J142" s="1106">
        <f>'[5]D M S'!$M142</f>
        <v>0</v>
      </c>
      <c r="K142" s="1106">
        <f>'[6]D M S'!$M142</f>
        <v>0</v>
      </c>
      <c r="L142" s="1106">
        <f>'[7]D M S'!$M142</f>
        <v>0.1</v>
      </c>
      <c r="M142" s="1091">
        <f t="shared" si="11"/>
        <v>0.27</v>
      </c>
      <c r="N142" s="84"/>
      <c r="O142" s="1048"/>
    </row>
    <row r="143" spans="1:15" ht="41.1" customHeight="1">
      <c r="A143" s="1805">
        <v>7.3333333333333304</v>
      </c>
      <c r="B143" s="1732"/>
      <c r="C143" s="1735"/>
      <c r="D143" s="1806"/>
      <c r="E143" s="1088" t="s">
        <v>117</v>
      </c>
      <c r="F143" s="1118">
        <f>'[8]D M S'!$M143</f>
        <v>0</v>
      </c>
      <c r="G143" s="1047">
        <f>'[2]D M S'!$M143</f>
        <v>0</v>
      </c>
      <c r="H143" s="1090">
        <f>'[3]D M S'!$M143</f>
        <v>0</v>
      </c>
      <c r="I143" s="1090">
        <f>'[9]D M S'!$M143</f>
        <v>0</v>
      </c>
      <c r="J143" s="1106">
        <f>'[5]D M S'!$M143</f>
        <v>0</v>
      </c>
      <c r="K143" s="1106">
        <f>'[6]D M S'!$M143</f>
        <v>0</v>
      </c>
      <c r="L143" s="1106">
        <f>'[7]D M S'!$M143</f>
        <v>0</v>
      </c>
      <c r="M143" s="1091">
        <f t="shared" si="11"/>
        <v>0</v>
      </c>
      <c r="N143" s="84"/>
      <c r="O143" s="1048"/>
    </row>
    <row r="144" spans="1:15" ht="41.1" customHeight="1">
      <c r="A144" s="1805">
        <v>2</v>
      </c>
      <c r="B144" s="1807" t="s">
        <v>142</v>
      </c>
      <c r="C144" s="1808" t="s">
        <v>705</v>
      </c>
      <c r="D144" s="1809" t="s">
        <v>143</v>
      </c>
      <c r="E144" s="1088" t="s">
        <v>115</v>
      </c>
      <c r="F144" s="1118">
        <f>'[8]D M S'!$M144</f>
        <v>8.67</v>
      </c>
      <c r="G144" s="1047">
        <f>'[2]D M S'!$M144</f>
        <v>11.83</v>
      </c>
      <c r="H144" s="1047">
        <f>'[3]D M S'!$M144</f>
        <v>0</v>
      </c>
      <c r="I144" s="1090">
        <f>'[9]D M S'!$M144</f>
        <v>9.8699999999999992</v>
      </c>
      <c r="J144" s="1106">
        <f>'[5]D M S'!$M144</f>
        <v>5.8</v>
      </c>
      <c r="K144" s="1106">
        <f>'[6]D M S'!$M144</f>
        <v>6</v>
      </c>
      <c r="L144" s="1106">
        <f>'[7]D M S'!$M144</f>
        <v>9.83</v>
      </c>
      <c r="M144" s="1091">
        <f t="shared" si="11"/>
        <v>51.999999999999993</v>
      </c>
      <c r="N144" s="84"/>
      <c r="O144" s="1048"/>
    </row>
    <row r="145" spans="1:15" ht="41.1" customHeight="1">
      <c r="A145" s="1805">
        <v>7.4</v>
      </c>
      <c r="B145" s="1807"/>
      <c r="C145" s="1808"/>
      <c r="D145" s="1809"/>
      <c r="E145" s="1088" t="s">
        <v>116</v>
      </c>
      <c r="F145" s="1118">
        <f>'[8]D M S'!$M145</f>
        <v>0.47</v>
      </c>
      <c r="G145" s="1047">
        <f>'[2]D M S'!$M145</f>
        <v>0.56999999999999995</v>
      </c>
      <c r="H145" s="1047">
        <f>'[3]D M S'!$M145</f>
        <v>0</v>
      </c>
      <c r="I145" s="1090">
        <f>'[9]D M S'!$M145</f>
        <v>0.3</v>
      </c>
      <c r="J145" s="1106">
        <f>'[5]D M S'!$M145</f>
        <v>0</v>
      </c>
      <c r="K145" s="1106">
        <f>'[6]D M S'!$M145</f>
        <v>0</v>
      </c>
      <c r="L145" s="1106">
        <f>'[7]D M S'!$M145</f>
        <v>0</v>
      </c>
      <c r="M145" s="1091">
        <f t="shared" si="11"/>
        <v>1.34</v>
      </c>
      <c r="N145" s="84"/>
      <c r="O145" s="1048"/>
    </row>
    <row r="146" spans="1:15" ht="41.1" customHeight="1">
      <c r="A146" s="1805">
        <v>7.43333333333333</v>
      </c>
      <c r="B146" s="1807"/>
      <c r="C146" s="1808"/>
      <c r="D146" s="1809"/>
      <c r="E146" s="1088" t="s">
        <v>117</v>
      </c>
      <c r="F146" s="1118">
        <f>'[8]D M S'!$M146</f>
        <v>0</v>
      </c>
      <c r="G146" s="1047">
        <f>'[2]D M S'!$M146</f>
        <v>0</v>
      </c>
      <c r="H146" s="1090">
        <f>'[3]D M S'!$M146</f>
        <v>0</v>
      </c>
      <c r="I146" s="1090">
        <f>'[9]D M S'!$M146</f>
        <v>0</v>
      </c>
      <c r="J146" s="1106">
        <f>'[5]D M S'!$M146</f>
        <v>0</v>
      </c>
      <c r="K146" s="1106">
        <f>'[6]D M S'!$M146</f>
        <v>0</v>
      </c>
      <c r="L146" s="1106">
        <f>'[7]D M S'!$M146</f>
        <v>0</v>
      </c>
      <c r="M146" s="1091">
        <f t="shared" si="11"/>
        <v>0</v>
      </c>
      <c r="N146" s="84"/>
      <c r="O146" s="1048"/>
    </row>
    <row r="147" spans="1:15" ht="41.1" customHeight="1">
      <c r="A147" s="1805">
        <v>3</v>
      </c>
      <c r="B147" s="1807" t="s">
        <v>706</v>
      </c>
      <c r="C147" s="1808" t="s">
        <v>707</v>
      </c>
      <c r="D147" s="1809" t="s">
        <v>143</v>
      </c>
      <c r="E147" s="1088" t="s">
        <v>115</v>
      </c>
      <c r="F147" s="1118">
        <f>'[8]D M S'!$M147</f>
        <v>9.27</v>
      </c>
      <c r="G147" s="1047">
        <f>'[2]D M S'!$M147</f>
        <v>10.07</v>
      </c>
      <c r="H147" s="1090">
        <f>'[3]D M S'!$M147</f>
        <v>0</v>
      </c>
      <c r="I147" s="1090">
        <f>'[9]D M S'!$M147</f>
        <v>9.6199999999999992</v>
      </c>
      <c r="J147" s="1106">
        <f>'[5]D M S'!$M147</f>
        <v>5.33</v>
      </c>
      <c r="K147" s="1106">
        <f>'[6]D M S'!$M147</f>
        <v>0</v>
      </c>
      <c r="L147" s="1106">
        <f>'[7]D M S'!$M147</f>
        <v>10</v>
      </c>
      <c r="M147" s="1091">
        <f t="shared" si="11"/>
        <v>44.29</v>
      </c>
      <c r="N147" s="84"/>
      <c r="O147" s="1048"/>
    </row>
    <row r="148" spans="1:15" ht="41.1" customHeight="1">
      <c r="A148" s="1805"/>
      <c r="B148" s="1807"/>
      <c r="C148" s="1808"/>
      <c r="D148" s="1809"/>
      <c r="E148" s="1088" t="s">
        <v>116</v>
      </c>
      <c r="F148" s="1118">
        <f>'[8]D M S'!$M148</f>
        <v>0</v>
      </c>
      <c r="G148" s="1047">
        <f>'[2]D M S'!$M148</f>
        <v>0</v>
      </c>
      <c r="H148" s="1090">
        <f>'[3]D M S'!$M148</f>
        <v>0</v>
      </c>
      <c r="I148" s="1090">
        <f>'[9]D M S'!$M148</f>
        <v>0.72</v>
      </c>
      <c r="J148" s="1106">
        <f>'[5]D M S'!$M148</f>
        <v>0</v>
      </c>
      <c r="K148" s="1106">
        <f>'[6]D M S'!$M148</f>
        <v>0</v>
      </c>
      <c r="L148" s="1106">
        <f>'[7]D M S'!$M148</f>
        <v>0</v>
      </c>
      <c r="M148" s="1091">
        <f t="shared" si="11"/>
        <v>0.72</v>
      </c>
      <c r="N148" s="84"/>
      <c r="O148" s="1048"/>
    </row>
    <row r="149" spans="1:15" ht="41.1" customHeight="1">
      <c r="A149" s="1805"/>
      <c r="B149" s="1807"/>
      <c r="C149" s="1808"/>
      <c r="D149" s="1809"/>
      <c r="E149" s="1088" t="s">
        <v>117</v>
      </c>
      <c r="F149" s="1118">
        <f>'[8]D M S'!$M149</f>
        <v>0</v>
      </c>
      <c r="G149" s="1047">
        <f>'[2]D M S'!$M149</f>
        <v>0</v>
      </c>
      <c r="H149" s="1090">
        <f>'[3]D M S'!$M149</f>
        <v>0</v>
      </c>
      <c r="I149" s="1090">
        <f>'[9]D M S'!$M149</f>
        <v>0</v>
      </c>
      <c r="J149" s="1106">
        <f>'[5]D M S'!$M149</f>
        <v>0</v>
      </c>
      <c r="K149" s="1106">
        <f>'[6]D M S'!$M149</f>
        <v>0</v>
      </c>
      <c r="L149" s="1106">
        <f>'[7]D M S'!$M149</f>
        <v>0</v>
      </c>
      <c r="M149" s="1091">
        <f t="shared" si="11"/>
        <v>0</v>
      </c>
      <c r="N149" s="84"/>
      <c r="O149" s="1048"/>
    </row>
    <row r="150" spans="1:15" ht="30" customHeight="1">
      <c r="A150" s="1805"/>
      <c r="B150" s="1732" t="s">
        <v>142</v>
      </c>
      <c r="C150" s="1735" t="s">
        <v>714</v>
      </c>
      <c r="D150" s="1809" t="s">
        <v>143</v>
      </c>
      <c r="E150" s="1088" t="s">
        <v>115</v>
      </c>
      <c r="F150" s="1118">
        <f>'[8]D M S'!$M150</f>
        <v>0</v>
      </c>
      <c r="G150" s="1047">
        <f>'[2]D M S'!$M150</f>
        <v>0</v>
      </c>
      <c r="H150" s="1090">
        <f>'[3]D M S'!$M150</f>
        <v>0</v>
      </c>
      <c r="I150" s="1090">
        <f>'[9]D M S'!$M150</f>
        <v>0</v>
      </c>
      <c r="J150" s="1106">
        <f>'[5]D M S'!$M150</f>
        <v>0</v>
      </c>
      <c r="K150" s="1106">
        <f>'[6]D M S'!$M150</f>
        <v>0</v>
      </c>
      <c r="L150" s="1106">
        <f>'[7]D M S'!$M150</f>
        <v>0</v>
      </c>
      <c r="M150" s="1091">
        <f t="shared" si="11"/>
        <v>0</v>
      </c>
      <c r="N150" s="84"/>
      <c r="O150" s="1048"/>
    </row>
    <row r="151" spans="1:15" ht="30" customHeight="1">
      <c r="A151" s="1805"/>
      <c r="B151" s="1732"/>
      <c r="C151" s="1735"/>
      <c r="D151" s="1809"/>
      <c r="E151" s="1088" t="s">
        <v>116</v>
      </c>
      <c r="F151" s="1118">
        <f>'[8]D M S'!$M151</f>
        <v>0</v>
      </c>
      <c r="G151" s="1047">
        <f>'[2]D M S'!$M151</f>
        <v>0</v>
      </c>
      <c r="H151" s="1090">
        <f>'[3]D M S'!$M151</f>
        <v>0</v>
      </c>
      <c r="I151" s="1090">
        <f>'[9]D M S'!$M151</f>
        <v>0</v>
      </c>
      <c r="J151" s="1106">
        <f>'[5]D M S'!$M151</f>
        <v>0</v>
      </c>
      <c r="K151" s="1106">
        <f>'[6]D M S'!$M151</f>
        <v>0</v>
      </c>
      <c r="L151" s="1106">
        <f>'[7]D M S'!$M151</f>
        <v>0</v>
      </c>
      <c r="M151" s="1091">
        <f t="shared" si="11"/>
        <v>0</v>
      </c>
      <c r="N151" s="84"/>
      <c r="O151" s="1048"/>
    </row>
    <row r="152" spans="1:15" ht="30" customHeight="1">
      <c r="A152" s="1805"/>
      <c r="B152" s="1732"/>
      <c r="C152" s="1735"/>
      <c r="D152" s="1809"/>
      <c r="E152" s="1088" t="s">
        <v>117</v>
      </c>
      <c r="F152" s="1118">
        <f>'[8]D M S'!$M152</f>
        <v>0</v>
      </c>
      <c r="G152" s="1047">
        <f>'[2]D M S'!$M152</f>
        <v>0</v>
      </c>
      <c r="H152" s="1090">
        <f>'[3]D M S'!$M152</f>
        <v>0</v>
      </c>
      <c r="I152" s="1090">
        <f>'[9]D M S'!$M152</f>
        <v>0</v>
      </c>
      <c r="J152" s="1106">
        <f>'[5]D M S'!$M152</f>
        <v>0</v>
      </c>
      <c r="K152" s="1106">
        <f>'[6]D M S'!$M152</f>
        <v>0</v>
      </c>
      <c r="L152" s="1106">
        <f>'[7]D M S'!$M152</f>
        <v>0</v>
      </c>
      <c r="M152" s="1091">
        <f t="shared" si="11"/>
        <v>0</v>
      </c>
      <c r="N152" s="84"/>
      <c r="O152" s="1048"/>
    </row>
    <row r="153" spans="1:15" ht="30" customHeight="1">
      <c r="A153" s="1805"/>
      <c r="B153" s="1732" t="s">
        <v>142</v>
      </c>
      <c r="C153" s="1735" t="s">
        <v>744</v>
      </c>
      <c r="D153" s="1809" t="s">
        <v>143</v>
      </c>
      <c r="E153" s="1088" t="s">
        <v>115</v>
      </c>
      <c r="F153" s="1118">
        <f>'[8]D M S'!$M153</f>
        <v>8.77</v>
      </c>
      <c r="G153" s="1047">
        <f>'[2]D M S'!$M153</f>
        <v>11.43</v>
      </c>
      <c r="H153" s="1090">
        <f>'[3]D M S'!$M153</f>
        <v>0</v>
      </c>
      <c r="I153" s="1090">
        <f>'[9]D M S'!$M153</f>
        <v>9.75</v>
      </c>
      <c r="J153" s="1106">
        <f>'[5]D M S'!$M153</f>
        <v>5.83</v>
      </c>
      <c r="K153" s="1106">
        <f>'[6]D M S'!$M153</f>
        <v>0</v>
      </c>
      <c r="L153" s="1106">
        <f>'[7]D M S'!$M153</f>
        <v>8.89</v>
      </c>
      <c r="M153" s="1091">
        <f t="shared" ref="M153:M155" si="12">SUM(F153:L153)</f>
        <v>44.67</v>
      </c>
      <c r="N153" s="84"/>
      <c r="O153" s="1048"/>
    </row>
    <row r="154" spans="1:15" ht="30" customHeight="1">
      <c r="A154" s="1805"/>
      <c r="B154" s="1732"/>
      <c r="C154" s="1735"/>
      <c r="D154" s="1809"/>
      <c r="E154" s="1088" t="s">
        <v>116</v>
      </c>
      <c r="F154" s="1118">
        <f>'[8]D M S'!$M154</f>
        <v>0.47</v>
      </c>
      <c r="G154" s="1047">
        <f>'[2]D M S'!$M154</f>
        <v>1.2</v>
      </c>
      <c r="H154" s="1090">
        <f>'[3]D M S'!$M154</f>
        <v>0</v>
      </c>
      <c r="I154" s="1090">
        <f>'[9]D M S'!$M154</f>
        <v>0.5</v>
      </c>
      <c r="J154" s="1106">
        <f>'[5]D M S'!$M154</f>
        <v>0</v>
      </c>
      <c r="K154" s="1106">
        <f>'[6]D M S'!$M154</f>
        <v>0</v>
      </c>
      <c r="L154" s="1106">
        <f>'[7]D M S'!$M154</f>
        <v>0.96</v>
      </c>
      <c r="M154" s="1091">
        <f t="shared" si="12"/>
        <v>3.13</v>
      </c>
      <c r="N154" s="84"/>
      <c r="O154" s="1048"/>
    </row>
    <row r="155" spans="1:15" ht="30" customHeight="1">
      <c r="A155" s="1805"/>
      <c r="B155" s="1732"/>
      <c r="C155" s="1735"/>
      <c r="D155" s="1809"/>
      <c r="E155" s="1088" t="s">
        <v>117</v>
      </c>
      <c r="F155" s="1118">
        <f>'[8]D M S'!$M155</f>
        <v>0</v>
      </c>
      <c r="G155" s="1047">
        <f>'[2]D M S'!$M155</f>
        <v>0</v>
      </c>
      <c r="H155" s="1090">
        <f>'[3]D M S'!$M155</f>
        <v>0</v>
      </c>
      <c r="I155" s="1090">
        <f>'[9]D M S'!$M155</f>
        <v>0</v>
      </c>
      <c r="J155" s="1106">
        <f>'[5]D M S'!$M155</f>
        <v>0</v>
      </c>
      <c r="K155" s="1106">
        <f>'[6]D M S'!$M155</f>
        <v>0</v>
      </c>
      <c r="L155" s="1106">
        <f>'[7]D M S'!$M155</f>
        <v>0</v>
      </c>
      <c r="M155" s="1091">
        <f t="shared" si="12"/>
        <v>0</v>
      </c>
      <c r="N155" s="84"/>
      <c r="O155" s="1048"/>
    </row>
    <row r="156" spans="1:15" ht="30" customHeight="1">
      <c r="A156" s="4"/>
      <c r="B156" s="1732" t="s">
        <v>142</v>
      </c>
      <c r="C156" s="1735" t="s">
        <v>761</v>
      </c>
      <c r="D156" s="1738" t="s">
        <v>143</v>
      </c>
      <c r="E156" s="1336" t="s">
        <v>115</v>
      </c>
      <c r="F156" s="1118">
        <f>'[8]D M S'!$M156</f>
        <v>0</v>
      </c>
      <c r="G156" s="1047">
        <f>'[2]D M S'!$M156</f>
        <v>0</v>
      </c>
      <c r="H156" s="1090">
        <f>'[3]D M S'!$M156</f>
        <v>0</v>
      </c>
      <c r="I156" s="1090">
        <f>'[9]D M S'!$M156</f>
        <v>0</v>
      </c>
      <c r="J156" s="1106">
        <f>'[5]D M S'!$M156</f>
        <v>0</v>
      </c>
      <c r="K156" s="1106">
        <f>'[6]D M S'!$M156</f>
        <v>0</v>
      </c>
      <c r="L156" s="1106">
        <f>'[7]D M S'!$M156</f>
        <v>0</v>
      </c>
      <c r="M156" s="1091">
        <f t="shared" ref="M156:M158" si="13">SUM(F156:L156)</f>
        <v>0</v>
      </c>
      <c r="N156" s="84"/>
      <c r="O156" s="1048"/>
    </row>
    <row r="157" spans="1:15" ht="30" customHeight="1">
      <c r="A157" s="1730"/>
      <c r="B157" s="1733"/>
      <c r="C157" s="1736"/>
      <c r="D157" s="1739"/>
      <c r="E157" s="1336" t="s">
        <v>116</v>
      </c>
      <c r="F157" s="1118">
        <f>'[8]D M S'!$M157</f>
        <v>0</v>
      </c>
      <c r="G157" s="1047">
        <f>'[2]D M S'!$M157</f>
        <v>0</v>
      </c>
      <c r="H157" s="1090">
        <f>'[3]D M S'!$M157</f>
        <v>0</v>
      </c>
      <c r="I157" s="1090">
        <f>'[9]D M S'!$M157</f>
        <v>0</v>
      </c>
      <c r="J157" s="1106">
        <f>'[5]D M S'!$M157</f>
        <v>0</v>
      </c>
      <c r="K157" s="1106">
        <f>'[6]D M S'!$M157</f>
        <v>0</v>
      </c>
      <c r="L157" s="1106">
        <f>'[7]D M S'!$M157</f>
        <v>0</v>
      </c>
      <c r="M157" s="1091">
        <f>SUM(F157:L157)</f>
        <v>0</v>
      </c>
      <c r="N157" s="84"/>
      <c r="O157" s="1048"/>
    </row>
    <row r="158" spans="1:15" ht="30" customHeight="1">
      <c r="A158" s="1731"/>
      <c r="B158" s="1734"/>
      <c r="C158" s="1737"/>
      <c r="D158" s="1740"/>
      <c r="E158" s="1336" t="s">
        <v>117</v>
      </c>
      <c r="F158" s="1118">
        <f>'[8]D M S'!$M158</f>
        <v>0</v>
      </c>
      <c r="G158" s="1047">
        <f>'[2]D M S'!$M158</f>
        <v>0</v>
      </c>
      <c r="H158" s="1090">
        <f>'[3]D M S'!$M158</f>
        <v>0</v>
      </c>
      <c r="I158" s="1090">
        <f>'[9]D M S'!$M158</f>
        <v>0</v>
      </c>
      <c r="J158" s="1106">
        <f>'[5]D M S'!$M158</f>
        <v>0</v>
      </c>
      <c r="K158" s="1106">
        <f>'[6]D M S'!$M158</f>
        <v>0</v>
      </c>
      <c r="L158" s="1106">
        <f>'[7]D M S'!$M158</f>
        <v>0</v>
      </c>
      <c r="M158" s="1091">
        <f t="shared" si="13"/>
        <v>0</v>
      </c>
      <c r="N158" s="84"/>
      <c r="O158" s="1048"/>
    </row>
    <row r="159" spans="1:15" ht="30" customHeight="1">
      <c r="A159" s="4"/>
      <c r="B159" s="1732" t="s">
        <v>142</v>
      </c>
      <c r="C159" s="1735" t="s">
        <v>773</v>
      </c>
      <c r="D159" s="1738" t="s">
        <v>143</v>
      </c>
      <c r="E159" s="1365" t="s">
        <v>115</v>
      </c>
      <c r="F159" s="1118">
        <f>'[8]D M S'!$M159</f>
        <v>8.8000000000000007</v>
      </c>
      <c r="G159" s="1047">
        <f>'[2]D M S'!$M159</f>
        <v>9.83</v>
      </c>
      <c r="H159" s="1090">
        <f>'[3]D M S'!$M159</f>
        <v>0</v>
      </c>
      <c r="I159" s="1090">
        <f>'[9]D M S'!$M159</f>
        <v>12.55</v>
      </c>
      <c r="J159" s="1106">
        <f>'[5]D M S'!$M159</f>
        <v>5.25</v>
      </c>
      <c r="K159" s="1106">
        <f>'[6]D M S'!$M159</f>
        <v>0</v>
      </c>
      <c r="L159" s="1106">
        <f>'[7]D M S'!$M159</f>
        <v>8.48</v>
      </c>
      <c r="M159" s="1091">
        <f t="shared" ref="M159:M164" si="14">SUM(F159:L159)</f>
        <v>44.910000000000011</v>
      </c>
      <c r="N159" s="84"/>
      <c r="O159" s="1048"/>
    </row>
    <row r="160" spans="1:15" ht="30" customHeight="1">
      <c r="A160" s="1730"/>
      <c r="B160" s="1733"/>
      <c r="C160" s="1736"/>
      <c r="D160" s="1739"/>
      <c r="E160" s="1365" t="s">
        <v>116</v>
      </c>
      <c r="F160" s="1118">
        <f>'[8]D M S'!$M160</f>
        <v>1.02</v>
      </c>
      <c r="G160" s="1047">
        <f>'[2]D M S'!$M160</f>
        <v>0</v>
      </c>
      <c r="H160" s="1090">
        <f>'[3]D M S'!$M160</f>
        <v>0</v>
      </c>
      <c r="I160" s="1090">
        <f>'[9]D M S'!$M160</f>
        <v>0</v>
      </c>
      <c r="J160" s="1106">
        <f>'[5]D M S'!$M160</f>
        <v>0</v>
      </c>
      <c r="K160" s="1106">
        <f>'[6]D M S'!$M160</f>
        <v>0</v>
      </c>
      <c r="L160" s="1106">
        <f>'[7]D M S'!$M160</f>
        <v>1.37</v>
      </c>
      <c r="M160" s="1091">
        <f t="shared" si="14"/>
        <v>2.39</v>
      </c>
      <c r="N160" s="84"/>
      <c r="O160" s="1048"/>
    </row>
    <row r="161" spans="1:15" ht="30" customHeight="1">
      <c r="A161" s="1731"/>
      <c r="B161" s="1734"/>
      <c r="C161" s="1737"/>
      <c r="D161" s="1740"/>
      <c r="E161" s="1365" t="s">
        <v>117</v>
      </c>
      <c r="F161" s="1118">
        <f>'[8]D M S'!$M161</f>
        <v>0</v>
      </c>
      <c r="G161" s="1047">
        <f>'[2]D M S'!$M161</f>
        <v>0</v>
      </c>
      <c r="H161" s="1090">
        <f>'[3]D M S'!$M161</f>
        <v>0</v>
      </c>
      <c r="I161" s="1090">
        <f>'[9]D M S'!$M161</f>
        <v>0</v>
      </c>
      <c r="J161" s="1106">
        <f>'[5]D M S'!$M161</f>
        <v>0</v>
      </c>
      <c r="K161" s="1106">
        <f>'[6]D M S'!$M161</f>
        <v>0</v>
      </c>
      <c r="L161" s="1106">
        <f>'[7]D M S'!$M161</f>
        <v>0</v>
      </c>
      <c r="M161" s="1091">
        <f t="shared" si="14"/>
        <v>0</v>
      </c>
      <c r="N161" s="84"/>
      <c r="O161" s="1048"/>
    </row>
    <row r="162" spans="1:15" ht="30" customHeight="1">
      <c r="A162" s="4"/>
      <c r="B162" s="1732" t="s">
        <v>142</v>
      </c>
      <c r="C162" s="1735" t="s">
        <v>774</v>
      </c>
      <c r="D162" s="1738" t="s">
        <v>143</v>
      </c>
      <c r="E162" s="1365" t="s">
        <v>115</v>
      </c>
      <c r="F162" s="1118">
        <f>'[8]D M S'!$M162</f>
        <v>8.5500000000000007</v>
      </c>
      <c r="G162" s="1047">
        <f>'[2]D M S'!$M162</f>
        <v>12.13</v>
      </c>
      <c r="H162" s="1090">
        <f>'[3]D M S'!$M162</f>
        <v>0</v>
      </c>
      <c r="I162" s="1090">
        <f>'[9]D M S'!$M162</f>
        <v>12.12</v>
      </c>
      <c r="J162" s="1106">
        <f>'[5]D M S'!$M162</f>
        <v>5.13</v>
      </c>
      <c r="K162" s="1106">
        <f>'[6]D M S'!$M162</f>
        <v>6</v>
      </c>
      <c r="L162" s="1106">
        <f>'[7]D M S'!$M162</f>
        <v>10</v>
      </c>
      <c r="M162" s="1091">
        <f t="shared" si="14"/>
        <v>53.93</v>
      </c>
      <c r="N162" s="84"/>
      <c r="O162" s="1048"/>
    </row>
    <row r="163" spans="1:15" ht="30" customHeight="1">
      <c r="A163" s="1730"/>
      <c r="B163" s="1733"/>
      <c r="C163" s="1736"/>
      <c r="D163" s="1739"/>
      <c r="E163" s="1365" t="s">
        <v>116</v>
      </c>
      <c r="F163" s="1118">
        <f>'[8]D M S'!$M163</f>
        <v>0.78</v>
      </c>
      <c r="G163" s="1047">
        <f>'[2]D M S'!$M163</f>
        <v>0</v>
      </c>
      <c r="H163" s="1090">
        <f>'[3]D M S'!$M163</f>
        <v>0</v>
      </c>
      <c r="I163" s="1090">
        <f>'[9]D M S'!$M163</f>
        <v>0</v>
      </c>
      <c r="J163" s="1106">
        <f>'[5]D M S'!$M163</f>
        <v>0</v>
      </c>
      <c r="K163" s="1106">
        <f>'[6]D M S'!$M163</f>
        <v>0</v>
      </c>
      <c r="L163" s="1106">
        <f>'[7]D M S'!$M163</f>
        <v>0</v>
      </c>
      <c r="M163" s="1091">
        <f t="shared" si="14"/>
        <v>0.78</v>
      </c>
      <c r="N163" s="84"/>
      <c r="O163" s="1048"/>
    </row>
    <row r="164" spans="1:15" ht="30" customHeight="1">
      <c r="A164" s="1731"/>
      <c r="B164" s="1734"/>
      <c r="C164" s="1737"/>
      <c r="D164" s="1740"/>
      <c r="E164" s="1365" t="s">
        <v>117</v>
      </c>
      <c r="F164" s="1118">
        <f>'[8]D M S'!$M164</f>
        <v>0</v>
      </c>
      <c r="G164" s="1047">
        <f>'[2]D M S'!$M164</f>
        <v>0</v>
      </c>
      <c r="H164" s="1090">
        <f>'[3]D M S'!$M164</f>
        <v>0</v>
      </c>
      <c r="I164" s="1090">
        <f>'[9]D M S'!$M164</f>
        <v>0</v>
      </c>
      <c r="J164" s="1106">
        <f>'[5]D M S'!$M164</f>
        <v>0</v>
      </c>
      <c r="K164" s="1106">
        <f>'[6]D M S'!$M164</f>
        <v>0</v>
      </c>
      <c r="L164" s="1106">
        <f>'[7]D M S'!$M164</f>
        <v>0</v>
      </c>
      <c r="M164" s="1091">
        <f t="shared" si="14"/>
        <v>0</v>
      </c>
      <c r="N164" s="84"/>
      <c r="O164" s="1048"/>
    </row>
    <row r="165" spans="1:15" ht="41.1" hidden="1" customHeight="1">
      <c r="A165" s="1805">
        <v>4</v>
      </c>
      <c r="B165" s="1810" t="s">
        <v>114</v>
      </c>
      <c r="C165" s="1812" t="s">
        <v>696</v>
      </c>
      <c r="D165" s="1732" t="s">
        <v>616</v>
      </c>
      <c r="E165" s="1088" t="s">
        <v>115</v>
      </c>
      <c r="F165" s="1118">
        <f>'[8]D M S'!$M165</f>
        <v>0</v>
      </c>
      <c r="G165" s="1047">
        <f>'[2]D M S'!$M165</f>
        <v>0</v>
      </c>
      <c r="H165" s="1090">
        <f>'[3]D M S'!$M165</f>
        <v>0</v>
      </c>
      <c r="I165" s="1090">
        <f>'[9]D M S'!$M165</f>
        <v>0</v>
      </c>
      <c r="J165" s="1106">
        <f>'[5]D M S'!$M165</f>
        <v>0</v>
      </c>
      <c r="K165" s="1106">
        <f>'[6]D M S'!$M165</f>
        <v>0</v>
      </c>
      <c r="L165" s="1106">
        <f>'[7]D M S'!$M165</f>
        <v>0</v>
      </c>
      <c r="M165" s="1091">
        <f t="shared" si="11"/>
        <v>0</v>
      </c>
      <c r="N165" s="84"/>
      <c r="O165" s="1048"/>
    </row>
    <row r="166" spans="1:15" ht="41.1" hidden="1" customHeight="1">
      <c r="A166" s="1805"/>
      <c r="B166" s="1810"/>
      <c r="C166" s="1812"/>
      <c r="D166" s="1732"/>
      <c r="E166" s="1088" t="s">
        <v>116</v>
      </c>
      <c r="F166" s="1118">
        <f>'[8]D M S'!$M166</f>
        <v>0</v>
      </c>
      <c r="G166" s="1047">
        <f>'[2]D M S'!$M166</f>
        <v>0</v>
      </c>
      <c r="H166" s="1090">
        <f>'[3]D M S'!$M166</f>
        <v>0</v>
      </c>
      <c r="I166" s="1090">
        <f>'[9]D M S'!$M166</f>
        <v>0</v>
      </c>
      <c r="J166" s="1106">
        <f>'[5]D M S'!$M166</f>
        <v>0</v>
      </c>
      <c r="K166" s="1106">
        <f>'[6]D M S'!$M166</f>
        <v>0</v>
      </c>
      <c r="L166" s="1106">
        <f>'[7]D M S'!$M166</f>
        <v>0</v>
      </c>
      <c r="M166" s="1091">
        <f t="shared" si="11"/>
        <v>0</v>
      </c>
      <c r="N166" s="84"/>
      <c r="O166" s="1048"/>
    </row>
    <row r="167" spans="1:15" ht="41.1" hidden="1" customHeight="1">
      <c r="A167" s="1805"/>
      <c r="B167" s="1811"/>
      <c r="C167" s="1812"/>
      <c r="D167" s="1813"/>
      <c r="E167" s="1088" t="s">
        <v>117</v>
      </c>
      <c r="F167" s="1118">
        <f>'[8]D M S'!$M167</f>
        <v>0</v>
      </c>
      <c r="G167" s="1047">
        <f>'[2]D M S'!$M167</f>
        <v>0</v>
      </c>
      <c r="H167" s="1090">
        <f>'[3]D M S'!$M167</f>
        <v>0</v>
      </c>
      <c r="I167" s="1090">
        <f>'[9]D M S'!$M167</f>
        <v>0</v>
      </c>
      <c r="J167" s="1106">
        <f>'[5]D M S'!$M167</f>
        <v>0</v>
      </c>
      <c r="K167" s="1106">
        <f>'[6]D M S'!$M167</f>
        <v>0</v>
      </c>
      <c r="L167" s="1106">
        <f>'[7]D M S'!$M167</f>
        <v>0</v>
      </c>
      <c r="M167" s="1091">
        <f t="shared" si="11"/>
        <v>0</v>
      </c>
      <c r="N167" s="84"/>
      <c r="O167" s="1048"/>
    </row>
    <row r="168" spans="1:15" ht="33.75" customHeight="1">
      <c r="A168" s="1805"/>
      <c r="B168" s="1732" t="s">
        <v>790</v>
      </c>
      <c r="C168" s="1735">
        <v>3613</v>
      </c>
      <c r="D168" s="1806" t="s">
        <v>791</v>
      </c>
      <c r="E168" s="1088" t="s">
        <v>115</v>
      </c>
      <c r="F168" s="1118">
        <f>'[8]D M S'!$M168</f>
        <v>8</v>
      </c>
      <c r="G168" s="1047">
        <f>'[2]D M S'!$M168</f>
        <v>10</v>
      </c>
      <c r="H168" s="1090">
        <f>'[3]D M S'!$M168</f>
        <v>0</v>
      </c>
      <c r="I168" s="1090">
        <f>'[9]D M S'!$M168</f>
        <v>10</v>
      </c>
      <c r="J168" s="1106">
        <f>'[5]D M S'!$M168</f>
        <v>10</v>
      </c>
      <c r="K168" s="1106">
        <f>'[6]D M S'!$M168</f>
        <v>9</v>
      </c>
      <c r="L168" s="1106">
        <f>'[7]D M S'!$M168</f>
        <v>8</v>
      </c>
      <c r="M168" s="1091">
        <f t="shared" si="11"/>
        <v>55</v>
      </c>
      <c r="N168" s="84"/>
      <c r="O168" s="1048"/>
    </row>
    <row r="169" spans="1:15" ht="33.75" customHeight="1">
      <c r="A169" s="1805"/>
      <c r="B169" s="1732"/>
      <c r="C169" s="1735"/>
      <c r="D169" s="1806"/>
      <c r="E169" s="1088" t="s">
        <v>116</v>
      </c>
      <c r="F169" s="1118">
        <f>'[8]D M S'!$M169</f>
        <v>0</v>
      </c>
      <c r="G169" s="1047">
        <f>'[2]D M S'!$M169</f>
        <v>0</v>
      </c>
      <c r="H169" s="1090">
        <f>'[3]D M S'!$M169</f>
        <v>0</v>
      </c>
      <c r="I169" s="1090">
        <f>'[9]D M S'!$M169</f>
        <v>0</v>
      </c>
      <c r="J169" s="1106">
        <f>'[5]D M S'!$M169</f>
        <v>0</v>
      </c>
      <c r="K169" s="1106">
        <f>'[6]D M S'!$M169</f>
        <v>0</v>
      </c>
      <c r="L169" s="1106">
        <f>'[7]D M S'!$M169</f>
        <v>0</v>
      </c>
      <c r="M169" s="1091">
        <f t="shared" si="11"/>
        <v>0</v>
      </c>
      <c r="N169" s="84"/>
      <c r="O169" s="1048"/>
    </row>
    <row r="170" spans="1:15" ht="33.75" customHeight="1">
      <c r="A170" s="1805"/>
      <c r="B170" s="1732"/>
      <c r="C170" s="1735"/>
      <c r="D170" s="1806"/>
      <c r="E170" s="1088" t="s">
        <v>117</v>
      </c>
      <c r="F170" s="1118">
        <f>'[8]D M S'!$M170</f>
        <v>0</v>
      </c>
      <c r="G170" s="1047">
        <f>'[2]D M S'!$M170</f>
        <v>0</v>
      </c>
      <c r="H170" s="1090">
        <f>'[3]D M S'!$M170</f>
        <v>0</v>
      </c>
      <c r="I170" s="1090">
        <f>'[9]D M S'!$M170</f>
        <v>0</v>
      </c>
      <c r="J170" s="1106">
        <f>'[5]D M S'!$M170</f>
        <v>0</v>
      </c>
      <c r="K170" s="1106">
        <f>'[6]D M S'!$M170</f>
        <v>0</v>
      </c>
      <c r="L170" s="1106">
        <f>'[7]D M S'!$M170</f>
        <v>0</v>
      </c>
      <c r="M170" s="1091">
        <f t="shared" si="11"/>
        <v>0</v>
      </c>
      <c r="N170" s="84"/>
      <c r="O170" s="1048"/>
    </row>
    <row r="171" spans="1:15" ht="12.75" hidden="1" customHeight="1">
      <c r="A171" s="1805"/>
      <c r="B171" s="1732" t="s">
        <v>142</v>
      </c>
      <c r="C171" s="1735" t="s">
        <v>144</v>
      </c>
      <c r="D171" s="1806" t="s">
        <v>145</v>
      </c>
      <c r="E171" s="1088" t="s">
        <v>115</v>
      </c>
      <c r="F171" s="1118">
        <f>'[8]D M S'!$M171</f>
        <v>0</v>
      </c>
      <c r="G171" s="1047">
        <f>'[2]D M S'!$M171</f>
        <v>0</v>
      </c>
      <c r="H171" s="1090">
        <f>'[3]D M S'!$M171</f>
        <v>0</v>
      </c>
      <c r="I171" s="1090">
        <f>'[9]D M S'!$M171</f>
        <v>0</v>
      </c>
      <c r="J171" s="1106">
        <f>'[5]D M S'!$M171</f>
        <v>0</v>
      </c>
      <c r="K171" s="1106">
        <f>'[6]D M S'!$M171</f>
        <v>0</v>
      </c>
      <c r="L171" s="1106">
        <f>'[7]D M S'!$M171</f>
        <v>0</v>
      </c>
      <c r="M171" s="1091">
        <f t="shared" si="11"/>
        <v>0</v>
      </c>
      <c r="N171" s="84"/>
      <c r="O171" s="1048"/>
    </row>
    <row r="172" spans="1:15" ht="12.75" hidden="1" customHeight="1">
      <c r="A172" s="1805"/>
      <c r="B172" s="1732"/>
      <c r="C172" s="1735"/>
      <c r="D172" s="1806"/>
      <c r="E172" s="1088" t="s">
        <v>116</v>
      </c>
      <c r="F172" s="1118">
        <f>'[8]D M S'!$M172</f>
        <v>0</v>
      </c>
      <c r="G172" s="1047">
        <f>'[2]D M S'!$M172</f>
        <v>0</v>
      </c>
      <c r="H172" s="1090">
        <f>'[3]D M S'!$M172</f>
        <v>0</v>
      </c>
      <c r="I172" s="1090">
        <f>'[9]D M S'!$M172</f>
        <v>0</v>
      </c>
      <c r="J172" s="1106">
        <f>'[5]D M S'!$M172</f>
        <v>0</v>
      </c>
      <c r="K172" s="1106">
        <f>'[6]D M S'!$M172</f>
        <v>0</v>
      </c>
      <c r="L172" s="1106">
        <f>'[7]D M S'!$M172</f>
        <v>0</v>
      </c>
      <c r="M172" s="1091">
        <f t="shared" si="11"/>
        <v>0</v>
      </c>
      <c r="N172" s="84"/>
      <c r="O172" s="1048"/>
    </row>
    <row r="173" spans="1:15" ht="12.75" hidden="1" customHeight="1">
      <c r="A173" s="1805"/>
      <c r="B173" s="1732"/>
      <c r="C173" s="1735"/>
      <c r="D173" s="1806"/>
      <c r="E173" s="1088" t="s">
        <v>117</v>
      </c>
      <c r="F173" s="1118">
        <f>'[8]D M S'!$M173</f>
        <v>0</v>
      </c>
      <c r="G173" s="1047">
        <f>'[2]D M S'!$M173</f>
        <v>0</v>
      </c>
      <c r="H173" s="1090">
        <f>'[3]D M S'!$M173</f>
        <v>0</v>
      </c>
      <c r="I173" s="1090">
        <f>'[9]D M S'!$M173</f>
        <v>0</v>
      </c>
      <c r="J173" s="1106">
        <f>'[5]D M S'!$M173</f>
        <v>0</v>
      </c>
      <c r="K173" s="1106">
        <f>'[6]D M S'!$M173</f>
        <v>0</v>
      </c>
      <c r="L173" s="1106">
        <f>'[7]D M S'!$M173</f>
        <v>0</v>
      </c>
      <c r="M173" s="1091">
        <f t="shared" si="11"/>
        <v>0</v>
      </c>
      <c r="N173" s="84"/>
      <c r="O173" s="1048"/>
    </row>
    <row r="174" spans="1:15" ht="41.1" customHeight="1">
      <c r="A174" s="1805">
        <v>5</v>
      </c>
      <c r="B174" s="1732" t="s">
        <v>120</v>
      </c>
      <c r="C174" s="1735">
        <v>1152</v>
      </c>
      <c r="D174" s="1806" t="s">
        <v>704</v>
      </c>
      <c r="E174" s="1088" t="s">
        <v>115</v>
      </c>
      <c r="F174" s="1118">
        <f>'[8]D M S'!$M174</f>
        <v>6</v>
      </c>
      <c r="G174" s="1047">
        <f>'[2]D M S'!$M174</f>
        <v>10.67</v>
      </c>
      <c r="H174" s="1090">
        <f>'[3]D M S'!$M174</f>
        <v>0</v>
      </c>
      <c r="I174" s="1090">
        <f>'[9]D M S'!$M174</f>
        <v>10</v>
      </c>
      <c r="J174" s="1106">
        <f>'[5]D M S'!$M174</f>
        <v>6.5</v>
      </c>
      <c r="K174" s="1106">
        <f>'[6]D M S'!$M174</f>
        <v>0</v>
      </c>
      <c r="L174" s="1106">
        <f>'[7]D M S'!$M174</f>
        <v>9.17</v>
      </c>
      <c r="M174" s="1091">
        <f t="shared" si="11"/>
        <v>42.34</v>
      </c>
      <c r="N174" s="84"/>
      <c r="O174" s="1048"/>
    </row>
    <row r="175" spans="1:15" ht="41.1" customHeight="1">
      <c r="A175" s="1805"/>
      <c r="B175" s="1732"/>
      <c r="C175" s="1735"/>
      <c r="D175" s="1806"/>
      <c r="E175" s="1088" t="s">
        <v>116</v>
      </c>
      <c r="F175" s="1118">
        <f>'[8]D M S'!$M175</f>
        <v>2</v>
      </c>
      <c r="G175" s="1047">
        <f>'[2]D M S'!$M175</f>
        <v>0</v>
      </c>
      <c r="H175" s="1090">
        <f>'[3]D M S'!$M175</f>
        <v>0</v>
      </c>
      <c r="I175" s="1090">
        <f>'[9]D M S'!$M175</f>
        <v>0</v>
      </c>
      <c r="J175" s="1106">
        <f>'[5]D M S'!$M175</f>
        <v>0</v>
      </c>
      <c r="K175" s="1106">
        <f>'[6]D M S'!$M175</f>
        <v>0</v>
      </c>
      <c r="L175" s="1106">
        <f>'[7]D M S'!$M175</f>
        <v>0</v>
      </c>
      <c r="M175" s="1091">
        <f t="shared" si="11"/>
        <v>2</v>
      </c>
      <c r="N175" s="84"/>
      <c r="O175" s="1048"/>
    </row>
    <row r="176" spans="1:15" ht="41.1" customHeight="1">
      <c r="A176" s="1805"/>
      <c r="B176" s="1732"/>
      <c r="C176" s="1735"/>
      <c r="D176" s="1806"/>
      <c r="E176" s="1088" t="s">
        <v>117</v>
      </c>
      <c r="F176" s="1118">
        <f>'[8]D M S'!$M176</f>
        <v>0</v>
      </c>
      <c r="G176" s="1047">
        <f>'[2]D M S'!$M176</f>
        <v>0</v>
      </c>
      <c r="H176" s="1090">
        <f>'[3]D M S'!$M176</f>
        <v>0</v>
      </c>
      <c r="I176" s="1090">
        <f>'[9]D M S'!$M176</f>
        <v>0</v>
      </c>
      <c r="J176" s="1106">
        <f>'[5]D M S'!$M176</f>
        <v>0</v>
      </c>
      <c r="K176" s="1106">
        <f>'[6]D M S'!$M176</f>
        <v>0</v>
      </c>
      <c r="L176" s="1106">
        <f>'[7]D M S'!$M176</f>
        <v>0</v>
      </c>
      <c r="M176" s="1091">
        <f t="shared" si="11"/>
        <v>0</v>
      </c>
      <c r="N176" s="84"/>
      <c r="O176" s="1048"/>
    </row>
    <row r="177" spans="1:15" ht="29.25" customHeight="1">
      <c r="A177" s="4">
        <v>20</v>
      </c>
      <c r="B177" s="1769" t="s">
        <v>141</v>
      </c>
      <c r="C177" s="1735">
        <v>65860</v>
      </c>
      <c r="D177" s="1809" t="s">
        <v>143</v>
      </c>
      <c r="E177" s="1088" t="s">
        <v>115</v>
      </c>
      <c r="F177" s="1118">
        <f>'[8]D M S'!$M177</f>
        <v>10</v>
      </c>
      <c r="G177" s="1047">
        <f>'[2]D M S'!$M177</f>
        <v>10</v>
      </c>
      <c r="H177" s="1090">
        <f>'[3]D M S'!$M177</f>
        <v>0</v>
      </c>
      <c r="I177" s="1090">
        <f>'[9]D M S'!$M177</f>
        <v>10</v>
      </c>
      <c r="J177" s="1106">
        <f>'[5]D M S'!$M177</f>
        <v>10</v>
      </c>
      <c r="K177" s="1106">
        <f>'[6]D M S'!$M177</f>
        <v>0</v>
      </c>
      <c r="L177" s="1106">
        <f>'[7]D M S'!$M177</f>
        <v>10</v>
      </c>
      <c r="M177" s="1091">
        <f t="shared" si="11"/>
        <v>50</v>
      </c>
      <c r="N177" s="84"/>
      <c r="O177" s="1048"/>
    </row>
    <row r="178" spans="1:15" ht="29.25" customHeight="1">
      <c r="A178" s="4"/>
      <c r="B178" s="1769"/>
      <c r="C178" s="1735"/>
      <c r="D178" s="1809"/>
      <c r="E178" s="1088" t="s">
        <v>116</v>
      </c>
      <c r="F178" s="1118">
        <f>'[1]D M S'!$M178</f>
        <v>0</v>
      </c>
      <c r="G178" s="1047">
        <f>'[2]D M S'!$M178</f>
        <v>0</v>
      </c>
      <c r="H178" s="1090">
        <f>'[3]D M S'!$M178</f>
        <v>0</v>
      </c>
      <c r="I178" s="1090">
        <f>'[9]D M S'!$M178</f>
        <v>0</v>
      </c>
      <c r="J178" s="1106">
        <f>'[5]D M S'!$M178</f>
        <v>0</v>
      </c>
      <c r="K178" s="1106">
        <f>'[6]D M S'!$M178</f>
        <v>0</v>
      </c>
      <c r="L178" s="1106">
        <f>'[7]D M S'!$M178</f>
        <v>0</v>
      </c>
      <c r="M178" s="1091">
        <f t="shared" si="11"/>
        <v>0</v>
      </c>
      <c r="N178" s="84"/>
      <c r="O178" s="1048"/>
    </row>
    <row r="179" spans="1:15" ht="29.25" customHeight="1">
      <c r="A179" s="4"/>
      <c r="B179" s="1769"/>
      <c r="C179" s="1735"/>
      <c r="D179" s="1809"/>
      <c r="E179" s="1088" t="s">
        <v>117</v>
      </c>
      <c r="F179" s="1118">
        <f>'[1]D M S'!$M179</f>
        <v>0</v>
      </c>
      <c r="G179" s="1047">
        <f>'[2]D M S'!$M179</f>
        <v>0</v>
      </c>
      <c r="H179" s="1090">
        <f>'[3]D M S'!$M179</f>
        <v>0</v>
      </c>
      <c r="I179" s="1090">
        <f>'[9]D M S'!$M179</f>
        <v>0</v>
      </c>
      <c r="J179" s="1106">
        <f>'[5]D M S'!$M179</f>
        <v>0</v>
      </c>
      <c r="K179" s="1106">
        <f>'[6]D M S'!$M179</f>
        <v>0</v>
      </c>
      <c r="L179" s="1106">
        <f>'[7]D M S'!$M179</f>
        <v>0</v>
      </c>
      <c r="M179" s="1091">
        <f t="shared" si="11"/>
        <v>0</v>
      </c>
      <c r="N179" s="84"/>
      <c r="O179" s="1048"/>
    </row>
    <row r="180" spans="1:15" ht="29.25" customHeight="1">
      <c r="A180" s="4">
        <v>21</v>
      </c>
      <c r="B180" s="1769" t="s">
        <v>141</v>
      </c>
      <c r="C180" s="1735">
        <v>65861</v>
      </c>
      <c r="D180" s="1809" t="s">
        <v>143</v>
      </c>
      <c r="E180" s="1088" t="s">
        <v>115</v>
      </c>
      <c r="F180" s="1118">
        <f>'[8]D M S'!$M180</f>
        <v>10</v>
      </c>
      <c r="G180" s="1047">
        <f>'[2]D M S'!$M180</f>
        <v>10</v>
      </c>
      <c r="H180" s="1090">
        <f>'[3]D M S'!$M180</f>
        <v>0</v>
      </c>
      <c r="I180" s="1090">
        <f>'[9]D M S'!$M180</f>
        <v>10</v>
      </c>
      <c r="J180" s="1106">
        <f>'[5]D M S'!$M180</f>
        <v>10</v>
      </c>
      <c r="K180" s="1106">
        <f>'[6]D M S'!$M180</f>
        <v>0</v>
      </c>
      <c r="L180" s="1106">
        <f>'[7]D M S'!$M180</f>
        <v>10</v>
      </c>
      <c r="M180" s="1091">
        <f t="shared" si="11"/>
        <v>50</v>
      </c>
      <c r="N180" s="84"/>
      <c r="O180" s="1048"/>
    </row>
    <row r="181" spans="1:15" ht="29.25" customHeight="1">
      <c r="A181" s="4"/>
      <c r="B181" s="1769"/>
      <c r="C181" s="1735"/>
      <c r="D181" s="1809"/>
      <c r="E181" s="1088" t="s">
        <v>116</v>
      </c>
      <c r="F181" s="1118">
        <f>'[1]D M S'!$M181</f>
        <v>0</v>
      </c>
      <c r="G181" s="1047">
        <f>'[2]D M S'!$M181</f>
        <v>0</v>
      </c>
      <c r="H181" s="1090">
        <f>'[3]D M S'!$M181</f>
        <v>0</v>
      </c>
      <c r="I181" s="1090">
        <f>'[9]D M S'!$M181</f>
        <v>0</v>
      </c>
      <c r="J181" s="1106">
        <f>'[5]D M S'!$M181</f>
        <v>0</v>
      </c>
      <c r="K181" s="1106">
        <f>'[6]D M S'!$M181</f>
        <v>0</v>
      </c>
      <c r="L181" s="1106">
        <f>'[7]D M S'!$M181</f>
        <v>0</v>
      </c>
      <c r="M181" s="1091">
        <f t="shared" si="11"/>
        <v>0</v>
      </c>
      <c r="N181" s="84"/>
      <c r="O181" s="1048"/>
    </row>
    <row r="182" spans="1:15" ht="29.25" customHeight="1">
      <c r="A182" s="4"/>
      <c r="B182" s="1769"/>
      <c r="C182" s="1735"/>
      <c r="D182" s="1809"/>
      <c r="E182" s="1088" t="s">
        <v>117</v>
      </c>
      <c r="F182" s="1118">
        <f>'[1]D M S'!$M182</f>
        <v>0</v>
      </c>
      <c r="G182" s="1047">
        <f>'[2]D M S'!$M182</f>
        <v>0</v>
      </c>
      <c r="H182" s="1090">
        <f>'[3]D M S'!$M182</f>
        <v>0</v>
      </c>
      <c r="I182" s="1090">
        <f>'[9]D M S'!$M182</f>
        <v>0</v>
      </c>
      <c r="J182" s="1106">
        <f>'[5]D M S'!$M182</f>
        <v>0</v>
      </c>
      <c r="K182" s="1106">
        <f>'[6]D M S'!$M182</f>
        <v>0</v>
      </c>
      <c r="L182" s="1106">
        <f>'[7]D M S'!$M182</f>
        <v>0</v>
      </c>
      <c r="M182" s="1091">
        <f t="shared" si="11"/>
        <v>0</v>
      </c>
      <c r="N182" s="84"/>
      <c r="O182" s="1048"/>
    </row>
    <row r="183" spans="1:15" ht="29.25" customHeight="1">
      <c r="A183" s="4">
        <v>22</v>
      </c>
      <c r="B183" s="1769" t="s">
        <v>141</v>
      </c>
      <c r="C183" s="1735">
        <v>65862</v>
      </c>
      <c r="D183" s="1809" t="s">
        <v>143</v>
      </c>
      <c r="E183" s="1088" t="s">
        <v>115</v>
      </c>
      <c r="F183" s="1118">
        <f>'[1]D M S'!$M183</f>
        <v>0</v>
      </c>
      <c r="G183" s="1047">
        <f>'[2]D M S'!$M183</f>
        <v>0</v>
      </c>
      <c r="H183" s="1090">
        <f>'[3]D M S'!$M183</f>
        <v>0</v>
      </c>
      <c r="I183" s="1090">
        <f>'[9]D M S'!$M183</f>
        <v>0</v>
      </c>
      <c r="J183" s="1106">
        <f>'[5]D M S'!$M183</f>
        <v>0</v>
      </c>
      <c r="K183" s="1106">
        <f>'[6]D M S'!$M183</f>
        <v>0</v>
      </c>
      <c r="L183" s="1106">
        <f>'[7]D M S'!$M183</f>
        <v>0</v>
      </c>
      <c r="M183" s="1091">
        <f t="shared" si="11"/>
        <v>0</v>
      </c>
      <c r="N183" s="84"/>
      <c r="O183" s="1048"/>
    </row>
    <row r="184" spans="1:15" ht="29.25" customHeight="1">
      <c r="A184" s="4"/>
      <c r="B184" s="1769"/>
      <c r="C184" s="1735"/>
      <c r="D184" s="1809"/>
      <c r="E184" s="1088" t="s">
        <v>116</v>
      </c>
      <c r="F184" s="1118">
        <f>'[1]D M S'!$M184</f>
        <v>0</v>
      </c>
      <c r="G184" s="1047">
        <f>'[2]D M S'!$M184</f>
        <v>0</v>
      </c>
      <c r="H184" s="1090">
        <f>'[3]D M S'!$M184</f>
        <v>0</v>
      </c>
      <c r="I184" s="1090">
        <f>'[9]D M S'!$M184</f>
        <v>0</v>
      </c>
      <c r="J184" s="1106">
        <f>'[5]D M S'!$M184</f>
        <v>0</v>
      </c>
      <c r="K184" s="1106">
        <f>'[6]D M S'!$M184</f>
        <v>0</v>
      </c>
      <c r="L184" s="1106">
        <f>'[7]D M S'!$M184</f>
        <v>0</v>
      </c>
      <c r="M184" s="1091">
        <f t="shared" si="11"/>
        <v>0</v>
      </c>
      <c r="N184" s="84"/>
      <c r="O184" s="1048"/>
    </row>
    <row r="185" spans="1:15" ht="29.25" customHeight="1">
      <c r="A185" s="4"/>
      <c r="B185" s="1769"/>
      <c r="C185" s="1735"/>
      <c r="D185" s="1809"/>
      <c r="E185" s="1088" t="s">
        <v>117</v>
      </c>
      <c r="F185" s="1118">
        <f>'[1]D M S'!$M185</f>
        <v>0</v>
      </c>
      <c r="G185" s="1047">
        <f>'[2]D M S'!$M185</f>
        <v>0</v>
      </c>
      <c r="H185" s="1090">
        <f>'[3]D M S'!$M185</f>
        <v>0</v>
      </c>
      <c r="I185" s="1090">
        <f>'[9]D M S'!$M185</f>
        <v>0</v>
      </c>
      <c r="J185" s="1106">
        <f>'[5]D M S'!$M185</f>
        <v>0</v>
      </c>
      <c r="K185" s="1106">
        <f>'[6]D M S'!$M185</f>
        <v>0</v>
      </c>
      <c r="L185" s="1106">
        <f>'[7]D M S'!$M185</f>
        <v>0</v>
      </c>
      <c r="M185" s="1091">
        <f t="shared" si="11"/>
        <v>0</v>
      </c>
      <c r="N185" s="84"/>
      <c r="O185" s="1048"/>
    </row>
    <row r="186" spans="1:15" ht="29.25" customHeight="1">
      <c r="A186" s="4">
        <v>23</v>
      </c>
      <c r="B186" s="1769" t="s">
        <v>141</v>
      </c>
      <c r="C186" s="1735">
        <v>65863</v>
      </c>
      <c r="D186" s="1809" t="s">
        <v>143</v>
      </c>
      <c r="E186" s="1088" t="s">
        <v>115</v>
      </c>
      <c r="F186" s="1118">
        <f>'[8]D M S'!$M186</f>
        <v>10</v>
      </c>
      <c r="G186" s="1047">
        <f>'[2]D M S'!$M186</f>
        <v>10</v>
      </c>
      <c r="H186" s="1090">
        <f>'[3]D M S'!$M186</f>
        <v>0</v>
      </c>
      <c r="I186" s="1090">
        <f>'[9]D M S'!$M186</f>
        <v>10</v>
      </c>
      <c r="J186" s="1106">
        <f>'[5]D M S'!$M186</f>
        <v>10</v>
      </c>
      <c r="K186" s="1106">
        <f>'[6]D M S'!$M186</f>
        <v>0</v>
      </c>
      <c r="L186" s="1106">
        <f>'[7]D M S'!$M186</f>
        <v>10</v>
      </c>
      <c r="M186" s="1091">
        <f t="shared" si="11"/>
        <v>50</v>
      </c>
      <c r="N186" s="84"/>
      <c r="O186" s="1048"/>
    </row>
    <row r="187" spans="1:15" ht="29.25" customHeight="1">
      <c r="A187" s="4"/>
      <c r="B187" s="1769"/>
      <c r="C187" s="1735"/>
      <c r="D187" s="1809"/>
      <c r="E187" s="1088" t="s">
        <v>116</v>
      </c>
      <c r="F187" s="1118">
        <f>'[1]D M S'!$M187</f>
        <v>0</v>
      </c>
      <c r="G187" s="1047">
        <f>'[2]D M S'!$M187</f>
        <v>0</v>
      </c>
      <c r="H187" s="1090">
        <f>'[3]D M S'!$M187</f>
        <v>0</v>
      </c>
      <c r="I187" s="1090">
        <f>'[9]D M S'!$M187</f>
        <v>0</v>
      </c>
      <c r="J187" s="1106">
        <f>'[5]D M S'!$M187</f>
        <v>0</v>
      </c>
      <c r="K187" s="1106">
        <f>'[6]D M S'!$M187</f>
        <v>0</v>
      </c>
      <c r="L187" s="1106">
        <f>'[7]D M S'!$M187</f>
        <v>0</v>
      </c>
      <c r="M187" s="1091">
        <f t="shared" si="11"/>
        <v>0</v>
      </c>
      <c r="N187" s="84"/>
      <c r="O187" s="1048"/>
    </row>
    <row r="188" spans="1:15" ht="29.25" customHeight="1">
      <c r="A188" s="4"/>
      <c r="B188" s="1769"/>
      <c r="C188" s="1735"/>
      <c r="D188" s="1809"/>
      <c r="E188" s="1088" t="s">
        <v>117</v>
      </c>
      <c r="F188" s="1118">
        <f>'[1]D M S'!$M188</f>
        <v>0</v>
      </c>
      <c r="G188" s="1047">
        <f>'[2]D M S'!$M188</f>
        <v>0</v>
      </c>
      <c r="H188" s="1090">
        <f>'[3]D M S'!$M188</f>
        <v>0</v>
      </c>
      <c r="I188" s="1090">
        <f>'[9]D M S'!$M188</f>
        <v>0</v>
      </c>
      <c r="J188" s="1106">
        <f>'[5]D M S'!$M188</f>
        <v>0</v>
      </c>
      <c r="K188" s="1106">
        <f>'[6]D M S'!$M188</f>
        <v>0</v>
      </c>
      <c r="L188" s="1106">
        <f>'[7]D M S'!$M188</f>
        <v>0</v>
      </c>
      <c r="M188" s="1091">
        <f t="shared" si="11"/>
        <v>0</v>
      </c>
      <c r="N188" s="84"/>
      <c r="O188" s="1048"/>
    </row>
    <row r="189" spans="1:15" s="1046" customFormat="1" ht="41.1" customHeight="1">
      <c r="A189" s="1748" t="s">
        <v>659</v>
      </c>
      <c r="B189" s="1748"/>
      <c r="C189" s="1748"/>
      <c r="D189" s="1748"/>
      <c r="E189" s="1748"/>
      <c r="F189" s="1118"/>
      <c r="G189" s="1047">
        <f>'[2]D M S'!$M189</f>
        <v>0</v>
      </c>
      <c r="H189" s="1090">
        <f>'[3]D M S'!$M189</f>
        <v>0</v>
      </c>
      <c r="I189" s="1106">
        <f>'[4]D M S'!$M189</f>
        <v>0</v>
      </c>
      <c r="J189" s="1106">
        <f>'[5]D M S'!$M189</f>
        <v>0</v>
      </c>
      <c r="K189" s="1106">
        <f>'[6]D M S'!$M189</f>
        <v>0</v>
      </c>
      <c r="L189" s="1106">
        <f>'[7]D M S'!$M189</f>
        <v>0</v>
      </c>
      <c r="M189" s="1091">
        <f t="shared" si="11"/>
        <v>0</v>
      </c>
      <c r="N189" s="84"/>
      <c r="O189" s="1048"/>
    </row>
    <row r="190" spans="1:15" s="1044" customFormat="1" ht="41.1" customHeight="1">
      <c r="A190" s="4">
        <v>1</v>
      </c>
      <c r="B190" s="1745" t="s">
        <v>639</v>
      </c>
      <c r="C190" s="1769" t="s">
        <v>640</v>
      </c>
      <c r="D190" s="1769" t="s">
        <v>641</v>
      </c>
      <c r="E190" s="1088" t="s">
        <v>115</v>
      </c>
      <c r="F190" s="1118">
        <f>'[8]D M S'!$M190</f>
        <v>8</v>
      </c>
      <c r="G190" s="1047">
        <f>'[2]D M S'!$M190</f>
        <v>8</v>
      </c>
      <c r="H190" s="1090">
        <f>'[3]D M S'!$M190</f>
        <v>0</v>
      </c>
      <c r="I190" s="1090">
        <f>'[9]D M S'!$M190</f>
        <v>8</v>
      </c>
      <c r="J190" s="1106">
        <f>'[5]D M S'!$M190</f>
        <v>8</v>
      </c>
      <c r="K190" s="1106">
        <f>'[6]D M S'!$M190</f>
        <v>0</v>
      </c>
      <c r="L190" s="1106">
        <f>'[7]D M S'!$M190</f>
        <v>8</v>
      </c>
      <c r="M190" s="1091">
        <f t="shared" si="11"/>
        <v>40</v>
      </c>
      <c r="N190" s="84"/>
      <c r="O190" s="1048"/>
    </row>
    <row r="191" spans="1:15" s="1044" customFormat="1" ht="41.1" customHeight="1">
      <c r="A191" s="1815"/>
      <c r="B191" s="1746"/>
      <c r="C191" s="1760"/>
      <c r="D191" s="1760"/>
      <c r="E191" s="1088" t="s">
        <v>116</v>
      </c>
      <c r="F191" s="1118">
        <f>'[1]D M S'!$M191</f>
        <v>0</v>
      </c>
      <c r="G191" s="1047">
        <f>'[2]D M S'!$M191</f>
        <v>0</v>
      </c>
      <c r="H191" s="1090">
        <f>'[3]D M S'!$M191</f>
        <v>0</v>
      </c>
      <c r="I191" s="1090">
        <f>'[9]D M S'!$M191</f>
        <v>0</v>
      </c>
      <c r="J191" s="1106">
        <f>'[5]D M S'!$M191</f>
        <v>0</v>
      </c>
      <c r="K191" s="1106">
        <f>'[6]D M S'!$M191</f>
        <v>8</v>
      </c>
      <c r="L191" s="1106">
        <f>'[7]D M S'!$M191</f>
        <v>0</v>
      </c>
      <c r="M191" s="1091">
        <f t="shared" si="11"/>
        <v>8</v>
      </c>
      <c r="N191" s="84"/>
      <c r="O191" s="1048"/>
    </row>
    <row r="192" spans="1:15" s="1044" customFormat="1" ht="41.1" customHeight="1" thickBot="1">
      <c r="A192" s="1866"/>
      <c r="B192" s="1865"/>
      <c r="C192" s="1867"/>
      <c r="D192" s="1867"/>
      <c r="E192" s="1088" t="s">
        <v>117</v>
      </c>
      <c r="F192" s="1118">
        <f>'[1]D M S'!$M192</f>
        <v>0</v>
      </c>
      <c r="G192" s="1047">
        <f>'[2]D M S'!$M192</f>
        <v>0</v>
      </c>
      <c r="H192" s="1090">
        <f>'[3]D M S'!$M192</f>
        <v>0</v>
      </c>
      <c r="I192" s="1090">
        <f>'[9]D M S'!$M192</f>
        <v>0</v>
      </c>
      <c r="J192" s="1106">
        <f>'[5]D M S'!$M192</f>
        <v>0</v>
      </c>
      <c r="K192" s="1106">
        <f>'[6]D M S'!$M192</f>
        <v>0</v>
      </c>
      <c r="L192" s="1106">
        <f>'[7]D M S'!$M192</f>
        <v>0</v>
      </c>
      <c r="M192" s="1091">
        <f t="shared" si="11"/>
        <v>0</v>
      </c>
      <c r="N192" s="84"/>
      <c r="O192" s="1048"/>
    </row>
    <row r="193" spans="1:15" s="1044" customFormat="1" ht="41.1" customHeight="1" thickTop="1">
      <c r="A193" s="1754">
        <v>1</v>
      </c>
      <c r="B193" s="1757" t="s">
        <v>642</v>
      </c>
      <c r="C193" s="1758" t="s">
        <v>712</v>
      </c>
      <c r="D193" s="1759" t="s">
        <v>643</v>
      </c>
      <c r="E193" s="1088" t="s">
        <v>115</v>
      </c>
      <c r="F193" s="1118">
        <f>'[8]D M S'!$M193</f>
        <v>6</v>
      </c>
      <c r="G193" s="1047">
        <f>'[2]D M S'!$M193</f>
        <v>6</v>
      </c>
      <c r="H193" s="1090">
        <f>'[3]D M S'!$M193</f>
        <v>0</v>
      </c>
      <c r="I193" s="1090">
        <f>'[9]D M S'!$M193</f>
        <v>8</v>
      </c>
      <c r="J193" s="1106">
        <f>'[5]D M S'!$M193</f>
        <v>8</v>
      </c>
      <c r="K193" s="1106">
        <f>'[6]D M S'!$M193</f>
        <v>0</v>
      </c>
      <c r="L193" s="1106">
        <f>'[7]D M S'!$M193</f>
        <v>6</v>
      </c>
      <c r="M193" s="1091">
        <f t="shared" ref="M193:M195" si="15">SUM(F193:L193)</f>
        <v>34</v>
      </c>
      <c r="N193" s="84"/>
      <c r="O193" s="1048"/>
    </row>
    <row r="194" spans="1:15" s="1044" customFormat="1" ht="41.1" customHeight="1">
      <c r="A194" s="1755"/>
      <c r="B194" s="1733"/>
      <c r="C194" s="1736"/>
      <c r="D194" s="1760"/>
      <c r="E194" s="1088" t="s">
        <v>116</v>
      </c>
      <c r="F194" s="1118">
        <f>'[8]D M S'!$M194</f>
        <v>0</v>
      </c>
      <c r="G194" s="1047">
        <f>'[2]D M S'!$M194</f>
        <v>0</v>
      </c>
      <c r="H194" s="1090">
        <f>'[3]D M S'!$M194</f>
        <v>0</v>
      </c>
      <c r="I194" s="1090">
        <f>'[9]D M S'!$M194</f>
        <v>0</v>
      </c>
      <c r="J194" s="1106">
        <f>'[5]D M S'!$M194</f>
        <v>0</v>
      </c>
      <c r="K194" s="1106">
        <f>'[6]D M S'!$M194</f>
        <v>8</v>
      </c>
      <c r="L194" s="1106">
        <f>'[7]D M S'!$M194</f>
        <v>0</v>
      </c>
      <c r="M194" s="1091">
        <f t="shared" si="15"/>
        <v>8</v>
      </c>
      <c r="N194" s="84"/>
      <c r="O194" s="1048"/>
    </row>
    <row r="195" spans="1:15" s="1044" customFormat="1" ht="41.1" customHeight="1" thickBot="1">
      <c r="A195" s="1756"/>
      <c r="B195" s="1734"/>
      <c r="C195" s="1737"/>
      <c r="D195" s="1761"/>
      <c r="E195" s="1088" t="s">
        <v>117</v>
      </c>
      <c r="F195" s="1118">
        <f>'[8]D M S'!$M195</f>
        <v>0</v>
      </c>
      <c r="G195" s="1047">
        <f>'[2]D M S'!$M$195</f>
        <v>0</v>
      </c>
      <c r="H195" s="1090">
        <f>'[3]D M S'!$M$195</f>
        <v>0</v>
      </c>
      <c r="I195" s="1090">
        <f>'[9]D M S'!$M195</f>
        <v>0</v>
      </c>
      <c r="J195" s="1106">
        <f>'[5]D M S'!$M195</f>
        <v>0</v>
      </c>
      <c r="K195" s="1106">
        <f>'[6]D M S'!$M195</f>
        <v>0</v>
      </c>
      <c r="L195" s="1106">
        <f>'[7]D M S'!$M195</f>
        <v>0</v>
      </c>
      <c r="M195" s="1091">
        <f t="shared" si="15"/>
        <v>0</v>
      </c>
      <c r="N195" s="84"/>
      <c r="O195" s="1048"/>
    </row>
    <row r="196" spans="1:15" s="1044" customFormat="1" ht="41.1" customHeight="1" thickTop="1">
      <c r="A196" s="1754">
        <v>1</v>
      </c>
      <c r="B196" s="1757" t="s">
        <v>642</v>
      </c>
      <c r="C196" s="1758" t="s">
        <v>712</v>
      </c>
      <c r="D196" s="1759" t="s">
        <v>643</v>
      </c>
      <c r="E196" s="1088" t="s">
        <v>115</v>
      </c>
      <c r="F196" s="1118">
        <f>'[8]D M S'!$M196</f>
        <v>6</v>
      </c>
      <c r="G196" s="1047">
        <f>'[2]D M S'!$M196</f>
        <v>6</v>
      </c>
      <c r="H196" s="1090">
        <f>'[3]D M S'!$M196</f>
        <v>0</v>
      </c>
      <c r="I196" s="1090">
        <f>'[9]D M S'!$M196</f>
        <v>6</v>
      </c>
      <c r="J196" s="1106">
        <f>'[5]D M S'!$M196</f>
        <v>6</v>
      </c>
      <c r="K196" s="1106">
        <f>'[6]D M S'!$M196</f>
        <v>0</v>
      </c>
      <c r="L196" s="1106">
        <f>'[7]D M S'!$M196</f>
        <v>6</v>
      </c>
      <c r="M196" s="1091">
        <f t="shared" ref="M196:M198" si="16">SUM(F196:L196)</f>
        <v>30</v>
      </c>
      <c r="N196" s="84"/>
      <c r="O196" s="1048"/>
    </row>
    <row r="197" spans="1:15" s="1044" customFormat="1" ht="41.1" customHeight="1">
      <c r="A197" s="1755"/>
      <c r="B197" s="1733"/>
      <c r="C197" s="1736"/>
      <c r="D197" s="1760"/>
      <c r="E197" s="1088" t="s">
        <v>116</v>
      </c>
      <c r="F197" s="1118">
        <f>'[8]D M S'!$M197</f>
        <v>0</v>
      </c>
      <c r="G197" s="1047">
        <f>'[2]D M S'!$M197</f>
        <v>0</v>
      </c>
      <c r="H197" s="1090">
        <f>'[3]D M S'!$M197</f>
        <v>0</v>
      </c>
      <c r="I197" s="1090">
        <f>'[9]D M S'!$M197</f>
        <v>0</v>
      </c>
      <c r="J197" s="1106">
        <f>'[5]D M S'!$M197</f>
        <v>0</v>
      </c>
      <c r="K197" s="1106">
        <f>'[6]D M S'!$M197</f>
        <v>3</v>
      </c>
      <c r="L197" s="1106">
        <f>'[7]D M S'!$M197</f>
        <v>0</v>
      </c>
      <c r="M197" s="1091">
        <f t="shared" si="16"/>
        <v>3</v>
      </c>
      <c r="N197" s="84"/>
      <c r="O197" s="1048"/>
    </row>
    <row r="198" spans="1:15" s="1044" customFormat="1" ht="41.1" customHeight="1">
      <c r="A198" s="1756"/>
      <c r="B198" s="1734"/>
      <c r="C198" s="1737"/>
      <c r="D198" s="1761"/>
      <c r="E198" s="1088" t="s">
        <v>117</v>
      </c>
      <c r="F198" s="1118">
        <f>'[8]D M S'!$M198</f>
        <v>0</v>
      </c>
      <c r="G198" s="1047">
        <f>'[2]D M S'!$M198</f>
        <v>0</v>
      </c>
      <c r="H198" s="1090">
        <f>'[3]D M S'!$M198</f>
        <v>0</v>
      </c>
      <c r="I198" s="1090">
        <f>'[9]D M S'!$M198</f>
        <v>0</v>
      </c>
      <c r="J198" s="1106">
        <f>'[5]D M S'!$M198</f>
        <v>0</v>
      </c>
      <c r="K198" s="1106">
        <f>'[6]D M S'!$M198</f>
        <v>0</v>
      </c>
      <c r="L198" s="1106">
        <f>'[7]D M S'!$M198</f>
        <v>0</v>
      </c>
      <c r="M198" s="1091">
        <f t="shared" si="16"/>
        <v>0</v>
      </c>
      <c r="N198" s="84"/>
      <c r="O198" s="1048"/>
    </row>
    <row r="199" spans="1:15" s="1044" customFormat="1" ht="27" customHeight="1">
      <c r="A199" s="1814">
        <v>1</v>
      </c>
      <c r="B199" s="1769" t="s">
        <v>715</v>
      </c>
      <c r="C199" s="1817">
        <v>13187</v>
      </c>
      <c r="D199" s="1817" t="s">
        <v>710</v>
      </c>
      <c r="E199" s="1088" t="s">
        <v>115</v>
      </c>
      <c r="F199" s="1118">
        <f>'[8]D M S'!$M199</f>
        <v>8</v>
      </c>
      <c r="G199" s="1047">
        <f>'[2]D M S'!$M199</f>
        <v>8</v>
      </c>
      <c r="H199" s="1090">
        <f>'[3]D M S'!$M199</f>
        <v>0</v>
      </c>
      <c r="I199" s="1106">
        <f>'[9]D M S'!$I$308</f>
        <v>10</v>
      </c>
      <c r="J199" s="1106">
        <f>'[5]D M S'!$J$308</f>
        <v>10</v>
      </c>
      <c r="K199" s="1106">
        <f>'[6]D M S'!$M199</f>
        <v>0</v>
      </c>
      <c r="L199" s="1106">
        <f>'[7]D M S'!$M199</f>
        <v>8</v>
      </c>
      <c r="M199" s="1091">
        <f t="shared" ref="M199:M201" si="17">SUM(F199:L199)</f>
        <v>44</v>
      </c>
      <c r="N199" s="84"/>
      <c r="O199" s="1048"/>
    </row>
    <row r="200" spans="1:15" s="1044" customFormat="1" ht="27" customHeight="1">
      <c r="A200" s="1815"/>
      <c r="B200" s="1760"/>
      <c r="C200" s="1818"/>
      <c r="D200" s="1818"/>
      <c r="E200" s="1088" t="s">
        <v>116</v>
      </c>
      <c r="F200" s="1118">
        <f>'[1]D M S'!$M203</f>
        <v>0</v>
      </c>
      <c r="G200" s="1047">
        <f>'[2]D M S'!$M203</f>
        <v>0</v>
      </c>
      <c r="H200" s="1090">
        <f>'[3]D M S'!$M203</f>
        <v>0</v>
      </c>
      <c r="I200" s="1090">
        <f>'[9]D M S'!$M200</f>
        <v>0</v>
      </c>
      <c r="J200" s="1106">
        <f>'[5]D M S'!$M203</f>
        <v>0</v>
      </c>
      <c r="K200" s="1106">
        <f>'[6]D M S'!$M203</f>
        <v>0</v>
      </c>
      <c r="L200" s="1106">
        <f>'[7]D M S'!$M203</f>
        <v>0</v>
      </c>
      <c r="M200" s="1091">
        <f t="shared" si="17"/>
        <v>0</v>
      </c>
      <c r="N200" s="84"/>
      <c r="O200" s="1048"/>
    </row>
    <row r="201" spans="1:15" s="1044" customFormat="1" ht="27" customHeight="1">
      <c r="A201" s="1816"/>
      <c r="B201" s="1761"/>
      <c r="C201" s="1819"/>
      <c r="D201" s="1819"/>
      <c r="E201" s="1088" t="s">
        <v>117</v>
      </c>
      <c r="F201" s="1118">
        <f>'[1]D M S'!$M204</f>
        <v>0</v>
      </c>
      <c r="G201" s="1047">
        <f>'[2]D M S'!$M204</f>
        <v>0</v>
      </c>
      <c r="H201" s="1090">
        <f>'[3]D M S'!$M204</f>
        <v>0</v>
      </c>
      <c r="I201" s="1090">
        <f>'[9]D M S'!$M201</f>
        <v>0</v>
      </c>
      <c r="J201" s="1106">
        <f>'[5]D M S'!$M204</f>
        <v>0</v>
      </c>
      <c r="K201" s="1106">
        <f>'[6]D M S'!$M204</f>
        <v>0</v>
      </c>
      <c r="L201" s="1106">
        <f>'[7]D M S'!$M204</f>
        <v>0</v>
      </c>
      <c r="M201" s="1091">
        <f t="shared" si="17"/>
        <v>0</v>
      </c>
      <c r="N201" s="84"/>
      <c r="O201" s="1048"/>
    </row>
    <row r="202" spans="1:15" ht="18.75" customHeight="1">
      <c r="A202" s="1815">
        <v>2</v>
      </c>
      <c r="B202" s="1769" t="s">
        <v>715</v>
      </c>
      <c r="C202" s="1736">
        <v>11302</v>
      </c>
      <c r="D202" s="1817" t="s">
        <v>710</v>
      </c>
      <c r="E202" s="1088" t="s">
        <v>115</v>
      </c>
      <c r="F202" s="1118">
        <f>'[8]D M S'!$M202</f>
        <v>8</v>
      </c>
      <c r="G202" s="1047">
        <f>'[2]D M S'!$M202</f>
        <v>8</v>
      </c>
      <c r="H202" s="1090">
        <f>'[3]D M S'!$M202</f>
        <v>0</v>
      </c>
      <c r="I202" s="1106">
        <f>'[9]D M S'!$I$308</f>
        <v>10</v>
      </c>
      <c r="J202" s="1106">
        <f>'[5]D M S'!$J$308</f>
        <v>10</v>
      </c>
      <c r="K202" s="1106">
        <f>'[6]D M S'!$M202</f>
        <v>0</v>
      </c>
      <c r="L202" s="1106">
        <f>'[7]D M S'!$M202</f>
        <v>8</v>
      </c>
      <c r="M202" s="1091">
        <f t="shared" ref="M202:M204" si="18">SUM(F202:L202)</f>
        <v>44</v>
      </c>
      <c r="N202" s="84"/>
      <c r="O202" s="1048"/>
    </row>
    <row r="203" spans="1:15" ht="18.75" customHeight="1">
      <c r="A203" s="1815"/>
      <c r="B203" s="1760"/>
      <c r="C203" s="1736"/>
      <c r="D203" s="1818"/>
      <c r="E203" s="1088" t="s">
        <v>116</v>
      </c>
      <c r="F203" s="1118">
        <f>'[1]D M S'!$M203</f>
        <v>0</v>
      </c>
      <c r="G203" s="1047">
        <f>'[2]D M S'!$M203</f>
        <v>0</v>
      </c>
      <c r="H203" s="1090">
        <f>'[3]D M S'!$M203</f>
        <v>0</v>
      </c>
      <c r="I203" s="1090">
        <f>'[9]D M S'!$M203</f>
        <v>0</v>
      </c>
      <c r="J203" s="1106">
        <f>'[5]D M S'!$M203</f>
        <v>0</v>
      </c>
      <c r="K203" s="1106">
        <f>'[6]D M S'!$M203</f>
        <v>0</v>
      </c>
      <c r="L203" s="1106">
        <f>'[7]D M S'!$M203</f>
        <v>0</v>
      </c>
      <c r="M203" s="1091">
        <f t="shared" si="18"/>
        <v>0</v>
      </c>
      <c r="N203" s="84"/>
      <c r="O203" s="1048"/>
    </row>
    <row r="204" spans="1:15" ht="35.25" customHeight="1">
      <c r="A204" s="1815"/>
      <c r="B204" s="1761"/>
      <c r="C204" s="1736"/>
      <c r="D204" s="1819"/>
      <c r="E204" s="1088" t="s">
        <v>117</v>
      </c>
      <c r="F204" s="1118">
        <f>'[1]D M S'!$M204</f>
        <v>0</v>
      </c>
      <c r="G204" s="1047">
        <f>'[2]D M S'!$M204</f>
        <v>0</v>
      </c>
      <c r="H204" s="1090">
        <f>'[3]D M S'!$M204</f>
        <v>0</v>
      </c>
      <c r="I204" s="1090">
        <f>'[9]D M S'!$M204</f>
        <v>0</v>
      </c>
      <c r="J204" s="1106">
        <f>'[5]D M S'!$M204</f>
        <v>0</v>
      </c>
      <c r="K204" s="1106">
        <f>'[6]D M S'!$M204</f>
        <v>0</v>
      </c>
      <c r="L204" s="1106">
        <f>'[7]D M S'!$M204</f>
        <v>0</v>
      </c>
      <c r="M204" s="1091">
        <f t="shared" si="18"/>
        <v>0</v>
      </c>
      <c r="N204" s="84"/>
      <c r="O204" s="1048"/>
    </row>
    <row r="205" spans="1:15" ht="35.25" customHeight="1">
      <c r="A205" s="1814">
        <v>3</v>
      </c>
      <c r="B205" s="1769" t="s">
        <v>715</v>
      </c>
      <c r="C205" s="1735">
        <v>12223</v>
      </c>
      <c r="D205" s="1817" t="s">
        <v>710</v>
      </c>
      <c r="E205" s="1088" t="s">
        <v>115</v>
      </c>
      <c r="F205" s="1118">
        <f>'[8]D M S'!$M$205</f>
        <v>0</v>
      </c>
      <c r="G205" s="1047">
        <f>'[2]D M S'!$M205</f>
        <v>0</v>
      </c>
      <c r="H205" s="1090">
        <f>'[3]D M S'!$M205</f>
        <v>0</v>
      </c>
      <c r="I205" s="1090">
        <f>'[9]D M S'!$M205</f>
        <v>0</v>
      </c>
      <c r="J205" s="1106">
        <f>'[5]D M S'!$M205</f>
        <v>0</v>
      </c>
      <c r="K205" s="1106">
        <f>'[6]D M S'!$M205</f>
        <v>0</v>
      </c>
      <c r="L205" s="1106">
        <f>'[7]D M S'!$M205</f>
        <v>0</v>
      </c>
      <c r="M205" s="1091">
        <f t="shared" ref="M205:M207" si="19">SUM(F205:L205)</f>
        <v>0</v>
      </c>
      <c r="N205" s="84"/>
      <c r="O205" s="1048"/>
    </row>
    <row r="206" spans="1:15" ht="35.25" customHeight="1">
      <c r="A206" s="1815"/>
      <c r="B206" s="1760"/>
      <c r="C206" s="1736"/>
      <c r="D206" s="1818"/>
      <c r="E206" s="1088" t="s">
        <v>116</v>
      </c>
      <c r="F206" s="1118">
        <f>'[1]D M S'!$M206</f>
        <v>0</v>
      </c>
      <c r="G206" s="1047">
        <f>'[2]D M S'!$M206</f>
        <v>0</v>
      </c>
      <c r="H206" s="1090">
        <f>'[3]D M S'!$M206</f>
        <v>0</v>
      </c>
      <c r="I206" s="1090">
        <f>'[9]D M S'!$M206</f>
        <v>0</v>
      </c>
      <c r="J206" s="1106">
        <f>'[5]D M S'!$M206</f>
        <v>0</v>
      </c>
      <c r="K206" s="1106">
        <f>'[6]D M S'!$M206</f>
        <v>0</v>
      </c>
      <c r="L206" s="1106">
        <f>'[7]D M S'!$M206</f>
        <v>0</v>
      </c>
      <c r="M206" s="1091">
        <f t="shared" si="19"/>
        <v>0</v>
      </c>
      <c r="N206" s="84"/>
      <c r="O206" s="1048"/>
    </row>
    <row r="207" spans="1:15" ht="35.25" customHeight="1">
      <c r="A207" s="1816"/>
      <c r="B207" s="1761"/>
      <c r="C207" s="1737"/>
      <c r="D207" s="1819"/>
      <c r="E207" s="1088" t="s">
        <v>117</v>
      </c>
      <c r="F207" s="1118">
        <f>'[1]D M S'!$M207</f>
        <v>0</v>
      </c>
      <c r="G207" s="1047">
        <f>'[2]D M S'!$M207</f>
        <v>0</v>
      </c>
      <c r="H207" s="1090">
        <f>'[3]D M S'!$M207</f>
        <v>0</v>
      </c>
      <c r="I207" s="1090">
        <f>'[9]D M S'!$M207</f>
        <v>0</v>
      </c>
      <c r="J207" s="1106">
        <f>'[5]D M S'!$M207</f>
        <v>0</v>
      </c>
      <c r="K207" s="1106">
        <f>'[6]D M S'!$M207</f>
        <v>0</v>
      </c>
      <c r="L207" s="1106">
        <f>'[7]D M S'!$M207</f>
        <v>0</v>
      </c>
      <c r="M207" s="1091">
        <f t="shared" si="19"/>
        <v>0</v>
      </c>
      <c r="N207" s="84"/>
      <c r="O207" s="1048"/>
    </row>
    <row r="208" spans="1:15" ht="41.1" hidden="1" customHeight="1">
      <c r="A208" s="4">
        <v>1</v>
      </c>
      <c r="B208" s="1820" t="s">
        <v>147</v>
      </c>
      <c r="C208" s="1736">
        <v>2351</v>
      </c>
      <c r="D208" s="1751" t="s">
        <v>148</v>
      </c>
      <c r="E208" s="1088" t="s">
        <v>115</v>
      </c>
      <c r="F208" s="1118">
        <f>'[1]D M S'!$M208</f>
        <v>0</v>
      </c>
      <c r="G208" s="1047">
        <f>'[2]D M S'!$M208</f>
        <v>0</v>
      </c>
      <c r="H208" s="1090">
        <f>'[3]D M S'!$M208</f>
        <v>0</v>
      </c>
      <c r="I208" s="1090">
        <f>'[9]D M S'!$M208</f>
        <v>0</v>
      </c>
      <c r="J208" s="1106">
        <f>'[5]D M S'!$M208</f>
        <v>0</v>
      </c>
      <c r="K208" s="1106">
        <f>'[6]D M S'!$M208</f>
        <v>0</v>
      </c>
      <c r="L208" s="1106">
        <f>'[7]D M S'!$M208</f>
        <v>0</v>
      </c>
      <c r="M208" s="1091">
        <f t="shared" ref="M208:M271" si="20">SUM(F208:L208)</f>
        <v>0</v>
      </c>
      <c r="N208" s="84"/>
      <c r="O208" s="1048"/>
    </row>
    <row r="209" spans="1:15" ht="41.1" hidden="1" customHeight="1">
      <c r="A209" s="4"/>
      <c r="B209" s="1820"/>
      <c r="C209" s="1735"/>
      <c r="D209" s="1751"/>
      <c r="E209" s="1088" t="s">
        <v>116</v>
      </c>
      <c r="F209" s="1118">
        <f>'[1]D M S'!$M209</f>
        <v>0</v>
      </c>
      <c r="G209" s="1047">
        <f>'[2]D M S'!$M209</f>
        <v>0</v>
      </c>
      <c r="H209" s="1090">
        <f>'[3]D M S'!$M209</f>
        <v>0</v>
      </c>
      <c r="I209" s="1090">
        <f>'[9]D M S'!$M209</f>
        <v>0</v>
      </c>
      <c r="J209" s="1106">
        <f>'[5]D M S'!$M209</f>
        <v>0</v>
      </c>
      <c r="K209" s="1106">
        <f>'[6]D M S'!$M209</f>
        <v>0</v>
      </c>
      <c r="L209" s="1106">
        <f>'[7]D M S'!$M209</f>
        <v>0</v>
      </c>
      <c r="M209" s="1091">
        <f t="shared" si="20"/>
        <v>0</v>
      </c>
      <c r="N209" s="84"/>
      <c r="O209" s="1048"/>
    </row>
    <row r="210" spans="1:15" ht="41.1" hidden="1" customHeight="1">
      <c r="A210" s="4"/>
      <c r="B210" s="1820"/>
      <c r="C210" s="1735"/>
      <c r="D210" s="1751"/>
      <c r="E210" s="1088" t="s">
        <v>117</v>
      </c>
      <c r="F210" s="1118">
        <f>'[1]D M S'!$M210</f>
        <v>0</v>
      </c>
      <c r="G210" s="1047">
        <f>'[2]D M S'!$M210</f>
        <v>0</v>
      </c>
      <c r="H210" s="1090">
        <f>'[3]D M S'!$M210</f>
        <v>0</v>
      </c>
      <c r="I210" s="1090">
        <f>'[9]D M S'!$M210</f>
        <v>0</v>
      </c>
      <c r="J210" s="1106">
        <f>'[5]D M S'!$M210</f>
        <v>0</v>
      </c>
      <c r="K210" s="1106">
        <f>'[6]D M S'!$M210</f>
        <v>0</v>
      </c>
      <c r="L210" s="1106">
        <f>'[7]D M S'!$M210</f>
        <v>0</v>
      </c>
      <c r="M210" s="1091">
        <f t="shared" si="20"/>
        <v>0</v>
      </c>
      <c r="N210" s="84"/>
      <c r="O210" s="1048"/>
    </row>
    <row r="211" spans="1:15" ht="12.75" hidden="1" customHeight="1">
      <c r="A211" s="4"/>
      <c r="B211" s="1820" t="s">
        <v>147</v>
      </c>
      <c r="C211" s="1735" t="s">
        <v>149</v>
      </c>
      <c r="D211" s="1751" t="s">
        <v>150</v>
      </c>
      <c r="E211" s="1088" t="s">
        <v>115</v>
      </c>
      <c r="F211" s="1118">
        <f>'[1]D M S'!$M211</f>
        <v>0</v>
      </c>
      <c r="G211" s="1047">
        <f>'[2]D M S'!$M211</f>
        <v>0</v>
      </c>
      <c r="H211" s="1090">
        <f>'[3]D M S'!$M211</f>
        <v>0</v>
      </c>
      <c r="I211" s="1090">
        <f>'[9]D M S'!$M211</f>
        <v>0</v>
      </c>
      <c r="J211" s="1106">
        <f>'[5]D M S'!$M211</f>
        <v>0</v>
      </c>
      <c r="K211" s="1106">
        <f>'[6]D M S'!$M211</f>
        <v>0</v>
      </c>
      <c r="L211" s="1106">
        <f>'[7]D M S'!$M211</f>
        <v>0</v>
      </c>
      <c r="M211" s="1091">
        <f t="shared" si="20"/>
        <v>0</v>
      </c>
      <c r="N211" s="84"/>
      <c r="O211" s="1048"/>
    </row>
    <row r="212" spans="1:15" ht="12.75" hidden="1" customHeight="1">
      <c r="A212" s="4"/>
      <c r="B212" s="1820"/>
      <c r="C212" s="1735"/>
      <c r="D212" s="1751"/>
      <c r="E212" s="1088" t="s">
        <v>116</v>
      </c>
      <c r="F212" s="1118">
        <f>'[1]D M S'!$M212</f>
        <v>0</v>
      </c>
      <c r="G212" s="1047">
        <f>'[2]D M S'!$M212</f>
        <v>0</v>
      </c>
      <c r="H212" s="1090">
        <f>'[3]D M S'!$M212</f>
        <v>0</v>
      </c>
      <c r="I212" s="1090">
        <f>'[9]D M S'!$M212</f>
        <v>0</v>
      </c>
      <c r="J212" s="1106">
        <f>'[5]D M S'!$M212</f>
        <v>0</v>
      </c>
      <c r="K212" s="1106">
        <f>'[6]D M S'!$M212</f>
        <v>0</v>
      </c>
      <c r="L212" s="1106">
        <f>'[7]D M S'!$M212</f>
        <v>0</v>
      </c>
      <c r="M212" s="1091">
        <f t="shared" si="20"/>
        <v>0</v>
      </c>
      <c r="N212" s="84"/>
      <c r="O212" s="1048"/>
    </row>
    <row r="213" spans="1:15" ht="12.75" hidden="1" customHeight="1">
      <c r="A213" s="4"/>
      <c r="B213" s="1820"/>
      <c r="C213" s="1735"/>
      <c r="D213" s="1751"/>
      <c r="E213" s="1088" t="s">
        <v>117</v>
      </c>
      <c r="F213" s="1118">
        <f>'[1]D M S'!$M213</f>
        <v>0</v>
      </c>
      <c r="G213" s="1047">
        <f>'[2]D M S'!$M213</f>
        <v>0</v>
      </c>
      <c r="H213" s="1090">
        <f>'[3]D M S'!$M213</f>
        <v>0</v>
      </c>
      <c r="I213" s="1090">
        <f>'[9]D M S'!$M213</f>
        <v>0</v>
      </c>
      <c r="J213" s="1106">
        <f>'[5]D M S'!$M213</f>
        <v>0</v>
      </c>
      <c r="K213" s="1106">
        <f>'[6]D M S'!$M213</f>
        <v>0</v>
      </c>
      <c r="L213" s="1106">
        <f>'[7]D M S'!$M213</f>
        <v>0</v>
      </c>
      <c r="M213" s="1091">
        <f t="shared" si="20"/>
        <v>0</v>
      </c>
      <c r="N213" s="84"/>
      <c r="O213" s="1048"/>
    </row>
    <row r="214" spans="1:15" ht="12.75" hidden="1" customHeight="1">
      <c r="A214" s="1121"/>
      <c r="B214" s="1820" t="s">
        <v>147</v>
      </c>
      <c r="C214" s="1735"/>
      <c r="D214" s="1751" t="s">
        <v>150</v>
      </c>
      <c r="E214" s="1088"/>
      <c r="F214" s="1118">
        <f>'[1]D M S'!$M214</f>
        <v>0</v>
      </c>
      <c r="G214" s="1047">
        <f>'[2]D M S'!$M214</f>
        <v>0</v>
      </c>
      <c r="H214" s="1090">
        <f>'[3]D M S'!$M214</f>
        <v>0</v>
      </c>
      <c r="I214" s="1090">
        <f>'[9]D M S'!$M214</f>
        <v>0</v>
      </c>
      <c r="J214" s="1106">
        <f>'[5]D M S'!$M214</f>
        <v>0</v>
      </c>
      <c r="K214" s="1106">
        <f>'[6]D M S'!$M214</f>
        <v>0</v>
      </c>
      <c r="L214" s="1106">
        <f>'[7]D M S'!$M214</f>
        <v>0</v>
      </c>
      <c r="M214" s="1091">
        <f t="shared" si="20"/>
        <v>0</v>
      </c>
      <c r="N214" s="84"/>
      <c r="O214" s="1048"/>
    </row>
    <row r="215" spans="1:15" ht="12.75" hidden="1" customHeight="1">
      <c r="A215" s="1121"/>
      <c r="B215" s="1820"/>
      <c r="C215" s="1735"/>
      <c r="D215" s="1751"/>
      <c r="E215" s="1088"/>
      <c r="F215" s="1118">
        <f>'[1]D M S'!$M215</f>
        <v>0</v>
      </c>
      <c r="G215" s="1047">
        <f>'[2]D M S'!$M215</f>
        <v>0</v>
      </c>
      <c r="H215" s="1090">
        <f>'[3]D M S'!$M215</f>
        <v>0</v>
      </c>
      <c r="I215" s="1090">
        <f>'[9]D M S'!$M215</f>
        <v>0</v>
      </c>
      <c r="J215" s="1106">
        <f>'[5]D M S'!$M215</f>
        <v>0</v>
      </c>
      <c r="K215" s="1106">
        <f>'[6]D M S'!$M215</f>
        <v>0</v>
      </c>
      <c r="L215" s="1106">
        <f>'[7]D M S'!$M215</f>
        <v>0</v>
      </c>
      <c r="M215" s="1091">
        <f t="shared" si="20"/>
        <v>0</v>
      </c>
      <c r="N215" s="84"/>
      <c r="O215" s="1048"/>
    </row>
    <row r="216" spans="1:15" ht="12.75" hidden="1" customHeight="1">
      <c r="A216" s="1121"/>
      <c r="B216" s="1820"/>
      <c r="C216" s="1735"/>
      <c r="D216" s="1751"/>
      <c r="E216" s="1088"/>
      <c r="F216" s="1118">
        <f>'[1]D M S'!$M216</f>
        <v>0</v>
      </c>
      <c r="G216" s="1047">
        <f>'[2]D M S'!$M216</f>
        <v>0</v>
      </c>
      <c r="H216" s="1090">
        <f>'[3]D M S'!$M216</f>
        <v>0</v>
      </c>
      <c r="I216" s="1090">
        <f>'[9]D M S'!$M216</f>
        <v>0</v>
      </c>
      <c r="J216" s="1106">
        <f>'[5]D M S'!$M216</f>
        <v>0</v>
      </c>
      <c r="K216" s="1106">
        <f>'[6]D M S'!$M216</f>
        <v>0</v>
      </c>
      <c r="L216" s="1106">
        <f>'[7]D M S'!$M216</f>
        <v>0</v>
      </c>
      <c r="M216" s="1091">
        <f t="shared" si="20"/>
        <v>0</v>
      </c>
      <c r="N216" s="84"/>
      <c r="O216" s="1048"/>
    </row>
    <row r="217" spans="1:15" ht="38.85" hidden="1" customHeight="1">
      <c r="A217" s="1821">
        <v>2</v>
      </c>
      <c r="B217" s="1820" t="s">
        <v>147</v>
      </c>
      <c r="C217" s="1735">
        <v>4040</v>
      </c>
      <c r="D217" s="1751" t="s">
        <v>148</v>
      </c>
      <c r="E217" s="1088" t="s">
        <v>115</v>
      </c>
      <c r="F217" s="1118">
        <f>'[1]D M S'!$M217</f>
        <v>0</v>
      </c>
      <c r="G217" s="1047">
        <f>'[2]D M S'!$M217</f>
        <v>0</v>
      </c>
      <c r="H217" s="1090">
        <f>'[3]D M S'!$M217</f>
        <v>0</v>
      </c>
      <c r="I217" s="1090">
        <f>'[9]D M S'!$M217</f>
        <v>0</v>
      </c>
      <c r="J217" s="1106">
        <f>'[5]D M S'!$M217</f>
        <v>0</v>
      </c>
      <c r="K217" s="1106">
        <f>'[6]D M S'!$M217</f>
        <v>0</v>
      </c>
      <c r="L217" s="1106">
        <f>'[7]D M S'!$M217</f>
        <v>0</v>
      </c>
      <c r="M217" s="1091">
        <f t="shared" si="20"/>
        <v>0</v>
      </c>
      <c r="N217" s="84"/>
      <c r="O217" s="1048"/>
    </row>
    <row r="218" spans="1:15" ht="38.85" hidden="1" customHeight="1">
      <c r="A218" s="1821"/>
      <c r="B218" s="1820"/>
      <c r="C218" s="1735"/>
      <c r="D218" s="1751"/>
      <c r="E218" s="1088" t="s">
        <v>116</v>
      </c>
      <c r="F218" s="1118">
        <f>'[1]D M S'!$M218</f>
        <v>0</v>
      </c>
      <c r="G218" s="1047">
        <f>'[2]D M S'!$M218</f>
        <v>0</v>
      </c>
      <c r="H218" s="1090">
        <f>'[3]D M S'!$M218</f>
        <v>0</v>
      </c>
      <c r="I218" s="1090">
        <f>'[9]D M S'!$M218</f>
        <v>0</v>
      </c>
      <c r="J218" s="1106">
        <f>'[5]D M S'!$M218</f>
        <v>0</v>
      </c>
      <c r="K218" s="1106">
        <f>'[6]D M S'!$M218</f>
        <v>0</v>
      </c>
      <c r="L218" s="1106">
        <f>'[7]D M S'!$M218</f>
        <v>0</v>
      </c>
      <c r="M218" s="1091">
        <f t="shared" si="20"/>
        <v>0</v>
      </c>
      <c r="N218" s="84"/>
      <c r="O218" s="1048"/>
    </row>
    <row r="219" spans="1:15" ht="38.85" hidden="1" customHeight="1">
      <c r="A219" s="1821"/>
      <c r="B219" s="1820"/>
      <c r="C219" s="1735"/>
      <c r="D219" s="1751"/>
      <c r="E219" s="1088" t="s">
        <v>117</v>
      </c>
      <c r="F219" s="1118">
        <f>'[1]D M S'!$M219</f>
        <v>0</v>
      </c>
      <c r="G219" s="1047">
        <f>'[2]D M S'!$M219</f>
        <v>0</v>
      </c>
      <c r="H219" s="1090">
        <f>'[3]D M S'!$M219</f>
        <v>0</v>
      </c>
      <c r="I219" s="1090">
        <f>'[9]D M S'!$M219</f>
        <v>0</v>
      </c>
      <c r="J219" s="1106">
        <f>'[5]D M S'!$M219</f>
        <v>0</v>
      </c>
      <c r="K219" s="1106">
        <f>'[6]D M S'!$M219</f>
        <v>0</v>
      </c>
      <c r="L219" s="1106">
        <f>'[7]D M S'!$M219</f>
        <v>0</v>
      </c>
      <c r="M219" s="1091">
        <f t="shared" si="20"/>
        <v>0</v>
      </c>
      <c r="N219" s="84"/>
      <c r="O219" s="1048"/>
    </row>
    <row r="220" spans="1:15" ht="41.1" customHeight="1">
      <c r="A220" s="4">
        <v>3</v>
      </c>
      <c r="B220" s="1732" t="s">
        <v>151</v>
      </c>
      <c r="C220" s="1735">
        <v>63495</v>
      </c>
      <c r="D220" s="1751" t="s">
        <v>638</v>
      </c>
      <c r="E220" s="1088" t="s">
        <v>115</v>
      </c>
      <c r="F220" s="1118">
        <f>'[1]D M S'!$M220</f>
        <v>0</v>
      </c>
      <c r="G220" s="1047">
        <f>'[2]D M S'!$M220</f>
        <v>0</v>
      </c>
      <c r="H220" s="1090">
        <f>'[3]D M S'!$M220</f>
        <v>0</v>
      </c>
      <c r="I220" s="1090">
        <f>'[9]D M S'!$M220</f>
        <v>0</v>
      </c>
      <c r="J220" s="1106">
        <f>'[5]D M S'!$M220</f>
        <v>0</v>
      </c>
      <c r="K220" s="1106">
        <f>'[6]D M S'!$M220</f>
        <v>0</v>
      </c>
      <c r="L220" s="1106">
        <f>'[7]D M S'!$M220</f>
        <v>0</v>
      </c>
      <c r="M220" s="1091">
        <f t="shared" si="20"/>
        <v>0</v>
      </c>
      <c r="N220" s="84"/>
      <c r="O220" s="1048"/>
    </row>
    <row r="221" spans="1:15" ht="41.1" customHeight="1">
      <c r="A221" s="4"/>
      <c r="B221" s="1732"/>
      <c r="C221" s="1735"/>
      <c r="D221" s="1751"/>
      <c r="E221" s="1088" t="s">
        <v>116</v>
      </c>
      <c r="F221" s="1118">
        <f>'[1]D M S'!$M221</f>
        <v>0</v>
      </c>
      <c r="G221" s="1047">
        <f>'[2]D M S'!$M221</f>
        <v>0</v>
      </c>
      <c r="H221" s="1090">
        <f>'[3]D M S'!$M221</f>
        <v>0</v>
      </c>
      <c r="I221" s="1090">
        <f>'[9]D M S'!$M221</f>
        <v>0</v>
      </c>
      <c r="J221" s="1106">
        <f>'[5]D M S'!$M221</f>
        <v>0</v>
      </c>
      <c r="K221" s="1106">
        <f>'[6]D M S'!$M221</f>
        <v>0</v>
      </c>
      <c r="L221" s="1106">
        <f>'[7]D M S'!$M221</f>
        <v>0</v>
      </c>
      <c r="M221" s="1091">
        <f t="shared" si="20"/>
        <v>0</v>
      </c>
      <c r="N221" s="84"/>
      <c r="O221" s="1048"/>
    </row>
    <row r="222" spans="1:15" ht="41.1" customHeight="1">
      <c r="A222" s="4"/>
      <c r="B222" s="1732"/>
      <c r="C222" s="1735"/>
      <c r="D222" s="1751"/>
      <c r="E222" s="1088" t="s">
        <v>117</v>
      </c>
      <c r="F222" s="1118">
        <f>'[1]D M S'!$M222</f>
        <v>0</v>
      </c>
      <c r="G222" s="1047">
        <f>'[2]D M S'!$M222</f>
        <v>0</v>
      </c>
      <c r="H222" s="1090">
        <f>'[3]D M S'!$M222</f>
        <v>0</v>
      </c>
      <c r="I222" s="1090">
        <f>'[9]D M S'!$M222</f>
        <v>0</v>
      </c>
      <c r="J222" s="1106">
        <f>'[5]D M S'!$M222</f>
        <v>0</v>
      </c>
      <c r="K222" s="1106">
        <f>'[6]D M S'!$M222</f>
        <v>0</v>
      </c>
      <c r="L222" s="1106">
        <f>'[7]D M S'!$M222</f>
        <v>0</v>
      </c>
      <c r="M222" s="1091">
        <f t="shared" si="20"/>
        <v>0</v>
      </c>
      <c r="N222" s="84"/>
      <c r="O222" s="1048"/>
    </row>
    <row r="223" spans="1:15" ht="12.75" hidden="1" customHeight="1">
      <c r="A223" s="4">
        <v>2</v>
      </c>
      <c r="B223" s="1769" t="e">
        <v>#REF!</v>
      </c>
      <c r="C223" s="1822" t="e">
        <v>#REF!</v>
      </c>
      <c r="D223" s="1823" t="e">
        <v>#REF!</v>
      </c>
      <c r="E223" s="1088" t="s">
        <v>115</v>
      </c>
      <c r="F223" s="1118">
        <f>'[1]D M S'!$M223</f>
        <v>0</v>
      </c>
      <c r="G223" s="1047">
        <f>'[2]D M S'!$M223</f>
        <v>0</v>
      </c>
      <c r="H223" s="1090">
        <f>'[3]D M S'!$M223</f>
        <v>0</v>
      </c>
      <c r="I223" s="1090">
        <f>'[9]D M S'!$M223</f>
        <v>0</v>
      </c>
      <c r="J223" s="1106">
        <f>'[5]D M S'!$M223</f>
        <v>0</v>
      </c>
      <c r="K223" s="1106">
        <f>'[6]D M S'!$M223</f>
        <v>0</v>
      </c>
      <c r="L223" s="1106">
        <f>'[7]D M S'!$M223</f>
        <v>0</v>
      </c>
      <c r="M223" s="1091">
        <f t="shared" si="20"/>
        <v>0</v>
      </c>
      <c r="N223" s="84"/>
      <c r="O223" s="1048"/>
    </row>
    <row r="224" spans="1:15" ht="12.75" hidden="1" customHeight="1">
      <c r="A224" s="4"/>
      <c r="B224" s="1769"/>
      <c r="C224" s="1822"/>
      <c r="D224" s="1823"/>
      <c r="E224" s="1088" t="s">
        <v>116</v>
      </c>
      <c r="F224" s="1118">
        <f>'[1]D M S'!$M224</f>
        <v>0</v>
      </c>
      <c r="G224" s="1047">
        <f>'[2]D M S'!$M224</f>
        <v>0</v>
      </c>
      <c r="H224" s="1090">
        <f>'[3]D M S'!$M224</f>
        <v>0</v>
      </c>
      <c r="I224" s="1090">
        <f>'[9]D M S'!$M224</f>
        <v>0</v>
      </c>
      <c r="J224" s="1106">
        <f>'[5]D M S'!$M224</f>
        <v>0</v>
      </c>
      <c r="K224" s="1106">
        <f>'[6]D M S'!$M224</f>
        <v>0</v>
      </c>
      <c r="L224" s="1106">
        <f>'[7]D M S'!$M224</f>
        <v>0</v>
      </c>
      <c r="M224" s="1091">
        <f t="shared" si="20"/>
        <v>0</v>
      </c>
      <c r="N224" s="84"/>
      <c r="O224" s="1048"/>
    </row>
    <row r="225" spans="1:15" ht="12.75" hidden="1" customHeight="1">
      <c r="A225" s="4"/>
      <c r="B225" s="1769"/>
      <c r="C225" s="1822"/>
      <c r="D225" s="1823"/>
      <c r="E225" s="1088" t="s">
        <v>117</v>
      </c>
      <c r="F225" s="1118">
        <f>'[1]D M S'!$M225</f>
        <v>0</v>
      </c>
      <c r="G225" s="1047">
        <f>'[2]D M S'!$M225</f>
        <v>0</v>
      </c>
      <c r="H225" s="1090">
        <f>'[3]D M S'!$M225</f>
        <v>0</v>
      </c>
      <c r="I225" s="1090">
        <f>'[9]D M S'!$M225</f>
        <v>0</v>
      </c>
      <c r="J225" s="1106">
        <f>'[5]D M S'!$M225</f>
        <v>0</v>
      </c>
      <c r="K225" s="1106">
        <f>'[6]D M S'!$M225</f>
        <v>0</v>
      </c>
      <c r="L225" s="1106">
        <f>'[7]D M S'!$M225</f>
        <v>0</v>
      </c>
      <c r="M225" s="1091">
        <f t="shared" si="20"/>
        <v>0</v>
      </c>
      <c r="N225" s="84"/>
      <c r="O225" s="1048"/>
    </row>
    <row r="226" spans="1:15" s="1044" customFormat="1" ht="12.75" hidden="1" customHeight="1">
      <c r="A226" s="4">
        <v>9</v>
      </c>
      <c r="B226" s="1824" t="s">
        <v>146</v>
      </c>
      <c r="C226" s="1751" t="s">
        <v>152</v>
      </c>
      <c r="D226" s="1760" t="s">
        <v>140</v>
      </c>
      <c r="E226" s="1088" t="s">
        <v>115</v>
      </c>
      <c r="F226" s="1118">
        <f>'[1]D M S'!$M226</f>
        <v>0</v>
      </c>
      <c r="G226" s="1047">
        <f>'[2]D M S'!$M226</f>
        <v>0</v>
      </c>
      <c r="H226" s="1090">
        <f>'[3]D M S'!$M226</f>
        <v>0</v>
      </c>
      <c r="I226" s="1090">
        <f>'[9]D M S'!$M226</f>
        <v>0</v>
      </c>
      <c r="J226" s="1106">
        <f>'[5]D M S'!$M226</f>
        <v>0</v>
      </c>
      <c r="K226" s="1106">
        <f>'[6]D M S'!$M226</f>
        <v>0</v>
      </c>
      <c r="L226" s="1106">
        <f>'[7]D M S'!$M226</f>
        <v>0</v>
      </c>
      <c r="M226" s="1091">
        <f t="shared" si="20"/>
        <v>0</v>
      </c>
      <c r="N226" s="84"/>
      <c r="O226" s="1048"/>
    </row>
    <row r="227" spans="1:15" s="1044" customFormat="1" ht="12.75" hidden="1" customHeight="1">
      <c r="A227" s="4"/>
      <c r="B227" s="1824"/>
      <c r="C227" s="1751"/>
      <c r="D227" s="1751"/>
      <c r="E227" s="1088" t="s">
        <v>116</v>
      </c>
      <c r="F227" s="1118">
        <f>'[1]D M S'!$M227</f>
        <v>0</v>
      </c>
      <c r="G227" s="1047">
        <f>'[2]D M S'!$M227</f>
        <v>0</v>
      </c>
      <c r="H227" s="1090">
        <f>'[3]D M S'!$M227</f>
        <v>0</v>
      </c>
      <c r="I227" s="1090">
        <f>'[9]D M S'!$M227</f>
        <v>0</v>
      </c>
      <c r="J227" s="1106">
        <f>'[5]D M S'!$M227</f>
        <v>0</v>
      </c>
      <c r="K227" s="1106">
        <f>'[6]D M S'!$M227</f>
        <v>0</v>
      </c>
      <c r="L227" s="1106">
        <f>'[7]D M S'!$M227</f>
        <v>0</v>
      </c>
      <c r="M227" s="1091">
        <f t="shared" si="20"/>
        <v>0</v>
      </c>
      <c r="N227" s="84"/>
      <c r="O227" s="1048"/>
    </row>
    <row r="228" spans="1:15" s="1044" customFormat="1" ht="12.75" hidden="1" customHeight="1">
      <c r="A228" s="4"/>
      <c r="B228" s="1824"/>
      <c r="C228" s="1751"/>
      <c r="D228" s="1751"/>
      <c r="E228" s="1088" t="s">
        <v>117</v>
      </c>
      <c r="F228" s="1118">
        <f>'[1]D M S'!$M228</f>
        <v>0</v>
      </c>
      <c r="G228" s="1047">
        <f>'[2]D M S'!$M228</f>
        <v>0</v>
      </c>
      <c r="H228" s="1090">
        <f>'[3]D M S'!$M228</f>
        <v>0</v>
      </c>
      <c r="I228" s="1090">
        <f>'[9]D M S'!$M228</f>
        <v>0</v>
      </c>
      <c r="J228" s="1106">
        <f>'[5]D M S'!$M228</f>
        <v>0</v>
      </c>
      <c r="K228" s="1106">
        <f>'[6]D M S'!$M228</f>
        <v>0</v>
      </c>
      <c r="L228" s="1106">
        <f>'[7]D M S'!$M228</f>
        <v>0</v>
      </c>
      <c r="M228" s="1091">
        <f t="shared" si="20"/>
        <v>0</v>
      </c>
      <c r="N228" s="84"/>
      <c r="O228" s="1048"/>
    </row>
    <row r="229" spans="1:15" s="1044" customFormat="1" ht="12.75" hidden="1" customHeight="1">
      <c r="A229" s="1121"/>
      <c r="B229" s="1824" t="s">
        <v>146</v>
      </c>
      <c r="C229" s="1751" t="s">
        <v>153</v>
      </c>
      <c r="D229" s="1760"/>
      <c r="E229" s="1088" t="s">
        <v>115</v>
      </c>
      <c r="F229" s="1118">
        <f>'[1]D M S'!$M229</f>
        <v>0</v>
      </c>
      <c r="G229" s="1047">
        <f>'[2]D M S'!$M229</f>
        <v>0</v>
      </c>
      <c r="H229" s="1090">
        <f>'[3]D M S'!$M229</f>
        <v>0</v>
      </c>
      <c r="I229" s="1090">
        <f>'[9]D M S'!$M229</f>
        <v>0</v>
      </c>
      <c r="J229" s="1106">
        <f>'[5]D M S'!$M229</f>
        <v>0</v>
      </c>
      <c r="K229" s="1106">
        <f>'[6]D M S'!$M229</f>
        <v>0</v>
      </c>
      <c r="L229" s="1106">
        <f>'[7]D M S'!$M229</f>
        <v>0</v>
      </c>
      <c r="M229" s="1091">
        <f t="shared" si="20"/>
        <v>0</v>
      </c>
      <c r="N229" s="84"/>
      <c r="O229" s="1048"/>
    </row>
    <row r="230" spans="1:15" s="1044" customFormat="1" ht="12.75" hidden="1" customHeight="1">
      <c r="A230" s="1121"/>
      <c r="B230" s="1824"/>
      <c r="C230" s="1751"/>
      <c r="D230" s="1751"/>
      <c r="E230" s="1088" t="s">
        <v>116</v>
      </c>
      <c r="F230" s="1118">
        <f>'[1]D M S'!$M230</f>
        <v>0</v>
      </c>
      <c r="G230" s="1047">
        <f>'[2]D M S'!$M230</f>
        <v>0</v>
      </c>
      <c r="H230" s="1090">
        <f>'[3]D M S'!$M230</f>
        <v>0</v>
      </c>
      <c r="I230" s="1090">
        <f>'[9]D M S'!$M230</f>
        <v>0</v>
      </c>
      <c r="J230" s="1106">
        <f>'[5]D M S'!$M230</f>
        <v>0</v>
      </c>
      <c r="K230" s="1106">
        <f>'[6]D M S'!$M230</f>
        <v>0</v>
      </c>
      <c r="L230" s="1106">
        <f>'[7]D M S'!$M230</f>
        <v>0</v>
      </c>
      <c r="M230" s="1091">
        <f t="shared" si="20"/>
        <v>0</v>
      </c>
      <c r="N230" s="84"/>
      <c r="O230" s="1048"/>
    </row>
    <row r="231" spans="1:15" s="1044" customFormat="1" ht="12.75" hidden="1" customHeight="1">
      <c r="A231" s="1121"/>
      <c r="B231" s="1824"/>
      <c r="C231" s="1751"/>
      <c r="D231" s="1751"/>
      <c r="E231" s="1088" t="s">
        <v>117</v>
      </c>
      <c r="F231" s="1118">
        <f>'[1]D M S'!$M231</f>
        <v>0</v>
      </c>
      <c r="G231" s="1047">
        <f>'[2]D M S'!$M231</f>
        <v>0</v>
      </c>
      <c r="H231" s="1090">
        <f>'[3]D M S'!$M231</f>
        <v>0</v>
      </c>
      <c r="I231" s="1090">
        <f>'[9]D M S'!$M231</f>
        <v>0</v>
      </c>
      <c r="J231" s="1106">
        <f>'[5]D M S'!$M231</f>
        <v>0</v>
      </c>
      <c r="K231" s="1106">
        <f>'[6]D M S'!$M231</f>
        <v>0</v>
      </c>
      <c r="L231" s="1106">
        <f>'[7]D M S'!$M231</f>
        <v>0</v>
      </c>
      <c r="M231" s="1091">
        <f t="shared" si="20"/>
        <v>0</v>
      </c>
      <c r="N231" s="84"/>
      <c r="O231" s="1048"/>
    </row>
    <row r="232" spans="1:15" s="1044" customFormat="1" ht="12.75" hidden="1" customHeight="1">
      <c r="A232" s="4">
        <v>5</v>
      </c>
      <c r="B232" s="1824" t="s">
        <v>146</v>
      </c>
      <c r="C232" s="1769" t="s">
        <v>154</v>
      </c>
      <c r="D232" s="1760" t="s">
        <v>140</v>
      </c>
      <c r="E232" s="1088" t="s">
        <v>115</v>
      </c>
      <c r="F232" s="1118">
        <f>'[1]D M S'!$M232</f>
        <v>0</v>
      </c>
      <c r="G232" s="1047">
        <f>'[2]D M S'!$M232</f>
        <v>0</v>
      </c>
      <c r="H232" s="1090">
        <f>'[3]D M S'!$M232</f>
        <v>0</v>
      </c>
      <c r="I232" s="1090">
        <f>'[9]D M S'!$M232</f>
        <v>0</v>
      </c>
      <c r="J232" s="1106">
        <f>'[5]D M S'!$M232</f>
        <v>0</v>
      </c>
      <c r="K232" s="1106">
        <f>'[6]D M S'!$M232</f>
        <v>0</v>
      </c>
      <c r="L232" s="1106">
        <f>'[7]D M S'!$M232</f>
        <v>0</v>
      </c>
      <c r="M232" s="1091">
        <f t="shared" si="20"/>
        <v>0</v>
      </c>
      <c r="N232" s="84"/>
      <c r="O232" s="1048"/>
    </row>
    <row r="233" spans="1:15" s="1044" customFormat="1" ht="12.75" hidden="1" customHeight="1">
      <c r="A233" s="4"/>
      <c r="B233" s="1824"/>
      <c r="C233" s="1769"/>
      <c r="D233" s="1769"/>
      <c r="E233" s="1088" t="s">
        <v>116</v>
      </c>
      <c r="F233" s="1118">
        <f>'[1]D M S'!$M233</f>
        <v>0</v>
      </c>
      <c r="G233" s="1047">
        <f>'[2]D M S'!$M233</f>
        <v>0</v>
      </c>
      <c r="H233" s="1090">
        <f>'[3]D M S'!$M233</f>
        <v>0</v>
      </c>
      <c r="I233" s="1090">
        <f>'[9]D M S'!$M233</f>
        <v>0</v>
      </c>
      <c r="J233" s="1106">
        <f>'[5]D M S'!$M233</f>
        <v>0</v>
      </c>
      <c r="K233" s="1106">
        <f>'[6]D M S'!$M233</f>
        <v>0</v>
      </c>
      <c r="L233" s="1106">
        <f>'[7]D M S'!$M233</f>
        <v>0</v>
      </c>
      <c r="M233" s="1091">
        <f t="shared" si="20"/>
        <v>0</v>
      </c>
      <c r="N233" s="84"/>
      <c r="O233" s="1048"/>
    </row>
    <row r="234" spans="1:15" s="1044" customFormat="1" ht="12.75" hidden="1" customHeight="1">
      <c r="A234" s="4"/>
      <c r="B234" s="1824"/>
      <c r="C234" s="1769"/>
      <c r="D234" s="1769"/>
      <c r="E234" s="1088" t="s">
        <v>117</v>
      </c>
      <c r="F234" s="1118">
        <f>'[1]D M S'!$M234</f>
        <v>0</v>
      </c>
      <c r="G234" s="1047">
        <f>'[2]D M S'!$M234</f>
        <v>0</v>
      </c>
      <c r="H234" s="1090">
        <f>'[3]D M S'!$M234</f>
        <v>0</v>
      </c>
      <c r="I234" s="1090">
        <f>'[9]D M S'!$M234</f>
        <v>0</v>
      </c>
      <c r="J234" s="1106">
        <f>'[5]D M S'!$M234</f>
        <v>0</v>
      </c>
      <c r="K234" s="1106">
        <f>'[6]D M S'!$M234</f>
        <v>0</v>
      </c>
      <c r="L234" s="1106">
        <f>'[7]D M S'!$M234</f>
        <v>0</v>
      </c>
      <c r="M234" s="1091">
        <f t="shared" si="20"/>
        <v>0</v>
      </c>
      <c r="N234" s="84"/>
      <c r="O234" s="1048"/>
    </row>
    <row r="235" spans="1:15" s="1044" customFormat="1" ht="12.75" hidden="1" customHeight="1">
      <c r="A235" s="4">
        <v>6</v>
      </c>
      <c r="B235" s="1824" t="s">
        <v>146</v>
      </c>
      <c r="C235" s="1751" t="s">
        <v>155</v>
      </c>
      <c r="D235" s="1760" t="s">
        <v>145</v>
      </c>
      <c r="E235" s="1088" t="s">
        <v>115</v>
      </c>
      <c r="F235" s="1118">
        <f>'[1]D M S'!$M235</f>
        <v>0</v>
      </c>
      <c r="G235" s="1047">
        <f>'[2]D M S'!$M235</f>
        <v>0</v>
      </c>
      <c r="H235" s="1090">
        <f>'[3]D M S'!$M235</f>
        <v>0</v>
      </c>
      <c r="I235" s="1090">
        <f>'[9]D M S'!$M235</f>
        <v>0</v>
      </c>
      <c r="J235" s="1106">
        <f>'[5]D M S'!$M235</f>
        <v>0</v>
      </c>
      <c r="K235" s="1106">
        <f>'[6]D M S'!$M235</f>
        <v>0</v>
      </c>
      <c r="L235" s="1106">
        <f>'[7]D M S'!$M235</f>
        <v>0</v>
      </c>
      <c r="M235" s="1091">
        <f t="shared" si="20"/>
        <v>0</v>
      </c>
      <c r="N235" s="84"/>
      <c r="O235" s="1048"/>
    </row>
    <row r="236" spans="1:15" s="1044" customFormat="1" ht="12.75" hidden="1" customHeight="1">
      <c r="A236" s="4"/>
      <c r="B236" s="1824"/>
      <c r="C236" s="1751"/>
      <c r="D236" s="1751"/>
      <c r="E236" s="1088" t="s">
        <v>116</v>
      </c>
      <c r="F236" s="1118">
        <f>'[1]D M S'!$M236</f>
        <v>0</v>
      </c>
      <c r="G236" s="1047">
        <f>'[2]D M S'!$M236</f>
        <v>0</v>
      </c>
      <c r="H236" s="1090">
        <f>'[3]D M S'!$M236</f>
        <v>0</v>
      </c>
      <c r="I236" s="1090">
        <f>'[9]D M S'!$M236</f>
        <v>0</v>
      </c>
      <c r="J236" s="1106">
        <f>'[5]D M S'!$M236</f>
        <v>0</v>
      </c>
      <c r="K236" s="1106">
        <f>'[6]D M S'!$M236</f>
        <v>0</v>
      </c>
      <c r="L236" s="1106">
        <f>'[7]D M S'!$M236</f>
        <v>0</v>
      </c>
      <c r="M236" s="1091">
        <f t="shared" si="20"/>
        <v>0</v>
      </c>
      <c r="N236" s="84"/>
      <c r="O236" s="1048"/>
    </row>
    <row r="237" spans="1:15" s="1044" customFormat="1" ht="12.75" hidden="1" customHeight="1">
      <c r="A237" s="4"/>
      <c r="B237" s="1824"/>
      <c r="C237" s="1751"/>
      <c r="D237" s="1751"/>
      <c r="E237" s="1088" t="s">
        <v>117</v>
      </c>
      <c r="F237" s="1118">
        <f>'[1]D M S'!$M237</f>
        <v>0</v>
      </c>
      <c r="G237" s="1047">
        <f>'[2]D M S'!$M237</f>
        <v>0</v>
      </c>
      <c r="H237" s="1090">
        <f>'[3]D M S'!$M237</f>
        <v>0</v>
      </c>
      <c r="I237" s="1090">
        <f>'[9]D M S'!$M237</f>
        <v>0</v>
      </c>
      <c r="J237" s="1106">
        <f>'[5]D M S'!$M237</f>
        <v>0</v>
      </c>
      <c r="K237" s="1106">
        <f>'[6]D M S'!$M237</f>
        <v>0</v>
      </c>
      <c r="L237" s="1106">
        <f>'[7]D M S'!$M237</f>
        <v>0</v>
      </c>
      <c r="M237" s="1091">
        <f t="shared" si="20"/>
        <v>0</v>
      </c>
      <c r="N237" s="84"/>
      <c r="O237" s="1048"/>
    </row>
    <row r="238" spans="1:15" s="1046" customFormat="1" ht="41.1" customHeight="1">
      <c r="A238" s="1790" t="s">
        <v>156</v>
      </c>
      <c r="B238" s="1790"/>
      <c r="C238" s="1790"/>
      <c r="D238" s="1790"/>
      <c r="E238" s="1790"/>
      <c r="F238" s="1118">
        <f>'[1]D M S'!$M238</f>
        <v>0</v>
      </c>
      <c r="G238" s="1047">
        <f>'[2]D M S'!$M238</f>
        <v>0</v>
      </c>
      <c r="H238" s="1090">
        <f>'[3]D M S'!$M238</f>
        <v>0</v>
      </c>
      <c r="I238" s="1106">
        <f>'[4]D M S'!$M238</f>
        <v>0</v>
      </c>
      <c r="J238" s="1106">
        <f>'[5]D M S'!$M238</f>
        <v>0</v>
      </c>
      <c r="K238" s="1106">
        <f>'[6]D M S'!$M238</f>
        <v>0</v>
      </c>
      <c r="L238" s="1106">
        <f>'[7]D M S'!$M238</f>
        <v>0</v>
      </c>
      <c r="M238" s="1091">
        <f t="shared" si="20"/>
        <v>0</v>
      </c>
      <c r="N238" s="84"/>
      <c r="O238" s="1048"/>
    </row>
    <row r="239" spans="1:15" s="1044" customFormat="1" ht="41.1" customHeight="1">
      <c r="A239" s="1825">
        <v>1</v>
      </c>
      <c r="B239" s="1826" t="s">
        <v>157</v>
      </c>
      <c r="C239" s="1751" t="s">
        <v>697</v>
      </c>
      <c r="D239" s="1751" t="s">
        <v>158</v>
      </c>
      <c r="E239" s="1088" t="s">
        <v>115</v>
      </c>
      <c r="F239" s="1118">
        <f>'[8]D M S'!$M239</f>
        <v>10</v>
      </c>
      <c r="G239" s="1047">
        <f>'[2]D M S'!$M239</f>
        <v>10</v>
      </c>
      <c r="H239" s="1090">
        <f>'[3]D M S'!$M239</f>
        <v>10</v>
      </c>
      <c r="I239" s="1090">
        <f>'[9]D M S'!$M239</f>
        <v>10</v>
      </c>
      <c r="J239" s="1106">
        <f>'[5]D M S'!$M239</f>
        <v>10</v>
      </c>
      <c r="K239" s="1106">
        <f>'[6]D M S'!$M239</f>
        <v>10</v>
      </c>
      <c r="L239" s="1106">
        <f>'[7]D M S'!$M239</f>
        <v>10</v>
      </c>
      <c r="M239" s="1091">
        <f t="shared" si="20"/>
        <v>70</v>
      </c>
      <c r="N239" s="84"/>
      <c r="O239" s="1048"/>
    </row>
    <row r="240" spans="1:15" s="1044" customFormat="1" ht="40.5" customHeight="1">
      <c r="A240" s="1825"/>
      <c r="B240" s="1826"/>
      <c r="C240" s="1752"/>
      <c r="D240" s="1751"/>
      <c r="E240" s="1088" t="s">
        <v>116</v>
      </c>
      <c r="F240" s="1118">
        <f>'[1]D M S'!$M240</f>
        <v>0</v>
      </c>
      <c r="G240" s="1047">
        <f>'[2]D M S'!$M240</f>
        <v>0</v>
      </c>
      <c r="H240" s="1090">
        <f>'[3]D M S'!$M240</f>
        <v>0</v>
      </c>
      <c r="I240" s="1106">
        <f>'[4]D M S'!$M240</f>
        <v>0</v>
      </c>
      <c r="J240" s="1106">
        <f>'[5]D M S'!$M240</f>
        <v>0</v>
      </c>
      <c r="K240" s="1106">
        <f>'[6]D M S'!$M240</f>
        <v>0</v>
      </c>
      <c r="L240" s="1106">
        <f>'[7]D M S'!$M240</f>
        <v>0</v>
      </c>
      <c r="M240" s="1091">
        <f t="shared" si="20"/>
        <v>0</v>
      </c>
      <c r="N240" s="84"/>
      <c r="O240" s="1048"/>
    </row>
    <row r="241" spans="1:15" s="1044" customFormat="1" ht="41.1" customHeight="1">
      <c r="A241" s="1825"/>
      <c r="B241" s="1826"/>
      <c r="C241" s="1753"/>
      <c r="D241" s="1751"/>
      <c r="E241" s="1088" t="s">
        <v>117</v>
      </c>
      <c r="F241" s="1118">
        <f>'[1]D M S'!$M241</f>
        <v>0</v>
      </c>
      <c r="G241" s="1047">
        <f>'[2]D M S'!$M241</f>
        <v>0</v>
      </c>
      <c r="H241" s="1090">
        <f>'[3]D M S'!$M241</f>
        <v>0</v>
      </c>
      <c r="I241" s="1106">
        <f>'[4]D M S'!$M241</f>
        <v>0</v>
      </c>
      <c r="J241" s="1106">
        <f>'[5]D M S'!$M241</f>
        <v>0</v>
      </c>
      <c r="K241" s="1106">
        <f>'[6]D M S'!$M241</f>
        <v>0</v>
      </c>
      <c r="L241" s="1106">
        <f>'[7]D M S'!$M241</f>
        <v>0</v>
      </c>
      <c r="M241" s="1091">
        <f t="shared" si="20"/>
        <v>0</v>
      </c>
      <c r="N241" s="84"/>
      <c r="O241" s="1048"/>
    </row>
    <row r="242" spans="1:15" s="1044" customFormat="1" ht="12.75" hidden="1" customHeight="1">
      <c r="A242" s="1825">
        <v>2</v>
      </c>
      <c r="B242" s="1827" t="s">
        <v>157</v>
      </c>
      <c r="C242" s="1743">
        <v>51323</v>
      </c>
      <c r="D242" s="1751" t="s">
        <v>158</v>
      </c>
      <c r="E242" s="1088" t="s">
        <v>115</v>
      </c>
      <c r="F242" s="1118">
        <f>'[1]D M S'!$M242</f>
        <v>0</v>
      </c>
      <c r="G242" s="1047">
        <f>'[2]D M S'!$M242</f>
        <v>0</v>
      </c>
      <c r="H242" s="1090">
        <f>'[3]D M S'!$M242</f>
        <v>0</v>
      </c>
      <c r="I242" s="1106">
        <f>'[4]D M S'!$M242</f>
        <v>0</v>
      </c>
      <c r="J242" s="1106">
        <f>'[5]D M S'!$M242</f>
        <v>0</v>
      </c>
      <c r="K242" s="1106">
        <f>'[6]D M S'!$M242</f>
        <v>0</v>
      </c>
      <c r="L242" s="1106">
        <f>'[7]D M S'!$M242</f>
        <v>0</v>
      </c>
      <c r="M242" s="1091">
        <f t="shared" si="20"/>
        <v>0</v>
      </c>
      <c r="N242" s="84"/>
      <c r="O242" s="1048"/>
    </row>
    <row r="243" spans="1:15" s="1044" customFormat="1" ht="12.75" hidden="1" customHeight="1">
      <c r="A243" s="1825"/>
      <c r="B243" s="1827"/>
      <c r="C243" s="1743"/>
      <c r="D243" s="1751"/>
      <c r="E243" s="1088" t="s">
        <v>116</v>
      </c>
      <c r="F243" s="1118">
        <f>'[1]D M S'!$M243</f>
        <v>0</v>
      </c>
      <c r="G243" s="1047">
        <f>'[2]D M S'!$M243</f>
        <v>0</v>
      </c>
      <c r="H243" s="1090">
        <f>'[3]D M S'!$M243</f>
        <v>0</v>
      </c>
      <c r="I243" s="1106">
        <f>'[4]D M S'!$M243</f>
        <v>0</v>
      </c>
      <c r="J243" s="1106">
        <f>'[5]D M S'!$M243</f>
        <v>0</v>
      </c>
      <c r="K243" s="1106">
        <f>'[6]D M S'!$M243</f>
        <v>0</v>
      </c>
      <c r="L243" s="1106">
        <f>'[7]D M S'!$M243</f>
        <v>0</v>
      </c>
      <c r="M243" s="1091">
        <f t="shared" si="20"/>
        <v>0</v>
      </c>
      <c r="N243" s="84"/>
      <c r="O243" s="1048"/>
    </row>
    <row r="244" spans="1:15" s="1044" customFormat="1" ht="37.5" hidden="1" customHeight="1">
      <c r="A244" s="1825"/>
      <c r="B244" s="1827"/>
      <c r="C244" s="1743"/>
      <c r="D244" s="1751"/>
      <c r="E244" s="1088" t="s">
        <v>117</v>
      </c>
      <c r="F244" s="1118">
        <f>'[1]D M S'!$M244</f>
        <v>0</v>
      </c>
      <c r="G244" s="1047">
        <f>'[2]D M S'!$M244</f>
        <v>0</v>
      </c>
      <c r="H244" s="1090">
        <f>'[3]D M S'!$M244</f>
        <v>0</v>
      </c>
      <c r="I244" s="1106">
        <f>'[4]D M S'!$M244</f>
        <v>0</v>
      </c>
      <c r="J244" s="1106">
        <f>'[5]D M S'!$M244</f>
        <v>0</v>
      </c>
      <c r="K244" s="1106">
        <f>'[6]D M S'!$M244</f>
        <v>0</v>
      </c>
      <c r="L244" s="1106">
        <f>'[7]D M S'!$M244</f>
        <v>0</v>
      </c>
      <c r="M244" s="1091">
        <f t="shared" si="20"/>
        <v>0</v>
      </c>
      <c r="N244" s="84"/>
      <c r="O244" s="1048"/>
    </row>
    <row r="245" spans="1:15" s="1044" customFormat="1" ht="12.75" hidden="1" customHeight="1">
      <c r="A245" s="1825">
        <v>3</v>
      </c>
      <c r="B245" s="1827" t="s">
        <v>157</v>
      </c>
      <c r="C245" s="1743"/>
      <c r="D245" s="1751" t="s">
        <v>158</v>
      </c>
      <c r="E245" s="1088" t="s">
        <v>115</v>
      </c>
      <c r="F245" s="1118">
        <f>'[1]D M S'!$M245</f>
        <v>0</v>
      </c>
      <c r="G245" s="1047">
        <f>'[2]D M S'!$M245</f>
        <v>0</v>
      </c>
      <c r="H245" s="1090">
        <f>'[3]D M S'!$M245</f>
        <v>0</v>
      </c>
      <c r="I245" s="1106">
        <f>'[4]D M S'!$M245</f>
        <v>0</v>
      </c>
      <c r="J245" s="1106">
        <f>'[5]D M S'!$M245</f>
        <v>0</v>
      </c>
      <c r="K245" s="1106">
        <f>'[6]D M S'!$M245</f>
        <v>0</v>
      </c>
      <c r="L245" s="1106">
        <f>'[7]D M S'!$M245</f>
        <v>0</v>
      </c>
      <c r="M245" s="1091">
        <f t="shared" si="20"/>
        <v>0</v>
      </c>
      <c r="N245" s="84"/>
      <c r="O245" s="1048"/>
    </row>
    <row r="246" spans="1:15" s="1044" customFormat="1" ht="12.75" hidden="1" customHeight="1">
      <c r="A246" s="1825"/>
      <c r="B246" s="1827"/>
      <c r="C246" s="1743"/>
      <c r="D246" s="1751"/>
      <c r="E246" s="1088" t="s">
        <v>116</v>
      </c>
      <c r="F246" s="1118">
        <f>'[1]D M S'!$M246</f>
        <v>0</v>
      </c>
      <c r="G246" s="1047">
        <f>'[2]D M S'!$M246</f>
        <v>0</v>
      </c>
      <c r="H246" s="1090">
        <f>'[3]D M S'!$M246</f>
        <v>0</v>
      </c>
      <c r="I246" s="1106">
        <f>'[4]D M S'!$M246</f>
        <v>0</v>
      </c>
      <c r="J246" s="1106">
        <f>'[5]D M S'!$M246</f>
        <v>0</v>
      </c>
      <c r="K246" s="1106">
        <f>'[6]D M S'!$M246</f>
        <v>0</v>
      </c>
      <c r="L246" s="1106">
        <f>'[7]D M S'!$M246</f>
        <v>0</v>
      </c>
      <c r="M246" s="1091">
        <f t="shared" si="20"/>
        <v>0</v>
      </c>
      <c r="N246" s="84"/>
      <c r="O246" s="1048"/>
    </row>
    <row r="247" spans="1:15" s="1044" customFormat="1" ht="12.75" hidden="1" customHeight="1">
      <c r="A247" s="1825"/>
      <c r="B247" s="1827"/>
      <c r="C247" s="1743"/>
      <c r="D247" s="1751"/>
      <c r="E247" s="1088" t="s">
        <v>117</v>
      </c>
      <c r="F247" s="1118">
        <f>'[1]D M S'!$M247</f>
        <v>0</v>
      </c>
      <c r="G247" s="1047">
        <f>'[2]D M S'!$M247</f>
        <v>0</v>
      </c>
      <c r="H247" s="1090">
        <f>'[3]D M S'!$M247</f>
        <v>0</v>
      </c>
      <c r="I247" s="1106">
        <f>'[4]D M S'!$M247</f>
        <v>0</v>
      </c>
      <c r="J247" s="1106">
        <f>'[5]D M S'!$M247</f>
        <v>0</v>
      </c>
      <c r="K247" s="1106">
        <f>'[6]D M S'!$M247</f>
        <v>0</v>
      </c>
      <c r="L247" s="1106">
        <f>'[7]D M S'!$M247</f>
        <v>0</v>
      </c>
      <c r="M247" s="1091">
        <f t="shared" si="20"/>
        <v>0</v>
      </c>
      <c r="N247" s="84"/>
      <c r="O247" s="1048"/>
    </row>
    <row r="248" spans="1:15" s="1044" customFormat="1" ht="41.1" hidden="1" customHeight="1">
      <c r="A248" s="1825">
        <v>2</v>
      </c>
      <c r="B248" s="1827" t="s">
        <v>157</v>
      </c>
      <c r="C248" s="1743">
        <v>42921</v>
      </c>
      <c r="D248" s="1751" t="s">
        <v>158</v>
      </c>
      <c r="E248" s="1088" t="s">
        <v>115</v>
      </c>
      <c r="F248" s="1118">
        <f>'[1]D M S'!$M248</f>
        <v>0</v>
      </c>
      <c r="G248" s="1047">
        <f>'[2]D M S'!$M248</f>
        <v>0</v>
      </c>
      <c r="H248" s="1090">
        <f>'[3]D M S'!$M248</f>
        <v>0</v>
      </c>
      <c r="I248" s="1106">
        <f>'[4]D M S'!$M248</f>
        <v>0</v>
      </c>
      <c r="J248" s="1106"/>
      <c r="K248" s="1106">
        <f>'[6]D M S'!$M248</f>
        <v>0</v>
      </c>
      <c r="L248" s="1106">
        <f>'[7]D M S'!$M248</f>
        <v>0</v>
      </c>
      <c r="M248" s="1091">
        <f t="shared" si="20"/>
        <v>0</v>
      </c>
      <c r="N248" s="84"/>
      <c r="O248" s="1048"/>
    </row>
    <row r="249" spans="1:15" s="1044" customFormat="1" ht="40.5" hidden="1" customHeight="1">
      <c r="A249" s="1825"/>
      <c r="B249" s="1827"/>
      <c r="C249" s="1743"/>
      <c r="D249" s="1751"/>
      <c r="E249" s="1088" t="s">
        <v>116</v>
      </c>
      <c r="F249" s="1118">
        <f>'[1]D M S'!$M249</f>
        <v>0</v>
      </c>
      <c r="G249" s="1047">
        <f>'[2]D M S'!$M249</f>
        <v>0</v>
      </c>
      <c r="H249" s="1090">
        <f>'[3]D M S'!$M249</f>
        <v>0</v>
      </c>
      <c r="I249" s="1106">
        <f>'[4]D M S'!$M249</f>
        <v>0</v>
      </c>
      <c r="J249" s="1106">
        <f>'[5]D M S'!$M249</f>
        <v>0</v>
      </c>
      <c r="K249" s="1106">
        <f>'[6]D M S'!$M249</f>
        <v>0</v>
      </c>
      <c r="L249" s="1106">
        <f>'[7]D M S'!$M249</f>
        <v>0</v>
      </c>
      <c r="M249" s="1091">
        <f t="shared" si="20"/>
        <v>0</v>
      </c>
      <c r="N249" s="84"/>
      <c r="O249" s="1048"/>
    </row>
    <row r="250" spans="1:15" s="1044" customFormat="1" ht="41.1" hidden="1" customHeight="1">
      <c r="A250" s="1825"/>
      <c r="B250" s="1827"/>
      <c r="C250" s="1743"/>
      <c r="D250" s="1751"/>
      <c r="E250" s="1088" t="s">
        <v>117</v>
      </c>
      <c r="F250" s="1118">
        <f>'[1]D M S'!$M250</f>
        <v>0</v>
      </c>
      <c r="G250" s="1047">
        <f>'[2]D M S'!$M250</f>
        <v>0</v>
      </c>
      <c r="H250" s="1090">
        <f>'[3]D M S'!$M250</f>
        <v>0</v>
      </c>
      <c r="I250" s="1106">
        <f>'[4]D M S'!$M250</f>
        <v>0</v>
      </c>
      <c r="J250" s="1106">
        <f>'[5]D M S'!$M250</f>
        <v>0</v>
      </c>
      <c r="K250" s="1106">
        <f>'[6]D M S'!$M250</f>
        <v>0</v>
      </c>
      <c r="L250" s="1106">
        <f>'[7]D M S'!$M250</f>
        <v>0</v>
      </c>
      <c r="M250" s="1091">
        <f t="shared" si="20"/>
        <v>0</v>
      </c>
      <c r="N250" s="84"/>
      <c r="O250" s="1048"/>
    </row>
    <row r="251" spans="1:15" s="1044" customFormat="1" ht="41.1" hidden="1" customHeight="1">
      <c r="A251" s="1825">
        <v>3</v>
      </c>
      <c r="B251" s="1827" t="s">
        <v>157</v>
      </c>
      <c r="C251" s="1769">
        <v>46766</v>
      </c>
      <c r="D251" s="1751" t="s">
        <v>158</v>
      </c>
      <c r="E251" s="1088" t="s">
        <v>115</v>
      </c>
      <c r="F251" s="1118">
        <f>'[1]D M S'!$M251</f>
        <v>0</v>
      </c>
      <c r="G251" s="1047">
        <f>'[2]D M S'!$M251</f>
        <v>0</v>
      </c>
      <c r="H251" s="1090">
        <f>'[3]D M S'!$M251</f>
        <v>0</v>
      </c>
      <c r="I251" s="1106">
        <f>'[4]D M S'!$M251</f>
        <v>0</v>
      </c>
      <c r="J251" s="1106">
        <f>'[5]D M S'!$M251</f>
        <v>0</v>
      </c>
      <c r="K251" s="1106">
        <f>'[6]D M S'!$M251</f>
        <v>0</v>
      </c>
      <c r="L251" s="1106">
        <f>'[7]D M S'!$M251</f>
        <v>0</v>
      </c>
      <c r="M251" s="1091">
        <f t="shared" si="20"/>
        <v>0</v>
      </c>
      <c r="N251" s="84"/>
      <c r="O251" s="1048"/>
    </row>
    <row r="252" spans="1:15" s="1044" customFormat="1" ht="40.5" hidden="1" customHeight="1">
      <c r="A252" s="1825"/>
      <c r="B252" s="1827"/>
      <c r="C252" s="1769"/>
      <c r="D252" s="1751"/>
      <c r="E252" s="1088" t="s">
        <v>116</v>
      </c>
      <c r="F252" s="1118">
        <f>'[1]D M S'!$M252</f>
        <v>0</v>
      </c>
      <c r="G252" s="1047">
        <f>'[2]D M S'!$M252</f>
        <v>0</v>
      </c>
      <c r="H252" s="1090">
        <f>'[3]D M S'!$M252</f>
        <v>0</v>
      </c>
      <c r="I252" s="1106">
        <f>'[4]D M S'!$M252</f>
        <v>0</v>
      </c>
      <c r="J252" s="1106">
        <f>'[5]D M S'!$M252</f>
        <v>0</v>
      </c>
      <c r="K252" s="1106">
        <f>'[6]D M S'!$M252</f>
        <v>0</v>
      </c>
      <c r="L252" s="1106">
        <f>'[7]D M S'!$M252</f>
        <v>0</v>
      </c>
      <c r="M252" s="1091">
        <f t="shared" si="20"/>
        <v>0</v>
      </c>
      <c r="N252" s="84"/>
      <c r="O252" s="1048"/>
    </row>
    <row r="253" spans="1:15" s="1044" customFormat="1" ht="41.1" hidden="1" customHeight="1">
      <c r="A253" s="1825"/>
      <c r="B253" s="1827"/>
      <c r="C253" s="1769"/>
      <c r="D253" s="1751"/>
      <c r="E253" s="1088" t="s">
        <v>117</v>
      </c>
      <c r="F253" s="1118">
        <f>'[1]D M S'!$M253</f>
        <v>0</v>
      </c>
      <c r="G253" s="1047">
        <f>'[2]D M S'!$M253</f>
        <v>0</v>
      </c>
      <c r="H253" s="1090">
        <f>'[3]D M S'!$M253</f>
        <v>0</v>
      </c>
      <c r="I253" s="1106">
        <f>'[4]D M S'!$M253</f>
        <v>0</v>
      </c>
      <c r="J253" s="1106">
        <f>'[5]D M S'!$M253</f>
        <v>0</v>
      </c>
      <c r="K253" s="1106">
        <f>'[6]D M S'!$M253</f>
        <v>0</v>
      </c>
      <c r="L253" s="1106">
        <f>'[7]D M S'!$M253</f>
        <v>0</v>
      </c>
      <c r="M253" s="1091">
        <f t="shared" si="20"/>
        <v>0</v>
      </c>
      <c r="N253" s="84"/>
      <c r="O253" s="1048"/>
    </row>
    <row r="254" spans="1:15" s="1044" customFormat="1" ht="12.75" hidden="1" customHeight="1">
      <c r="A254" s="1825">
        <v>5</v>
      </c>
      <c r="B254" s="1827" t="s">
        <v>157</v>
      </c>
      <c r="C254" s="1769" t="s">
        <v>159</v>
      </c>
      <c r="D254" s="1751" t="s">
        <v>160</v>
      </c>
      <c r="E254" s="1088" t="s">
        <v>115</v>
      </c>
      <c r="F254" s="1118">
        <f>'[1]D M S'!$M254</f>
        <v>0</v>
      </c>
      <c r="G254" s="1047">
        <f>'[2]D M S'!$M254</f>
        <v>0</v>
      </c>
      <c r="H254" s="1090">
        <f>'[3]D M S'!$M254</f>
        <v>0</v>
      </c>
      <c r="I254" s="1106">
        <f>'[4]D M S'!$M254</f>
        <v>0</v>
      </c>
      <c r="J254" s="1106">
        <f>'[5]D M S'!$M254</f>
        <v>0</v>
      </c>
      <c r="K254" s="1106">
        <f>'[6]D M S'!$M254</f>
        <v>0</v>
      </c>
      <c r="L254" s="1106">
        <f>'[7]D M S'!$M254</f>
        <v>0</v>
      </c>
      <c r="M254" s="1091">
        <f t="shared" si="20"/>
        <v>0</v>
      </c>
      <c r="N254" s="84"/>
      <c r="O254" s="1048"/>
    </row>
    <row r="255" spans="1:15" s="1044" customFormat="1" ht="12.75" hidden="1" customHeight="1">
      <c r="A255" s="1825"/>
      <c r="B255" s="1827"/>
      <c r="C255" s="1769"/>
      <c r="D255" s="1751"/>
      <c r="E255" s="1088" t="s">
        <v>116</v>
      </c>
      <c r="F255" s="1118">
        <f>'[1]D M S'!$M255</f>
        <v>0</v>
      </c>
      <c r="G255" s="1047">
        <f>'[2]D M S'!$M255</f>
        <v>0</v>
      </c>
      <c r="H255" s="1090">
        <f>'[3]D M S'!$M255</f>
        <v>0</v>
      </c>
      <c r="I255" s="1106">
        <f>'[4]D M S'!$M255</f>
        <v>0</v>
      </c>
      <c r="J255" s="1106">
        <f>'[5]D M S'!$M255</f>
        <v>0</v>
      </c>
      <c r="K255" s="1106">
        <f>'[6]D M S'!$M255</f>
        <v>0</v>
      </c>
      <c r="L255" s="1106">
        <f>'[7]D M S'!$M255</f>
        <v>0</v>
      </c>
      <c r="M255" s="1091">
        <f t="shared" si="20"/>
        <v>0</v>
      </c>
      <c r="N255" s="84"/>
      <c r="O255" s="1048"/>
    </row>
    <row r="256" spans="1:15" s="1044" customFormat="1" ht="12.75" hidden="1" customHeight="1">
      <c r="A256" s="1825"/>
      <c r="B256" s="1827"/>
      <c r="C256" s="1769"/>
      <c r="D256" s="1751"/>
      <c r="E256" s="1114" t="s">
        <v>117</v>
      </c>
      <c r="F256" s="1118">
        <f>'[1]D M S'!$M256</f>
        <v>0</v>
      </c>
      <c r="G256" s="1047">
        <f>'[2]D M S'!$M256</f>
        <v>0</v>
      </c>
      <c r="H256" s="1090">
        <f>'[3]D M S'!$M256</f>
        <v>0</v>
      </c>
      <c r="I256" s="1106">
        <f>'[4]D M S'!$M256</f>
        <v>0</v>
      </c>
      <c r="J256" s="1106">
        <f>'[5]D M S'!$M256</f>
        <v>0</v>
      </c>
      <c r="K256" s="1106">
        <f>'[6]D M S'!$M256</f>
        <v>0</v>
      </c>
      <c r="L256" s="1106">
        <f>'[7]D M S'!$M256</f>
        <v>0</v>
      </c>
      <c r="M256" s="1091">
        <f t="shared" si="20"/>
        <v>0</v>
      </c>
      <c r="N256" s="84"/>
      <c r="O256" s="1048"/>
    </row>
    <row r="257" spans="1:15" s="1044" customFormat="1" ht="41.1" hidden="1" customHeight="1">
      <c r="A257" s="1741">
        <v>4</v>
      </c>
      <c r="B257" s="1827" t="s">
        <v>157</v>
      </c>
      <c r="C257" s="1769">
        <v>46767</v>
      </c>
      <c r="D257" s="1751" t="s">
        <v>158</v>
      </c>
      <c r="E257" s="1088" t="s">
        <v>115</v>
      </c>
      <c r="F257" s="1118">
        <f>'[1]D M S'!$M257</f>
        <v>0</v>
      </c>
      <c r="G257" s="1047">
        <f>'[2]D M S'!$M257</f>
        <v>0</v>
      </c>
      <c r="H257" s="1090">
        <f>'[3]D M S'!$M257</f>
        <v>0</v>
      </c>
      <c r="I257" s="1106">
        <f>'[4]D M S'!$M257</f>
        <v>0</v>
      </c>
      <c r="J257" s="1106">
        <f>'[5]D M S'!$M257</f>
        <v>0</v>
      </c>
      <c r="K257" s="1106">
        <f>'[6]D M S'!$M257</f>
        <v>0</v>
      </c>
      <c r="L257" s="1106">
        <f>'[7]D M S'!$M257</f>
        <v>0</v>
      </c>
      <c r="M257" s="1091">
        <f t="shared" si="20"/>
        <v>0</v>
      </c>
      <c r="N257" s="84"/>
      <c r="O257" s="1048"/>
    </row>
    <row r="258" spans="1:15" s="1044" customFormat="1" ht="41.1" hidden="1" customHeight="1">
      <c r="A258" s="1741"/>
      <c r="B258" s="1827"/>
      <c r="C258" s="1769"/>
      <c r="D258" s="1751"/>
      <c r="E258" s="1088" t="s">
        <v>116</v>
      </c>
      <c r="F258" s="1118">
        <f>'[1]D M S'!$M258</f>
        <v>0</v>
      </c>
      <c r="G258" s="1047">
        <f>'[2]D M S'!$M258</f>
        <v>0</v>
      </c>
      <c r="H258" s="1090">
        <f>'[3]D M S'!$M258</f>
        <v>0</v>
      </c>
      <c r="I258" s="1106">
        <f>'[4]D M S'!$M258</f>
        <v>0</v>
      </c>
      <c r="J258" s="1106">
        <f>'[5]D M S'!$M258</f>
        <v>0</v>
      </c>
      <c r="K258" s="1106">
        <f>'[6]D M S'!$M258</f>
        <v>0</v>
      </c>
      <c r="L258" s="1106">
        <f>'[7]D M S'!$M258</f>
        <v>0</v>
      </c>
      <c r="M258" s="1091">
        <f t="shared" si="20"/>
        <v>0</v>
      </c>
      <c r="N258" s="84"/>
      <c r="O258" s="1048"/>
    </row>
    <row r="259" spans="1:15" s="1044" customFormat="1" ht="41.1" hidden="1" customHeight="1">
      <c r="A259" s="1741"/>
      <c r="B259" s="1827"/>
      <c r="C259" s="1769"/>
      <c r="D259" s="1751"/>
      <c r="E259" s="1088" t="s">
        <v>117</v>
      </c>
      <c r="F259" s="1118">
        <f>'[1]D M S'!$M259</f>
        <v>0</v>
      </c>
      <c r="G259" s="1047">
        <f>'[2]D M S'!$M259</f>
        <v>0</v>
      </c>
      <c r="H259" s="1090">
        <f>'[3]D M S'!$M259</f>
        <v>0</v>
      </c>
      <c r="I259" s="1106">
        <f>'[4]D M S'!$M259</f>
        <v>0</v>
      </c>
      <c r="J259" s="1106">
        <f>'[5]D M S'!$M259</f>
        <v>0</v>
      </c>
      <c r="K259" s="1106">
        <f>'[6]D M S'!$M259</f>
        <v>0</v>
      </c>
      <c r="L259" s="1106">
        <f>'[7]D M S'!$M259</f>
        <v>0</v>
      </c>
      <c r="M259" s="1091">
        <f t="shared" si="20"/>
        <v>0</v>
      </c>
      <c r="N259" s="84"/>
      <c r="O259" s="1048"/>
    </row>
    <row r="260" spans="1:15" s="1044" customFormat="1" ht="41.1" hidden="1" customHeight="1">
      <c r="A260" s="1741">
        <v>5</v>
      </c>
      <c r="B260" s="1827" t="s">
        <v>157</v>
      </c>
      <c r="C260" s="1769">
        <v>46799</v>
      </c>
      <c r="D260" s="1751" t="s">
        <v>161</v>
      </c>
      <c r="E260" s="1088" t="s">
        <v>115</v>
      </c>
      <c r="F260" s="1118">
        <f>'[1]D M S'!$M260</f>
        <v>0</v>
      </c>
      <c r="G260" s="1047">
        <f>'[2]D M S'!$M260</f>
        <v>0</v>
      </c>
      <c r="H260" s="1090">
        <f>'[3]D M S'!$M260</f>
        <v>0</v>
      </c>
      <c r="I260" s="1106">
        <f>'[4]D M S'!$M260</f>
        <v>0</v>
      </c>
      <c r="J260" s="1106">
        <f>'[5]D M S'!$M260</f>
        <v>0</v>
      </c>
      <c r="K260" s="1106">
        <f>'[6]D M S'!$M260</f>
        <v>0</v>
      </c>
      <c r="L260" s="1106">
        <f>'[7]D M S'!$M260</f>
        <v>0</v>
      </c>
      <c r="M260" s="1091">
        <f t="shared" si="20"/>
        <v>0</v>
      </c>
      <c r="N260" s="84"/>
      <c r="O260" s="1048"/>
    </row>
    <row r="261" spans="1:15" s="1044" customFormat="1" ht="41.1" hidden="1" customHeight="1">
      <c r="A261" s="1741"/>
      <c r="B261" s="1827"/>
      <c r="C261" s="1769"/>
      <c r="D261" s="1751"/>
      <c r="E261" s="1088" t="s">
        <v>116</v>
      </c>
      <c r="F261" s="1118">
        <f>'[1]D M S'!$M261</f>
        <v>0</v>
      </c>
      <c r="G261" s="1047">
        <f>'[2]D M S'!$M261</f>
        <v>0</v>
      </c>
      <c r="H261" s="1090">
        <f>'[3]D M S'!$M261</f>
        <v>0</v>
      </c>
      <c r="I261" s="1106">
        <f>'[4]D M S'!$M261</f>
        <v>0</v>
      </c>
      <c r="J261" s="1106">
        <f>'[5]D M S'!$M261</f>
        <v>0</v>
      </c>
      <c r="K261" s="1106">
        <f>'[6]D M S'!$M261</f>
        <v>0</v>
      </c>
      <c r="L261" s="1106">
        <f>'[7]D M S'!$M261</f>
        <v>0</v>
      </c>
      <c r="M261" s="1091">
        <f t="shared" si="20"/>
        <v>0</v>
      </c>
      <c r="N261" s="84"/>
      <c r="O261" s="1048"/>
    </row>
    <row r="262" spans="1:15" s="1044" customFormat="1" ht="41.1" hidden="1" customHeight="1" thickBot="1">
      <c r="A262" s="1741"/>
      <c r="B262" s="1827"/>
      <c r="C262" s="1769"/>
      <c r="D262" s="1751"/>
      <c r="E262" s="1122" t="s">
        <v>117</v>
      </c>
      <c r="F262" s="1118">
        <f>'[1]D M S'!$M262</f>
        <v>0</v>
      </c>
      <c r="G262" s="1047">
        <f>'[2]D M S'!$M262</f>
        <v>0</v>
      </c>
      <c r="H262" s="1090">
        <f>'[3]D M S'!$M262</f>
        <v>0</v>
      </c>
      <c r="I262" s="1106">
        <f>'[4]D M S'!$M262</f>
        <v>0</v>
      </c>
      <c r="J262" s="1106">
        <f>'[5]D M S'!$M262</f>
        <v>0</v>
      </c>
      <c r="K262" s="1106">
        <f>'[6]D M S'!$M262</f>
        <v>0</v>
      </c>
      <c r="L262" s="1106">
        <f>'[7]D M S'!$M262</f>
        <v>0</v>
      </c>
      <c r="M262" s="1091">
        <f t="shared" si="20"/>
        <v>0</v>
      </c>
      <c r="N262" s="84"/>
      <c r="O262" s="1048"/>
    </row>
    <row r="263" spans="1:15" s="1044" customFormat="1" ht="12.75" hidden="1" customHeight="1" thickTop="1" thickBot="1">
      <c r="A263" s="1825">
        <v>1</v>
      </c>
      <c r="B263" s="1828" t="s">
        <v>162</v>
      </c>
      <c r="C263" s="1759" t="s">
        <v>163</v>
      </c>
      <c r="D263" s="1123"/>
      <c r="E263" s="1081" t="s">
        <v>115</v>
      </c>
      <c r="F263" s="1118">
        <f>'[1]D M S'!$M263</f>
        <v>0</v>
      </c>
      <c r="G263" s="1047">
        <f>'[2]D M S'!$M263</f>
        <v>0</v>
      </c>
      <c r="H263" s="1090">
        <f>'[3]D M S'!$M263</f>
        <v>0</v>
      </c>
      <c r="I263" s="1106">
        <f>'[4]D M S'!$M263</f>
        <v>0</v>
      </c>
      <c r="J263" s="1106">
        <f>'[5]D M S'!$M263</f>
        <v>0</v>
      </c>
      <c r="K263" s="1106">
        <f>'[6]D M S'!$M263</f>
        <v>0</v>
      </c>
      <c r="L263" s="1106">
        <f>'[7]D M S'!$M263</f>
        <v>0</v>
      </c>
      <c r="M263" s="1091">
        <f t="shared" si="20"/>
        <v>0</v>
      </c>
      <c r="N263" s="84"/>
      <c r="O263" s="1048"/>
    </row>
    <row r="264" spans="1:15" s="1044" customFormat="1" ht="12.75" hidden="1" customHeight="1" thickTop="1" thickBot="1">
      <c r="A264" s="1825"/>
      <c r="B264" s="1828"/>
      <c r="C264" s="1759"/>
      <c r="D264" s="1124"/>
      <c r="E264" s="1088" t="s">
        <v>116</v>
      </c>
      <c r="F264" s="1118">
        <f>'[1]D M S'!$M264</f>
        <v>0</v>
      </c>
      <c r="G264" s="1047">
        <f>'[2]D M S'!$M264</f>
        <v>0</v>
      </c>
      <c r="H264" s="1090">
        <f>'[3]D M S'!$M264</f>
        <v>0</v>
      </c>
      <c r="I264" s="1106">
        <f>'[4]D M S'!$M264</f>
        <v>0</v>
      </c>
      <c r="J264" s="1106">
        <f>'[5]D M S'!$M264</f>
        <v>0</v>
      </c>
      <c r="K264" s="1106">
        <f>'[6]D M S'!$M264</f>
        <v>0</v>
      </c>
      <c r="L264" s="1106">
        <f>'[7]D M S'!$M264</f>
        <v>0</v>
      </c>
      <c r="M264" s="1091">
        <f t="shared" si="20"/>
        <v>0</v>
      </c>
      <c r="N264" s="84"/>
      <c r="O264" s="1048"/>
    </row>
    <row r="265" spans="1:15" s="1044" customFormat="1" ht="12.75" hidden="1" customHeight="1" thickTop="1">
      <c r="A265" s="1825"/>
      <c r="B265" s="1828"/>
      <c r="C265" s="1759"/>
      <c r="D265" s="1125"/>
      <c r="E265" s="1088" t="s">
        <v>117</v>
      </c>
      <c r="F265" s="1118">
        <f>'[1]D M S'!$M265</f>
        <v>0</v>
      </c>
      <c r="G265" s="1047">
        <f>'[2]D M S'!$M265</f>
        <v>0</v>
      </c>
      <c r="H265" s="1090">
        <f>'[3]D M S'!$M265</f>
        <v>0</v>
      </c>
      <c r="I265" s="1106">
        <f>'[4]D M S'!$M265</f>
        <v>0</v>
      </c>
      <c r="J265" s="1106">
        <f>'[5]D M S'!$M265</f>
        <v>0</v>
      </c>
      <c r="K265" s="1106">
        <f>'[6]D M S'!$M265</f>
        <v>0</v>
      </c>
      <c r="L265" s="1106">
        <f>'[7]D M S'!$M265</f>
        <v>0</v>
      </c>
      <c r="M265" s="1091">
        <f t="shared" si="20"/>
        <v>0</v>
      </c>
      <c r="N265" s="84"/>
      <c r="O265" s="1048"/>
    </row>
    <row r="266" spans="1:15" ht="41.1" hidden="1" customHeight="1">
      <c r="A266" s="1741">
        <v>2</v>
      </c>
      <c r="B266" s="1829" t="s">
        <v>674</v>
      </c>
      <c r="C266" s="1735">
        <v>71685</v>
      </c>
      <c r="D266" s="1751" t="s">
        <v>164</v>
      </c>
      <c r="E266" s="1088" t="s">
        <v>115</v>
      </c>
      <c r="F266" s="1118">
        <f>'[1]D M S'!$M266</f>
        <v>0</v>
      </c>
      <c r="G266" s="1047">
        <f>'[2]D M S'!$M266</f>
        <v>0</v>
      </c>
      <c r="H266" s="1090">
        <f>'[3]D M S'!$M266</f>
        <v>0</v>
      </c>
      <c r="I266" s="1106">
        <f>'[4]D M S'!$M266</f>
        <v>0</v>
      </c>
      <c r="J266" s="1106">
        <f>'[5]D M S'!$M266</f>
        <v>0</v>
      </c>
      <c r="K266" s="1106">
        <f>'[6]D M S'!$M266</f>
        <v>0</v>
      </c>
      <c r="L266" s="1106">
        <f>'[7]D M S'!$M266</f>
        <v>0</v>
      </c>
      <c r="M266" s="1091">
        <f t="shared" si="20"/>
        <v>0</v>
      </c>
      <c r="N266" s="84"/>
      <c r="O266" s="1048"/>
    </row>
    <row r="267" spans="1:15" ht="41.1" hidden="1" customHeight="1">
      <c r="A267" s="1741"/>
      <c r="B267" s="1829"/>
      <c r="C267" s="1735"/>
      <c r="D267" s="1751"/>
      <c r="E267" s="1088" t="s">
        <v>116</v>
      </c>
      <c r="F267" s="1118">
        <f>'[1]D M S'!$M267</f>
        <v>0</v>
      </c>
      <c r="G267" s="1047">
        <f>'[2]D M S'!$M267</f>
        <v>0</v>
      </c>
      <c r="H267" s="1090">
        <f>'[3]D M S'!$M267</f>
        <v>0</v>
      </c>
      <c r="I267" s="1106">
        <f>'[4]D M S'!$M267</f>
        <v>0</v>
      </c>
      <c r="J267" s="1106">
        <f>'[5]D M S'!$M267</f>
        <v>0</v>
      </c>
      <c r="K267" s="1106">
        <f>'[6]D M S'!$M267</f>
        <v>0</v>
      </c>
      <c r="L267" s="1106">
        <f>'[7]D M S'!$M267</f>
        <v>0</v>
      </c>
      <c r="M267" s="1091">
        <f t="shared" si="20"/>
        <v>0</v>
      </c>
      <c r="N267" s="84"/>
      <c r="O267" s="1048"/>
    </row>
    <row r="268" spans="1:15" ht="41.1" hidden="1" customHeight="1">
      <c r="A268" s="1741"/>
      <c r="B268" s="1829"/>
      <c r="C268" s="1735"/>
      <c r="D268" s="1751"/>
      <c r="E268" s="1088" t="s">
        <v>117</v>
      </c>
      <c r="F268" s="1118">
        <f>'[1]D M S'!$M268</f>
        <v>0</v>
      </c>
      <c r="G268" s="1047">
        <f>'[2]D M S'!$M268</f>
        <v>0</v>
      </c>
      <c r="H268" s="1090">
        <f>'[3]D M S'!$M268</f>
        <v>0</v>
      </c>
      <c r="I268" s="1106">
        <f>'[4]D M S'!$M268</f>
        <v>0</v>
      </c>
      <c r="J268" s="1106">
        <f>'[5]D M S'!$M268</f>
        <v>0</v>
      </c>
      <c r="K268" s="1106">
        <f>'[6]D M S'!$M268</f>
        <v>0</v>
      </c>
      <c r="L268" s="1106">
        <f>'[7]D M S'!$M268</f>
        <v>0</v>
      </c>
      <c r="M268" s="1091">
        <f t="shared" si="20"/>
        <v>0</v>
      </c>
      <c r="N268" s="84"/>
      <c r="O268" s="1048"/>
    </row>
    <row r="269" spans="1:15" s="1044" customFormat="1" ht="41.1" hidden="1" customHeight="1">
      <c r="A269" s="1825">
        <v>3</v>
      </c>
      <c r="B269" s="1829" t="s">
        <v>674</v>
      </c>
      <c r="C269" s="1769">
        <v>10760</v>
      </c>
      <c r="D269" s="1830" t="s">
        <v>165</v>
      </c>
      <c r="E269" s="1088" t="s">
        <v>115</v>
      </c>
      <c r="F269" s="1118">
        <f>'[8]D M S'!$F$269</f>
        <v>0</v>
      </c>
      <c r="G269" s="1118">
        <f>'[8]D M S'!$F$269</f>
        <v>0</v>
      </c>
      <c r="H269" s="1118">
        <f>'[8]D M S'!$F$269</f>
        <v>0</v>
      </c>
      <c r="I269" s="1118">
        <f>'[8]D M S'!$F$269</f>
        <v>0</v>
      </c>
      <c r="J269" s="1118">
        <f>'[8]D M S'!$F$269</f>
        <v>0</v>
      </c>
      <c r="K269" s="1118">
        <f>'[8]D M S'!$F$269</f>
        <v>0</v>
      </c>
      <c r="L269" s="1106">
        <f>'[7]D M S'!$M269</f>
        <v>0</v>
      </c>
      <c r="M269" s="1091">
        <f t="shared" si="20"/>
        <v>0</v>
      </c>
      <c r="N269" s="84"/>
      <c r="O269" s="1048"/>
    </row>
    <row r="270" spans="1:15" s="1044" customFormat="1" ht="40.5" hidden="1" customHeight="1">
      <c r="A270" s="1825"/>
      <c r="B270" s="1829"/>
      <c r="C270" s="1769"/>
      <c r="D270" s="1830"/>
      <c r="E270" s="1088" t="s">
        <v>116</v>
      </c>
      <c r="F270" s="1118">
        <f>'[1]D M S'!$M270</f>
        <v>0</v>
      </c>
      <c r="G270" s="1047">
        <f>'[2]D M S'!$M270</f>
        <v>0</v>
      </c>
      <c r="H270" s="1090">
        <f>'[3]D M S'!$M270</f>
        <v>0</v>
      </c>
      <c r="I270" s="1106">
        <f>'[4]D M S'!$M270</f>
        <v>0</v>
      </c>
      <c r="J270" s="1106">
        <f>'[5]D M S'!$M270</f>
        <v>0</v>
      </c>
      <c r="K270" s="1106">
        <f>'[6]D M S'!$M270</f>
        <v>0</v>
      </c>
      <c r="L270" s="1106">
        <f>'[7]D M S'!$M270</f>
        <v>0</v>
      </c>
      <c r="M270" s="1091">
        <f t="shared" si="20"/>
        <v>0</v>
      </c>
      <c r="N270" s="84"/>
      <c r="O270" s="1048"/>
    </row>
    <row r="271" spans="1:15" s="1044" customFormat="1" ht="41.1" hidden="1" customHeight="1">
      <c r="A271" s="1825"/>
      <c r="B271" s="1829"/>
      <c r="C271" s="1769"/>
      <c r="D271" s="1830"/>
      <c r="E271" s="1088" t="s">
        <v>117</v>
      </c>
      <c r="F271" s="1118">
        <f>'[1]D M S'!$M271</f>
        <v>0</v>
      </c>
      <c r="G271" s="1047">
        <f>'[2]D M S'!$M271</f>
        <v>0</v>
      </c>
      <c r="H271" s="1090">
        <f>'[3]D M S'!$M271</f>
        <v>0</v>
      </c>
      <c r="I271" s="1106">
        <f>'[4]D M S'!$M271</f>
        <v>0</v>
      </c>
      <c r="J271" s="1106">
        <f>'[5]D M S'!$M271</f>
        <v>0</v>
      </c>
      <c r="K271" s="1106">
        <f>'[6]D M S'!$M271</f>
        <v>0</v>
      </c>
      <c r="L271" s="1106">
        <f>'[7]D M S'!$M271</f>
        <v>0</v>
      </c>
      <c r="M271" s="1091">
        <f t="shared" si="20"/>
        <v>0</v>
      </c>
      <c r="N271" s="84"/>
      <c r="O271" s="1048"/>
    </row>
    <row r="272" spans="1:15" s="1044" customFormat="1" ht="41.1" customHeight="1">
      <c r="A272" s="1825">
        <v>4</v>
      </c>
      <c r="B272" s="1829" t="s">
        <v>674</v>
      </c>
      <c r="C272" s="1769">
        <v>45132</v>
      </c>
      <c r="D272" s="1751" t="s">
        <v>158</v>
      </c>
      <c r="E272" s="1088" t="s">
        <v>115</v>
      </c>
      <c r="F272" s="1118">
        <f>'[8]D M S'!$M272</f>
        <v>10</v>
      </c>
      <c r="G272" s="1047">
        <f>'[2]D M S'!$M272</f>
        <v>10</v>
      </c>
      <c r="H272" s="1090">
        <f>'[3]D M S'!$M272</f>
        <v>10</v>
      </c>
      <c r="I272" s="1090">
        <f>'[9]D M S'!$M272</f>
        <v>10</v>
      </c>
      <c r="J272" s="1106">
        <f>'[5]D M S'!$M272</f>
        <v>10</v>
      </c>
      <c r="K272" s="1106">
        <f>'[6]D M S'!$M272</f>
        <v>10</v>
      </c>
      <c r="L272" s="1106">
        <f>'[7]D M S'!$M272</f>
        <v>10</v>
      </c>
      <c r="M272" s="1091">
        <f t="shared" ref="M272:M335" si="21">SUM(F272:L272)</f>
        <v>70</v>
      </c>
      <c r="N272" s="84"/>
      <c r="O272" s="1048"/>
    </row>
    <row r="273" spans="1:15" s="1044" customFormat="1" ht="40.5" customHeight="1">
      <c r="A273" s="1825"/>
      <c r="B273" s="1829"/>
      <c r="C273" s="1769"/>
      <c r="D273" s="1751"/>
      <c r="E273" s="1088" t="s">
        <v>116</v>
      </c>
      <c r="F273" s="1118">
        <f>'[1]D M S'!$M273</f>
        <v>0</v>
      </c>
      <c r="G273" s="1047">
        <f>'[2]D M S'!$M273</f>
        <v>0</v>
      </c>
      <c r="H273" s="1090">
        <f>'[3]D M S'!$M273</f>
        <v>0</v>
      </c>
      <c r="I273" s="1106">
        <f>'[4]D M S'!$M273</f>
        <v>0</v>
      </c>
      <c r="J273" s="1106">
        <f>'[5]D M S'!$M273</f>
        <v>0</v>
      </c>
      <c r="K273" s="1106">
        <f>'[6]D M S'!$M273</f>
        <v>0</v>
      </c>
      <c r="L273" s="1106">
        <f>'[7]D M S'!$M273</f>
        <v>0</v>
      </c>
      <c r="M273" s="1091">
        <f t="shared" si="21"/>
        <v>0</v>
      </c>
      <c r="N273" s="84"/>
      <c r="O273" s="1048"/>
    </row>
    <row r="274" spans="1:15" s="1044" customFormat="1" ht="41.1" customHeight="1">
      <c r="A274" s="1825"/>
      <c r="B274" s="1829"/>
      <c r="C274" s="1769"/>
      <c r="D274" s="1751"/>
      <c r="E274" s="1088" t="s">
        <v>117</v>
      </c>
      <c r="F274" s="1118">
        <f>'[1]D M S'!$M274</f>
        <v>0</v>
      </c>
      <c r="G274" s="1047">
        <f>'[2]D M S'!$M274</f>
        <v>0</v>
      </c>
      <c r="H274" s="1090">
        <f>'[3]D M S'!$M274</f>
        <v>0</v>
      </c>
      <c r="I274" s="1106">
        <f>'[4]D M S'!$M274</f>
        <v>0</v>
      </c>
      <c r="J274" s="1106">
        <f>'[5]D M S'!$M274</f>
        <v>0</v>
      </c>
      <c r="K274" s="1106">
        <f>'[6]D M S'!$M274</f>
        <v>0</v>
      </c>
      <c r="L274" s="1106">
        <f>'[7]D M S'!$M274</f>
        <v>0</v>
      </c>
      <c r="M274" s="1091">
        <f t="shared" si="21"/>
        <v>0</v>
      </c>
      <c r="N274" s="84"/>
      <c r="O274" s="1048"/>
    </row>
    <row r="275" spans="1:15" ht="41.1" customHeight="1">
      <c r="A275" s="1825">
        <v>5</v>
      </c>
      <c r="B275" s="1829" t="s">
        <v>674</v>
      </c>
      <c r="C275" s="1831" t="s">
        <v>675</v>
      </c>
      <c r="D275" s="1751" t="s">
        <v>158</v>
      </c>
      <c r="E275" s="1088" t="s">
        <v>115</v>
      </c>
      <c r="F275" s="1118">
        <f>'[8]D M S'!$M275</f>
        <v>10</v>
      </c>
      <c r="G275" s="1047">
        <f>'[2]D M S'!$M275</f>
        <v>10</v>
      </c>
      <c r="H275" s="1090">
        <f>'[3]D M S'!$M275</f>
        <v>10</v>
      </c>
      <c r="I275" s="1090">
        <f>'[9]D M S'!$M275</f>
        <v>10</v>
      </c>
      <c r="J275" s="1106">
        <f>'[5]D M S'!$M275</f>
        <v>10</v>
      </c>
      <c r="K275" s="1106">
        <f>'[6]D M S'!$M275</f>
        <v>10</v>
      </c>
      <c r="L275" s="1106">
        <f>'[7]D M S'!$M275</f>
        <v>10</v>
      </c>
      <c r="M275" s="1091">
        <f t="shared" si="21"/>
        <v>70</v>
      </c>
      <c r="N275" s="84"/>
      <c r="O275" s="1048"/>
    </row>
    <row r="276" spans="1:15" ht="41.1" customHeight="1">
      <c r="A276" s="1825">
        <v>3.6713286713286699</v>
      </c>
      <c r="B276" s="1829"/>
      <c r="C276" s="1831"/>
      <c r="D276" s="1751"/>
      <c r="E276" s="1088" t="s">
        <v>116</v>
      </c>
      <c r="F276" s="1118">
        <f>'[1]D M S'!$M276</f>
        <v>0</v>
      </c>
      <c r="G276" s="1047">
        <f>'[2]D M S'!$M276</f>
        <v>0</v>
      </c>
      <c r="H276" s="1090">
        <f>'[3]D M S'!$M276</f>
        <v>0</v>
      </c>
      <c r="I276" s="1106">
        <f>'[4]D M S'!$M276</f>
        <v>0</v>
      </c>
      <c r="J276" s="1106">
        <f>'[5]D M S'!$M276</f>
        <v>0</v>
      </c>
      <c r="K276" s="1106">
        <f>'[6]D M S'!$M276</f>
        <v>0</v>
      </c>
      <c r="L276" s="1106">
        <f>'[7]D M S'!$M276</f>
        <v>0</v>
      </c>
      <c r="M276" s="1091">
        <f t="shared" si="21"/>
        <v>0</v>
      </c>
      <c r="N276" s="84"/>
      <c r="O276" s="1048"/>
    </row>
    <row r="277" spans="1:15" ht="40.5" customHeight="1">
      <c r="A277" s="1825">
        <v>3.7121212121212102</v>
      </c>
      <c r="B277" s="1829"/>
      <c r="C277" s="1831"/>
      <c r="D277" s="1751"/>
      <c r="E277" s="1088" t="s">
        <v>117</v>
      </c>
      <c r="F277" s="1118">
        <f>'[1]D M S'!$M277</f>
        <v>0</v>
      </c>
      <c r="G277" s="1047">
        <f>'[2]D M S'!$M277</f>
        <v>0</v>
      </c>
      <c r="H277" s="1090">
        <f>'[3]D M S'!$M277</f>
        <v>0</v>
      </c>
      <c r="I277" s="1106">
        <f>'[4]D M S'!$M277</f>
        <v>0</v>
      </c>
      <c r="J277" s="1106">
        <f>'[5]D M S'!$M277</f>
        <v>0</v>
      </c>
      <c r="K277" s="1106">
        <f>'[6]D M S'!$M277</f>
        <v>0</v>
      </c>
      <c r="L277" s="1106">
        <f>'[7]D M S'!$M277</f>
        <v>0</v>
      </c>
      <c r="M277" s="1091">
        <f t="shared" si="21"/>
        <v>0</v>
      </c>
      <c r="N277" s="84"/>
      <c r="O277" s="1048"/>
    </row>
    <row r="278" spans="1:15" ht="40.5" hidden="1" customHeight="1">
      <c r="A278" s="1825">
        <v>6</v>
      </c>
      <c r="B278" s="1829" t="s">
        <v>674</v>
      </c>
      <c r="C278" s="1735">
        <v>49148</v>
      </c>
      <c r="D278" s="1751" t="s">
        <v>158</v>
      </c>
      <c r="E278" s="1088" t="s">
        <v>115</v>
      </c>
      <c r="F278" s="1118">
        <f>'[1]D M S'!$M278</f>
        <v>0</v>
      </c>
      <c r="G278" s="1047">
        <f>'[2]D M S'!$M278</f>
        <v>0</v>
      </c>
      <c r="H278" s="1090">
        <f>'[3]D M S'!$M278</f>
        <v>0</v>
      </c>
      <c r="I278" s="1106">
        <f>'[4]D M S'!$M278</f>
        <v>0</v>
      </c>
      <c r="J278" s="1106">
        <f>'[5]D M S'!$M278</f>
        <v>0</v>
      </c>
      <c r="K278" s="1106">
        <f>'[6]D M S'!$M278</f>
        <v>0</v>
      </c>
      <c r="L278" s="1106">
        <f>'[7]D M S'!$M278</f>
        <v>0</v>
      </c>
      <c r="M278" s="1091">
        <f t="shared" si="21"/>
        <v>0</v>
      </c>
      <c r="N278" s="84"/>
      <c r="O278" s="1048"/>
    </row>
    <row r="279" spans="1:15" ht="40.5" hidden="1" customHeight="1">
      <c r="A279" s="1825">
        <v>3.7937062937062902</v>
      </c>
      <c r="B279" s="1829"/>
      <c r="C279" s="1735"/>
      <c r="D279" s="1751"/>
      <c r="E279" s="1088" t="s">
        <v>116</v>
      </c>
      <c r="F279" s="1118">
        <f>'[1]D M S'!$M279</f>
        <v>0</v>
      </c>
      <c r="G279" s="1047">
        <f>'[2]D M S'!$M279</f>
        <v>0</v>
      </c>
      <c r="H279" s="1090">
        <f>'[3]D M S'!$M279</f>
        <v>0</v>
      </c>
      <c r="I279" s="1106">
        <f>'[4]D M S'!$M279</f>
        <v>0</v>
      </c>
      <c r="J279" s="1106">
        <f>'[5]D M S'!$M279</f>
        <v>0</v>
      </c>
      <c r="K279" s="1106">
        <f>'[6]D M S'!$M279</f>
        <v>0</v>
      </c>
      <c r="L279" s="1106">
        <f>'[7]D M S'!$M279</f>
        <v>0</v>
      </c>
      <c r="M279" s="1091">
        <f t="shared" si="21"/>
        <v>0</v>
      </c>
      <c r="N279" s="84"/>
      <c r="O279" s="1048"/>
    </row>
    <row r="280" spans="1:15" ht="40.5" hidden="1" customHeight="1">
      <c r="A280" s="1825">
        <v>3.83449883449883</v>
      </c>
      <c r="B280" s="1829"/>
      <c r="C280" s="1735"/>
      <c r="D280" s="1751"/>
      <c r="E280" s="1088" t="s">
        <v>117</v>
      </c>
      <c r="F280" s="1118">
        <f>'[1]D M S'!$M280</f>
        <v>0</v>
      </c>
      <c r="G280" s="1047">
        <f>'[2]D M S'!$M280</f>
        <v>0</v>
      </c>
      <c r="H280" s="1090">
        <f>'[3]D M S'!$M280</f>
        <v>0</v>
      </c>
      <c r="I280" s="1106">
        <f>'[4]D M S'!$M280</f>
        <v>0</v>
      </c>
      <c r="J280" s="1106">
        <f>'[5]D M S'!$M280</f>
        <v>0</v>
      </c>
      <c r="K280" s="1106">
        <f>'[6]D M S'!$M280</f>
        <v>0</v>
      </c>
      <c r="L280" s="1106">
        <f>'[7]D M S'!$M280</f>
        <v>0</v>
      </c>
      <c r="M280" s="1091">
        <f t="shared" si="21"/>
        <v>0</v>
      </c>
      <c r="N280" s="84"/>
      <c r="O280" s="1048"/>
    </row>
    <row r="281" spans="1:15" ht="12.75" hidden="1" customHeight="1">
      <c r="A281" s="1825">
        <v>3.8752913752913698</v>
      </c>
      <c r="B281" s="1829" t="s">
        <v>674</v>
      </c>
      <c r="C281" s="1735" t="s">
        <v>166</v>
      </c>
      <c r="D281" s="1751" t="s">
        <v>165</v>
      </c>
      <c r="E281" s="1088" t="s">
        <v>115</v>
      </c>
      <c r="F281" s="1118">
        <f>'[1]D M S'!$M281</f>
        <v>0</v>
      </c>
      <c r="G281" s="1047">
        <f>'[2]D M S'!$M281</f>
        <v>0</v>
      </c>
      <c r="H281" s="1090">
        <f>'[3]D M S'!$M281</f>
        <v>0</v>
      </c>
      <c r="I281" s="1106">
        <f>'[4]D M S'!$M281</f>
        <v>0</v>
      </c>
      <c r="J281" s="1106">
        <f>'[5]D M S'!$M281</f>
        <v>0</v>
      </c>
      <c r="K281" s="1106">
        <f>'[6]D M S'!$M281</f>
        <v>0</v>
      </c>
      <c r="L281" s="1106">
        <f>'[7]D M S'!$M281</f>
        <v>0</v>
      </c>
      <c r="M281" s="1091">
        <f t="shared" si="21"/>
        <v>0</v>
      </c>
      <c r="N281" s="84"/>
      <c r="O281" s="1048"/>
    </row>
    <row r="282" spans="1:15" ht="12.75" hidden="1" customHeight="1">
      <c r="A282" s="1825">
        <v>3.91608391608391</v>
      </c>
      <c r="B282" s="1829"/>
      <c r="C282" s="1735"/>
      <c r="D282" s="1751"/>
      <c r="E282" s="1088" t="s">
        <v>116</v>
      </c>
      <c r="F282" s="1118">
        <f>'[1]D M S'!$M282</f>
        <v>0</v>
      </c>
      <c r="G282" s="1047">
        <f>'[2]D M S'!$M282</f>
        <v>0</v>
      </c>
      <c r="H282" s="1090">
        <f>'[3]D M S'!$M282</f>
        <v>0</v>
      </c>
      <c r="I282" s="1106">
        <f>'[4]D M S'!$M282</f>
        <v>0</v>
      </c>
      <c r="J282" s="1106">
        <f>'[5]D M S'!$M282</f>
        <v>0</v>
      </c>
      <c r="K282" s="1106">
        <f>'[6]D M S'!$M282</f>
        <v>0</v>
      </c>
      <c r="L282" s="1106">
        <f>'[7]D M S'!$M282</f>
        <v>0</v>
      </c>
      <c r="M282" s="1091">
        <f t="shared" si="21"/>
        <v>0</v>
      </c>
      <c r="N282" s="84"/>
      <c r="O282" s="1048"/>
    </row>
    <row r="283" spans="1:15" ht="12.75" hidden="1" customHeight="1">
      <c r="A283" s="1825">
        <v>3.9568764568764498</v>
      </c>
      <c r="B283" s="1829"/>
      <c r="C283" s="1735"/>
      <c r="D283" s="1751"/>
      <c r="E283" s="1088" t="s">
        <v>117</v>
      </c>
      <c r="F283" s="1118">
        <f>'[1]D M S'!$M283</f>
        <v>0</v>
      </c>
      <c r="G283" s="1047">
        <f>'[2]D M S'!$M283</f>
        <v>0</v>
      </c>
      <c r="H283" s="1090">
        <f>'[3]D M S'!$M283</f>
        <v>0</v>
      </c>
      <c r="I283" s="1106">
        <f>'[4]D M S'!$M283</f>
        <v>0</v>
      </c>
      <c r="J283" s="1106">
        <f>'[5]D M S'!$M283</f>
        <v>0</v>
      </c>
      <c r="K283" s="1106">
        <f>'[6]D M S'!$M283</f>
        <v>0</v>
      </c>
      <c r="L283" s="1106">
        <f>'[7]D M S'!$M283</f>
        <v>0</v>
      </c>
      <c r="M283" s="1091">
        <f t="shared" si="21"/>
        <v>0</v>
      </c>
      <c r="N283" s="84"/>
      <c r="O283" s="1048"/>
    </row>
    <row r="284" spans="1:15" ht="40.5" hidden="1" customHeight="1">
      <c r="A284" s="1825">
        <v>3.9976689976689901</v>
      </c>
      <c r="B284" s="1829" t="s">
        <v>674</v>
      </c>
      <c r="C284" s="1735"/>
      <c r="D284" s="1751"/>
      <c r="E284" s="1088" t="s">
        <v>115</v>
      </c>
      <c r="F284" s="1118">
        <f>'[1]D M S'!$M284</f>
        <v>0</v>
      </c>
      <c r="G284" s="1047">
        <f>'[2]D M S'!$M284</f>
        <v>0</v>
      </c>
      <c r="H284" s="1090">
        <f>'[3]D M S'!$M284</f>
        <v>0</v>
      </c>
      <c r="I284" s="1106">
        <f>'[4]D M S'!$M284</f>
        <v>0</v>
      </c>
      <c r="J284" s="1106">
        <f>'[5]D M S'!$M284</f>
        <v>0</v>
      </c>
      <c r="K284" s="1106">
        <f>'[6]D M S'!$M284</f>
        <v>0</v>
      </c>
      <c r="L284" s="1106">
        <f>'[7]D M S'!$M284</f>
        <v>0</v>
      </c>
      <c r="M284" s="1091">
        <f t="shared" si="21"/>
        <v>0</v>
      </c>
      <c r="N284" s="84"/>
      <c r="O284" s="1048"/>
    </row>
    <row r="285" spans="1:15" ht="40.5" hidden="1" customHeight="1">
      <c r="A285" s="1825">
        <v>4.0384615384615401</v>
      </c>
      <c r="B285" s="1829"/>
      <c r="C285" s="1735"/>
      <c r="D285" s="1751"/>
      <c r="E285" s="1088" t="s">
        <v>116</v>
      </c>
      <c r="F285" s="1118">
        <f>'[1]D M S'!$M285</f>
        <v>0</v>
      </c>
      <c r="G285" s="1047">
        <f>'[2]D M S'!$M285</f>
        <v>0</v>
      </c>
      <c r="H285" s="1090">
        <f>'[3]D M S'!$M285</f>
        <v>0</v>
      </c>
      <c r="I285" s="1106">
        <f>'[4]D M S'!$M285</f>
        <v>0</v>
      </c>
      <c r="J285" s="1106">
        <f>'[5]D M S'!$M285</f>
        <v>0</v>
      </c>
      <c r="K285" s="1106">
        <f>'[6]D M S'!$M285</f>
        <v>0</v>
      </c>
      <c r="L285" s="1106">
        <f>'[7]D M S'!$M285</f>
        <v>0</v>
      </c>
      <c r="M285" s="1091">
        <f t="shared" si="21"/>
        <v>0</v>
      </c>
      <c r="N285" s="84"/>
      <c r="O285" s="1048"/>
    </row>
    <row r="286" spans="1:15" ht="40.5" hidden="1" customHeight="1">
      <c r="A286" s="1825">
        <v>4.0792540792540803</v>
      </c>
      <c r="B286" s="1829"/>
      <c r="C286" s="1735"/>
      <c r="D286" s="1751"/>
      <c r="E286" s="1088" t="s">
        <v>117</v>
      </c>
      <c r="F286" s="1118">
        <f>'[1]D M S'!$M286</f>
        <v>0</v>
      </c>
      <c r="G286" s="1047">
        <f>'[2]D M S'!$M286</f>
        <v>0</v>
      </c>
      <c r="H286" s="1090">
        <f>'[3]D M S'!$M286</f>
        <v>0</v>
      </c>
      <c r="I286" s="1106">
        <f>'[4]D M S'!$M286</f>
        <v>0</v>
      </c>
      <c r="J286" s="1106">
        <f>'[5]D M S'!$M286</f>
        <v>0</v>
      </c>
      <c r="K286" s="1106">
        <f>'[6]D M S'!$M286</f>
        <v>0</v>
      </c>
      <c r="L286" s="1106">
        <f>'[7]D M S'!$M286</f>
        <v>0</v>
      </c>
      <c r="M286" s="1091">
        <f t="shared" si="21"/>
        <v>0</v>
      </c>
      <c r="N286" s="84"/>
      <c r="O286" s="1048"/>
    </row>
    <row r="287" spans="1:15" ht="12.75" hidden="1" customHeight="1">
      <c r="A287" s="1825">
        <v>4.1200466200466197</v>
      </c>
      <c r="B287" s="1829" t="s">
        <v>674</v>
      </c>
      <c r="C287" s="1735"/>
      <c r="D287" s="1751"/>
      <c r="E287" s="1088" t="s">
        <v>115</v>
      </c>
      <c r="F287" s="1118">
        <f>'[1]D M S'!$M287</f>
        <v>0</v>
      </c>
      <c r="G287" s="1047">
        <f>'[2]D M S'!$M287</f>
        <v>0</v>
      </c>
      <c r="H287" s="1090">
        <f>'[3]D M S'!$M287</f>
        <v>0</v>
      </c>
      <c r="I287" s="1106">
        <f>'[4]D M S'!$M287</f>
        <v>0</v>
      </c>
      <c r="J287" s="1106">
        <f>'[5]D M S'!$M287</f>
        <v>0</v>
      </c>
      <c r="K287" s="1106">
        <f>'[6]D M S'!$M287</f>
        <v>0</v>
      </c>
      <c r="L287" s="1106">
        <f>'[7]D M S'!$M287</f>
        <v>0</v>
      </c>
      <c r="M287" s="1091">
        <f t="shared" si="21"/>
        <v>0</v>
      </c>
      <c r="N287" s="84"/>
      <c r="O287" s="1048"/>
    </row>
    <row r="288" spans="1:15" ht="12.75" hidden="1" customHeight="1">
      <c r="A288" s="1825">
        <v>4.1608391608391599</v>
      </c>
      <c r="B288" s="1829"/>
      <c r="C288" s="1735"/>
      <c r="D288" s="1751"/>
      <c r="E288" s="1088" t="s">
        <v>116</v>
      </c>
      <c r="F288" s="1118">
        <f>'[1]D M S'!$M288</f>
        <v>0</v>
      </c>
      <c r="G288" s="1047">
        <f>'[2]D M S'!$M288</f>
        <v>0</v>
      </c>
      <c r="H288" s="1090">
        <f>'[3]D M S'!$M288</f>
        <v>0</v>
      </c>
      <c r="I288" s="1106">
        <f>'[4]D M S'!$M288</f>
        <v>0</v>
      </c>
      <c r="J288" s="1106">
        <f>'[5]D M S'!$M288</f>
        <v>0</v>
      </c>
      <c r="K288" s="1106">
        <f>'[6]D M S'!$M288</f>
        <v>0</v>
      </c>
      <c r="L288" s="1106">
        <f>'[7]D M S'!$M288</f>
        <v>0</v>
      </c>
      <c r="M288" s="1091">
        <f t="shared" si="21"/>
        <v>0</v>
      </c>
      <c r="N288" s="84"/>
      <c r="O288" s="1048"/>
    </row>
    <row r="289" spans="1:15" ht="12.75" hidden="1" customHeight="1">
      <c r="A289" s="1825">
        <v>4.2016317016317002</v>
      </c>
      <c r="B289" s="1829"/>
      <c r="C289" s="1735"/>
      <c r="D289" s="1751"/>
      <c r="E289" s="1088" t="s">
        <v>117</v>
      </c>
      <c r="F289" s="1118">
        <f>'[1]D M S'!$M289</f>
        <v>0</v>
      </c>
      <c r="G289" s="1047">
        <f>'[2]D M S'!$M289</f>
        <v>0</v>
      </c>
      <c r="H289" s="1090">
        <f>'[3]D M S'!$M289</f>
        <v>0</v>
      </c>
      <c r="I289" s="1106">
        <f>'[4]D M S'!$M289</f>
        <v>0</v>
      </c>
      <c r="J289" s="1106">
        <f>'[5]D M S'!$M289</f>
        <v>0</v>
      </c>
      <c r="K289" s="1106">
        <f>'[6]D M S'!$M289</f>
        <v>0</v>
      </c>
      <c r="L289" s="1106">
        <f>'[7]D M S'!$M289</f>
        <v>0</v>
      </c>
      <c r="M289" s="1091">
        <f t="shared" si="21"/>
        <v>0</v>
      </c>
      <c r="N289" s="84"/>
      <c r="O289" s="1048"/>
    </row>
    <row r="290" spans="1:15" ht="40.5" hidden="1" customHeight="1">
      <c r="A290" s="1825">
        <v>7</v>
      </c>
      <c r="B290" s="1829" t="s">
        <v>674</v>
      </c>
      <c r="C290" s="1735"/>
      <c r="D290" s="1832" t="s">
        <v>708</v>
      </c>
      <c r="E290" s="1088" t="s">
        <v>115</v>
      </c>
      <c r="F290" s="1118">
        <f>'[1]D M S'!$M290</f>
        <v>0</v>
      </c>
      <c r="G290" s="1047">
        <f>'[2]D M S'!$M290</f>
        <v>0</v>
      </c>
      <c r="H290" s="1090">
        <f>'[3]D M S'!$M290</f>
        <v>0</v>
      </c>
      <c r="I290" s="1106">
        <f>'[4]D M S'!$M290</f>
        <v>0</v>
      </c>
      <c r="J290" s="1106">
        <f>'[5]D M S'!$M290</f>
        <v>0</v>
      </c>
      <c r="K290" s="1106">
        <f>'[6]D M S'!$M290</f>
        <v>0</v>
      </c>
      <c r="L290" s="1106">
        <f>'[7]D M S'!$M290</f>
        <v>0</v>
      </c>
      <c r="M290" s="1091">
        <f t="shared" si="21"/>
        <v>0</v>
      </c>
      <c r="N290" s="84"/>
      <c r="O290" s="1048"/>
    </row>
    <row r="291" spans="1:15" ht="40.5" hidden="1" customHeight="1">
      <c r="A291" s="1825">
        <v>4.2832167832167798</v>
      </c>
      <c r="B291" s="1829"/>
      <c r="C291" s="1735"/>
      <c r="D291" s="1832"/>
      <c r="E291" s="1088" t="s">
        <v>116</v>
      </c>
      <c r="F291" s="1118">
        <f>'[1]D M S'!$M291</f>
        <v>0</v>
      </c>
      <c r="G291" s="1047">
        <f>'[2]D M S'!$M291</f>
        <v>0</v>
      </c>
      <c r="H291" s="1090">
        <f>'[3]D M S'!$M291</f>
        <v>0</v>
      </c>
      <c r="I291" s="1106">
        <f>'[4]D M S'!$M291</f>
        <v>0</v>
      </c>
      <c r="J291" s="1106">
        <f>'[5]D M S'!$M291</f>
        <v>0</v>
      </c>
      <c r="K291" s="1106">
        <f>'[6]D M S'!$M291</f>
        <v>0</v>
      </c>
      <c r="L291" s="1106">
        <f>'[7]D M S'!$M291</f>
        <v>0</v>
      </c>
      <c r="M291" s="1091">
        <f t="shared" si="21"/>
        <v>0</v>
      </c>
      <c r="N291" s="84"/>
      <c r="O291" s="1048"/>
    </row>
    <row r="292" spans="1:15" ht="40.5" hidden="1" customHeight="1">
      <c r="A292" s="1825">
        <v>4.32400932400932</v>
      </c>
      <c r="B292" s="1829"/>
      <c r="C292" s="1735"/>
      <c r="D292" s="1832"/>
      <c r="E292" s="1088" t="s">
        <v>117</v>
      </c>
      <c r="F292" s="1118">
        <f>'[1]D M S'!$M292</f>
        <v>0</v>
      </c>
      <c r="G292" s="1047">
        <f>'[2]D M S'!$M292</f>
        <v>0</v>
      </c>
      <c r="H292" s="1090">
        <f>'[3]D M S'!$M292</f>
        <v>0</v>
      </c>
      <c r="I292" s="1106">
        <f>'[4]D M S'!$M292</f>
        <v>0</v>
      </c>
      <c r="J292" s="1106">
        <f>'[5]D M S'!$M292</f>
        <v>0</v>
      </c>
      <c r="K292" s="1106">
        <f>'[6]D M S'!$M292</f>
        <v>0</v>
      </c>
      <c r="L292" s="1106">
        <f>'[7]D M S'!$M292</f>
        <v>0</v>
      </c>
      <c r="M292" s="1091">
        <f t="shared" si="21"/>
        <v>0</v>
      </c>
      <c r="N292" s="84"/>
      <c r="O292" s="1048"/>
    </row>
    <row r="293" spans="1:15" ht="40.5" hidden="1" customHeight="1">
      <c r="A293" s="1741">
        <v>8</v>
      </c>
      <c r="B293" s="1829" t="s">
        <v>674</v>
      </c>
      <c r="C293" s="1735">
        <v>30981</v>
      </c>
      <c r="D293" s="1833" t="s">
        <v>158</v>
      </c>
      <c r="E293" s="1088" t="s">
        <v>115</v>
      </c>
      <c r="F293" s="1118">
        <f>'[8]D M S'!$M293</f>
        <v>0</v>
      </c>
      <c r="G293" s="1047">
        <f>'[2]D M S'!$M293</f>
        <v>0</v>
      </c>
      <c r="H293" s="1090">
        <f>'[3]D M S'!$M293</f>
        <v>0</v>
      </c>
      <c r="I293" s="1106">
        <f>'[4]D M S'!$M293</f>
        <v>0</v>
      </c>
      <c r="J293" s="1106">
        <f>'[5]D M S'!$M293</f>
        <v>0</v>
      </c>
      <c r="K293" s="1106">
        <f>'[6]D M S'!$M293</f>
        <v>0</v>
      </c>
      <c r="L293" s="1106">
        <f>'[7]D M S'!$M293</f>
        <v>0</v>
      </c>
      <c r="M293" s="1091">
        <f t="shared" si="21"/>
        <v>0</v>
      </c>
      <c r="N293" s="84"/>
      <c r="O293" s="1048"/>
    </row>
    <row r="294" spans="1:15" ht="40.5" hidden="1" customHeight="1">
      <c r="A294" s="1741">
        <v>4.4055944055943996</v>
      </c>
      <c r="B294" s="1829"/>
      <c r="C294" s="1735"/>
      <c r="D294" s="1833"/>
      <c r="E294" s="1088" t="s">
        <v>116</v>
      </c>
      <c r="F294" s="1118">
        <f>'[1]D M S'!$M294</f>
        <v>0</v>
      </c>
      <c r="G294" s="1047">
        <f>'[2]D M S'!$M294</f>
        <v>0</v>
      </c>
      <c r="H294" s="1090">
        <f>'[3]D M S'!$M294</f>
        <v>0</v>
      </c>
      <c r="I294" s="1106">
        <f>'[4]D M S'!$M294</f>
        <v>0</v>
      </c>
      <c r="J294" s="1106">
        <f>'[5]D M S'!$M294</f>
        <v>0</v>
      </c>
      <c r="K294" s="1106">
        <f>'[6]D M S'!$M294</f>
        <v>0</v>
      </c>
      <c r="L294" s="1106">
        <f>'[7]D M S'!$M294</f>
        <v>0</v>
      </c>
      <c r="M294" s="1091">
        <f t="shared" si="21"/>
        <v>0</v>
      </c>
      <c r="N294" s="84"/>
      <c r="O294" s="1048"/>
    </row>
    <row r="295" spans="1:15" ht="40.5" hidden="1" customHeight="1">
      <c r="A295" s="1741">
        <v>4.4463869463869399</v>
      </c>
      <c r="B295" s="1829"/>
      <c r="C295" s="1735"/>
      <c r="D295" s="1833"/>
      <c r="E295" s="1088" t="s">
        <v>117</v>
      </c>
      <c r="F295" s="1118">
        <f>'[1]D M S'!$M295</f>
        <v>0</v>
      </c>
      <c r="G295" s="1047">
        <f>'[2]D M S'!$M295</f>
        <v>0</v>
      </c>
      <c r="H295" s="1090">
        <f>'[3]D M S'!$M295</f>
        <v>0</v>
      </c>
      <c r="I295" s="1106">
        <f>'[4]D M S'!$M295</f>
        <v>0</v>
      </c>
      <c r="J295" s="1106">
        <f>'[5]D M S'!$M295</f>
        <v>0</v>
      </c>
      <c r="K295" s="1106">
        <f>'[6]D M S'!$M295</f>
        <v>0</v>
      </c>
      <c r="L295" s="1106">
        <f>'[7]D M S'!$M295</f>
        <v>0</v>
      </c>
      <c r="M295" s="1091">
        <f t="shared" si="21"/>
        <v>0</v>
      </c>
      <c r="N295" s="84"/>
      <c r="O295" s="1048"/>
    </row>
    <row r="296" spans="1:15" ht="40.5" customHeight="1">
      <c r="A296" s="1741">
        <v>9</v>
      </c>
      <c r="B296" s="1829" t="s">
        <v>674</v>
      </c>
      <c r="C296" s="1834">
        <v>99633</v>
      </c>
      <c r="D296" s="1835" t="s">
        <v>158</v>
      </c>
      <c r="E296" s="1088" t="s">
        <v>115</v>
      </c>
      <c r="F296" s="1118">
        <f>'[8]D M S'!$M296</f>
        <v>10</v>
      </c>
      <c r="G296" s="1047">
        <f>'[2]D M S'!$M296</f>
        <v>10</v>
      </c>
      <c r="H296" s="1090">
        <f>'[3]D M S'!$M296</f>
        <v>10</v>
      </c>
      <c r="I296" s="1090">
        <f>'[9]D M S'!$M296</f>
        <v>10</v>
      </c>
      <c r="J296" s="1106">
        <f>'[5]D M S'!$M296</f>
        <v>10</v>
      </c>
      <c r="K296" s="1106">
        <f>'[6]D M S'!$M296</f>
        <v>10</v>
      </c>
      <c r="L296" s="1106">
        <f>'[7]D M S'!$M296</f>
        <v>10</v>
      </c>
      <c r="M296" s="1091">
        <f t="shared" si="21"/>
        <v>70</v>
      </c>
      <c r="N296" s="84"/>
      <c r="O296" s="1048"/>
    </row>
    <row r="297" spans="1:15" ht="40.5" customHeight="1">
      <c r="A297" s="1741">
        <v>4.5279720279720204</v>
      </c>
      <c r="B297" s="1829"/>
      <c r="C297" s="1834"/>
      <c r="D297" s="1835"/>
      <c r="E297" s="1088" t="s">
        <v>116</v>
      </c>
      <c r="F297" s="1118">
        <f>'[1]D M S'!$M297</f>
        <v>0</v>
      </c>
      <c r="G297" s="1047">
        <f>'[2]D M S'!$M297</f>
        <v>0</v>
      </c>
      <c r="H297" s="1090">
        <f>'[3]D M S'!$M297</f>
        <v>0</v>
      </c>
      <c r="I297" s="1106">
        <f>'[4]D M S'!$M297</f>
        <v>0</v>
      </c>
      <c r="J297" s="1106">
        <f>'[5]D M S'!$M297</f>
        <v>0</v>
      </c>
      <c r="K297" s="1106">
        <f>'[6]D M S'!$M297</f>
        <v>0</v>
      </c>
      <c r="L297" s="1106">
        <f>'[7]D M S'!$M297</f>
        <v>0</v>
      </c>
      <c r="M297" s="1091">
        <f t="shared" si="21"/>
        <v>0</v>
      </c>
      <c r="N297" s="84"/>
      <c r="O297" s="1048"/>
    </row>
    <row r="298" spans="1:15" ht="40.5" customHeight="1">
      <c r="A298" s="1741">
        <v>4.5687645687645704</v>
      </c>
      <c r="B298" s="1829"/>
      <c r="C298" s="1834"/>
      <c r="D298" s="1835"/>
      <c r="E298" s="1088" t="s">
        <v>117</v>
      </c>
      <c r="F298" s="1118">
        <f>'[1]D M S'!$M298</f>
        <v>0</v>
      </c>
      <c r="G298" s="1047">
        <f>'[2]D M S'!$M298</f>
        <v>0</v>
      </c>
      <c r="H298" s="1090">
        <f>'[3]D M S'!$M298</f>
        <v>0</v>
      </c>
      <c r="I298" s="1106">
        <f>'[4]D M S'!$M298</f>
        <v>0</v>
      </c>
      <c r="J298" s="1106">
        <f>'[5]D M S'!$M298</f>
        <v>0</v>
      </c>
      <c r="K298" s="1106">
        <f>'[6]D M S'!$M298</f>
        <v>0</v>
      </c>
      <c r="L298" s="1106">
        <f>'[7]D M S'!$M298</f>
        <v>0</v>
      </c>
      <c r="M298" s="1091">
        <f t="shared" si="21"/>
        <v>0</v>
      </c>
      <c r="N298" s="84"/>
      <c r="O298" s="1048"/>
    </row>
    <row r="299" spans="1:15" ht="40.5" hidden="1" customHeight="1">
      <c r="A299" s="1825">
        <v>10</v>
      </c>
      <c r="B299" s="1829" t="s">
        <v>674</v>
      </c>
      <c r="C299" s="1834">
        <v>65025</v>
      </c>
      <c r="D299" s="1835" t="s">
        <v>708</v>
      </c>
      <c r="E299" s="1088" t="s">
        <v>115</v>
      </c>
      <c r="F299" s="1118">
        <f>'[1]D M S'!$M299</f>
        <v>0</v>
      </c>
      <c r="G299" s="1047">
        <f>'[2]D M S'!$M299</f>
        <v>0</v>
      </c>
      <c r="H299" s="1090">
        <f>'[3]D M S'!$M299</f>
        <v>0</v>
      </c>
      <c r="I299" s="1106">
        <f>'[4]D M S'!$M299</f>
        <v>0</v>
      </c>
      <c r="J299" s="1106">
        <f>'[5]D M S'!$M299</f>
        <v>0</v>
      </c>
      <c r="K299" s="1106">
        <f>'[6]D M S'!$M299</f>
        <v>0</v>
      </c>
      <c r="L299" s="1106">
        <f>'[7]D M S'!$M299</f>
        <v>0</v>
      </c>
      <c r="M299" s="1091">
        <f t="shared" si="21"/>
        <v>0</v>
      </c>
      <c r="N299" s="84"/>
      <c r="O299" s="1048"/>
    </row>
    <row r="300" spans="1:15" ht="40.5" hidden="1" customHeight="1">
      <c r="A300" s="1825">
        <v>4.65034965034965</v>
      </c>
      <c r="B300" s="1829"/>
      <c r="C300" s="1834"/>
      <c r="D300" s="1835"/>
      <c r="E300" s="1088" t="s">
        <v>116</v>
      </c>
      <c r="F300" s="1118">
        <f>'[1]D M S'!$M300</f>
        <v>0</v>
      </c>
      <c r="G300" s="1047">
        <f>'[2]D M S'!$M300</f>
        <v>0</v>
      </c>
      <c r="H300" s="1090">
        <f>'[3]D M S'!$M300</f>
        <v>0</v>
      </c>
      <c r="I300" s="1106">
        <f>'[4]D M S'!$M300</f>
        <v>0</v>
      </c>
      <c r="J300" s="1106">
        <f>'[5]D M S'!$M300</f>
        <v>0</v>
      </c>
      <c r="K300" s="1106">
        <f>'[6]D M S'!$M300</f>
        <v>0</v>
      </c>
      <c r="L300" s="1106">
        <f>'[7]D M S'!$M300</f>
        <v>0</v>
      </c>
      <c r="M300" s="1091">
        <f t="shared" si="21"/>
        <v>0</v>
      </c>
      <c r="N300" s="84"/>
      <c r="O300" s="1048"/>
    </row>
    <row r="301" spans="1:15" ht="40.5" hidden="1" customHeight="1">
      <c r="A301" s="1825">
        <v>4.6911421911421902</v>
      </c>
      <c r="B301" s="1829"/>
      <c r="C301" s="1834"/>
      <c r="D301" s="1835"/>
      <c r="E301" s="1088" t="s">
        <v>117</v>
      </c>
      <c r="F301" s="1118">
        <f>'[1]D M S'!$M301</f>
        <v>0</v>
      </c>
      <c r="G301" s="1047">
        <f>'[2]D M S'!$M301</f>
        <v>0</v>
      </c>
      <c r="H301" s="1090">
        <f>'[3]D M S'!$M301</f>
        <v>0</v>
      </c>
      <c r="I301" s="1106">
        <f>'[4]D M S'!$M301</f>
        <v>0</v>
      </c>
      <c r="J301" s="1106">
        <f>'[5]D M S'!$M301</f>
        <v>0</v>
      </c>
      <c r="K301" s="1106">
        <f>'[6]D M S'!$M301</f>
        <v>0</v>
      </c>
      <c r="L301" s="1106">
        <f>'[7]D M S'!$M301</f>
        <v>0</v>
      </c>
      <c r="M301" s="1091">
        <f t="shared" si="21"/>
        <v>0</v>
      </c>
      <c r="N301" s="84"/>
      <c r="O301" s="1048"/>
    </row>
    <row r="302" spans="1:15" ht="40.5" hidden="1" customHeight="1">
      <c r="A302" s="1741">
        <v>11</v>
      </c>
      <c r="B302" s="1829" t="s">
        <v>674</v>
      </c>
      <c r="C302" s="1834">
        <v>60681</v>
      </c>
      <c r="D302" s="1835" t="s">
        <v>708</v>
      </c>
      <c r="E302" s="1088" t="s">
        <v>115</v>
      </c>
      <c r="F302" s="1118"/>
      <c r="G302" s="1047">
        <f>'[2]D M S'!$M302</f>
        <v>0</v>
      </c>
      <c r="H302" s="1090">
        <f>'[3]D M S'!$M302</f>
        <v>0</v>
      </c>
      <c r="I302" s="1090">
        <f>'[9]D M S'!$M302</f>
        <v>0</v>
      </c>
      <c r="J302" s="1106">
        <f>'[5]D M S'!$M302</f>
        <v>0</v>
      </c>
      <c r="K302" s="1106">
        <f>'[6]D M S'!$M302</f>
        <v>0</v>
      </c>
      <c r="L302" s="1106">
        <f>'[7]D M S'!$M302</f>
        <v>0</v>
      </c>
      <c r="M302" s="1091">
        <f t="shared" si="21"/>
        <v>0</v>
      </c>
      <c r="N302" s="84"/>
      <c r="O302" s="1048"/>
    </row>
    <row r="303" spans="1:15" ht="40.5" hidden="1" customHeight="1">
      <c r="A303" s="1741">
        <v>4.7727272727272698</v>
      </c>
      <c r="B303" s="1829"/>
      <c r="C303" s="1834"/>
      <c r="D303" s="1835"/>
      <c r="E303" s="1088" t="s">
        <v>116</v>
      </c>
      <c r="F303" s="1118">
        <f>'[1]D M S'!$M303</f>
        <v>0</v>
      </c>
      <c r="G303" s="1047">
        <f>'[2]D M S'!$M303</f>
        <v>0</v>
      </c>
      <c r="H303" s="1090">
        <f>'[3]D M S'!$M303</f>
        <v>0</v>
      </c>
      <c r="I303" s="1106">
        <f>'[4]D M S'!$M303</f>
        <v>0</v>
      </c>
      <c r="J303" s="1106">
        <f>'[5]D M S'!$M303</f>
        <v>0</v>
      </c>
      <c r="K303" s="1106">
        <f>'[6]D M S'!$M303</f>
        <v>0</v>
      </c>
      <c r="L303" s="1106">
        <f>'[7]D M S'!$M303</f>
        <v>0</v>
      </c>
      <c r="M303" s="1091">
        <f t="shared" si="21"/>
        <v>0</v>
      </c>
      <c r="N303" s="84"/>
      <c r="O303" s="1048"/>
    </row>
    <row r="304" spans="1:15" ht="40.5" hidden="1" customHeight="1">
      <c r="A304" s="1741">
        <v>4.8135198135198101</v>
      </c>
      <c r="B304" s="1829"/>
      <c r="C304" s="1834"/>
      <c r="D304" s="1835"/>
      <c r="E304" s="1088" t="s">
        <v>117</v>
      </c>
      <c r="F304" s="1118">
        <f>'[1]D M S'!$M304</f>
        <v>0</v>
      </c>
      <c r="G304" s="1047">
        <f>'[2]D M S'!$M304</f>
        <v>0</v>
      </c>
      <c r="H304" s="1090">
        <f>'[3]D M S'!$M304</f>
        <v>0</v>
      </c>
      <c r="I304" s="1106">
        <f>'[4]D M S'!$M304</f>
        <v>0</v>
      </c>
      <c r="J304" s="1106">
        <f>'[5]D M S'!$M304</f>
        <v>0</v>
      </c>
      <c r="K304" s="1106">
        <f>'[6]D M S'!$M304</f>
        <v>0</v>
      </c>
      <c r="L304" s="1106">
        <f>'[7]D M S'!$M304</f>
        <v>0</v>
      </c>
      <c r="M304" s="1091">
        <f t="shared" si="21"/>
        <v>0</v>
      </c>
      <c r="N304" s="84"/>
      <c r="O304" s="1048"/>
    </row>
    <row r="305" spans="1:15" ht="27" hidden="1" customHeight="1">
      <c r="A305" s="1825">
        <v>12</v>
      </c>
      <c r="B305" s="1829" t="s">
        <v>674</v>
      </c>
      <c r="C305" s="1735">
        <v>67618</v>
      </c>
      <c r="D305" s="1835" t="s">
        <v>708</v>
      </c>
      <c r="E305" s="1088" t="s">
        <v>115</v>
      </c>
      <c r="F305" s="1118"/>
      <c r="G305" s="1047"/>
      <c r="H305" s="1090"/>
      <c r="I305" s="1090"/>
      <c r="J305" s="1106">
        <f>'[5]D M S'!$M305</f>
        <v>0</v>
      </c>
      <c r="K305" s="1106">
        <f>'[6]D M S'!$M305</f>
        <v>0</v>
      </c>
      <c r="L305" s="1106">
        <f>'[7]D M S'!$M305</f>
        <v>0</v>
      </c>
      <c r="M305" s="1091">
        <f t="shared" si="21"/>
        <v>0</v>
      </c>
      <c r="N305" s="84"/>
      <c r="O305" s="1048"/>
    </row>
    <row r="306" spans="1:15" ht="24.75" hidden="1" customHeight="1">
      <c r="A306" s="1825">
        <v>4.8951048951048897</v>
      </c>
      <c r="B306" s="1829"/>
      <c r="C306" s="1735"/>
      <c r="D306" s="1835"/>
      <c r="E306" s="1088" t="s">
        <v>116</v>
      </c>
      <c r="F306" s="1118">
        <f>'[1]D M S'!$M306</f>
        <v>0</v>
      </c>
      <c r="G306" s="1047">
        <f>'[2]D M S'!$M306</f>
        <v>0</v>
      </c>
      <c r="H306" s="1090">
        <f>'[3]D M S'!$M306</f>
        <v>0</v>
      </c>
      <c r="I306" s="1106">
        <f>'[4]D M S'!$M306</f>
        <v>0</v>
      </c>
      <c r="J306" s="1106">
        <f>'[5]D M S'!$M306</f>
        <v>0</v>
      </c>
      <c r="K306" s="1106">
        <f>'[6]D M S'!$M306</f>
        <v>0</v>
      </c>
      <c r="L306" s="1106">
        <f>'[7]D M S'!$M306</f>
        <v>0</v>
      </c>
      <c r="M306" s="1091">
        <f t="shared" si="21"/>
        <v>0</v>
      </c>
      <c r="N306" s="84"/>
      <c r="O306" s="1048"/>
    </row>
    <row r="307" spans="1:15" ht="30" hidden="1" customHeight="1">
      <c r="A307" s="1825">
        <v>4.9358974358974299</v>
      </c>
      <c r="B307" s="1829"/>
      <c r="C307" s="1735"/>
      <c r="D307" s="1835"/>
      <c r="E307" s="1088" t="s">
        <v>117</v>
      </c>
      <c r="F307" s="1118">
        <f>'[1]D M S'!$M307</f>
        <v>0</v>
      </c>
      <c r="G307" s="1047">
        <f>'[2]D M S'!$M307</f>
        <v>0</v>
      </c>
      <c r="H307" s="1090">
        <f>'[3]D M S'!$M307</f>
        <v>0</v>
      </c>
      <c r="I307" s="1106">
        <f>'[4]D M S'!$M307</f>
        <v>0</v>
      </c>
      <c r="J307" s="1106">
        <f>'[5]D M S'!$M307</f>
        <v>0</v>
      </c>
      <c r="K307" s="1106">
        <f>'[6]D M S'!$M307</f>
        <v>0</v>
      </c>
      <c r="L307" s="1106">
        <f>'[7]D M S'!$M307</f>
        <v>0</v>
      </c>
      <c r="M307" s="1091">
        <f t="shared" si="21"/>
        <v>0</v>
      </c>
      <c r="N307" s="84"/>
      <c r="O307" s="1048"/>
    </row>
    <row r="308" spans="1:15" ht="40.5" customHeight="1">
      <c r="A308" s="1749">
        <v>12</v>
      </c>
      <c r="B308" s="1829" t="s">
        <v>162</v>
      </c>
      <c r="C308" s="1735">
        <v>62485</v>
      </c>
      <c r="D308" s="1835" t="s">
        <v>708</v>
      </c>
      <c r="E308" s="1088" t="s">
        <v>115</v>
      </c>
      <c r="F308" s="1118">
        <f>'[8]D M S'!$F308</f>
        <v>10</v>
      </c>
      <c r="G308" s="1047">
        <f>'[2]D M S'!$M308</f>
        <v>10</v>
      </c>
      <c r="H308" s="1090">
        <f>'[3]D M S'!$M308</f>
        <v>10</v>
      </c>
      <c r="I308" s="1106">
        <f>'[9]D M S'!$I$308</f>
        <v>10</v>
      </c>
      <c r="J308" s="1106">
        <f>'[5]D M S'!$J$308</f>
        <v>10</v>
      </c>
      <c r="K308" s="1106">
        <f>'[6]D M S'!$M308</f>
        <v>10</v>
      </c>
      <c r="L308" s="1106">
        <f>'[7]D M S'!$M308</f>
        <v>10</v>
      </c>
      <c r="M308" s="1091">
        <f t="shared" si="21"/>
        <v>70</v>
      </c>
      <c r="N308" s="84"/>
      <c r="O308" s="1048"/>
    </row>
    <row r="309" spans="1:15" ht="40.5" customHeight="1">
      <c r="A309" s="1749"/>
      <c r="B309" s="1829"/>
      <c r="C309" s="1735"/>
      <c r="D309" s="1835"/>
      <c r="E309" s="1088" t="s">
        <v>116</v>
      </c>
      <c r="F309" s="1118">
        <f>'[8]D M S'!$F309</f>
        <v>0</v>
      </c>
      <c r="G309" s="1047">
        <f>'[2]D M S'!$M309</f>
        <v>0</v>
      </c>
      <c r="H309" s="1090">
        <f>'[3]D M S'!$M309</f>
        <v>0</v>
      </c>
      <c r="I309" s="1106">
        <f>'[4]D M S'!$M309</f>
        <v>0</v>
      </c>
      <c r="J309" s="1106">
        <f>'[5]D M S'!$M309</f>
        <v>0</v>
      </c>
      <c r="K309" s="1106">
        <f>'[6]D M S'!$M309</f>
        <v>0</v>
      </c>
      <c r="L309" s="1106">
        <f>'[7]D M S'!$M309</f>
        <v>0</v>
      </c>
      <c r="M309" s="1091">
        <f t="shared" si="21"/>
        <v>0</v>
      </c>
      <c r="N309" s="84"/>
      <c r="O309" s="1048"/>
    </row>
    <row r="310" spans="1:15" ht="40.5" customHeight="1">
      <c r="A310" s="1749"/>
      <c r="B310" s="1829"/>
      <c r="C310" s="1735"/>
      <c r="D310" s="1835"/>
      <c r="E310" s="1088" t="s">
        <v>117</v>
      </c>
      <c r="F310" s="1118">
        <f>'[8]D M S'!$F310</f>
        <v>0</v>
      </c>
      <c r="G310" s="1047">
        <f>'[2]D M S'!$M310</f>
        <v>0</v>
      </c>
      <c r="H310" s="1090">
        <f>'[3]D M S'!$M310</f>
        <v>0</v>
      </c>
      <c r="I310" s="1106">
        <f>'[4]D M S'!$M310</f>
        <v>0</v>
      </c>
      <c r="J310" s="1106">
        <f>'[5]D M S'!$M310</f>
        <v>0</v>
      </c>
      <c r="K310" s="1106">
        <f>'[6]D M S'!$M310</f>
        <v>0</v>
      </c>
      <c r="L310" s="1106">
        <f>'[7]D M S'!$M310</f>
        <v>0</v>
      </c>
      <c r="M310" s="1091">
        <f t="shared" si="21"/>
        <v>0</v>
      </c>
      <c r="N310" s="84"/>
      <c r="O310" s="1048"/>
    </row>
    <row r="311" spans="1:15" ht="27" customHeight="1">
      <c r="A311" s="1749">
        <v>14</v>
      </c>
      <c r="B311" s="1829" t="s">
        <v>162</v>
      </c>
      <c r="C311" s="1735">
        <v>48049</v>
      </c>
      <c r="D311" s="1835" t="s">
        <v>708</v>
      </c>
      <c r="E311" s="1088" t="s">
        <v>115</v>
      </c>
      <c r="F311" s="1118">
        <f>'[8]D M S'!$M311</f>
        <v>10</v>
      </c>
      <c r="G311" s="1047">
        <f>'[2]D M S'!$M311</f>
        <v>10</v>
      </c>
      <c r="H311" s="1090">
        <f>'[3]D M S'!$M311</f>
        <v>10</v>
      </c>
      <c r="I311" s="1106">
        <f>'[9]D M S'!$M$311</f>
        <v>10</v>
      </c>
      <c r="J311" s="1106">
        <f>'[5]D M S'!$M311</f>
        <v>10</v>
      </c>
      <c r="K311" s="1106">
        <f>'[6]D M S'!$M311</f>
        <v>10</v>
      </c>
      <c r="L311" s="1106">
        <f>'[7]D M S'!$M311</f>
        <v>10</v>
      </c>
      <c r="M311" s="1091">
        <f t="shared" si="21"/>
        <v>70</v>
      </c>
      <c r="N311" s="84"/>
      <c r="O311" s="1048"/>
    </row>
    <row r="312" spans="1:15" ht="24.75" customHeight="1">
      <c r="A312" s="1749"/>
      <c r="B312" s="1829"/>
      <c r="C312" s="1735"/>
      <c r="D312" s="1835"/>
      <c r="E312" s="1088" t="s">
        <v>116</v>
      </c>
      <c r="F312" s="1118">
        <f>'[8]D M S'!$M312</f>
        <v>0</v>
      </c>
      <c r="G312" s="1047">
        <f>'[2]D M S'!$M312</f>
        <v>0</v>
      </c>
      <c r="H312" s="1090">
        <f>'[3]D M S'!$M312</f>
        <v>0</v>
      </c>
      <c r="I312" s="1106">
        <f>'[4]D M S'!$M312</f>
        <v>0</v>
      </c>
      <c r="J312" s="1106">
        <f>'[5]D M S'!$M312</f>
        <v>0</v>
      </c>
      <c r="K312" s="1106">
        <f>'[6]D M S'!$M312</f>
        <v>0</v>
      </c>
      <c r="L312" s="1106">
        <f>'[7]D M S'!$M312</f>
        <v>0</v>
      </c>
      <c r="M312" s="1091">
        <f t="shared" si="21"/>
        <v>0</v>
      </c>
      <c r="N312" s="84"/>
      <c r="O312" s="1048"/>
    </row>
    <row r="313" spans="1:15" ht="30.75" customHeight="1">
      <c r="A313" s="1749"/>
      <c r="B313" s="1829"/>
      <c r="C313" s="1735"/>
      <c r="D313" s="1835"/>
      <c r="E313" s="1088" t="s">
        <v>117</v>
      </c>
      <c r="F313" s="1118">
        <f>'[8]D M S'!$M313</f>
        <v>0</v>
      </c>
      <c r="G313" s="1047">
        <f>'[2]D M S'!$M313</f>
        <v>0</v>
      </c>
      <c r="H313" s="1090">
        <f>'[3]D M S'!$M313</f>
        <v>0</v>
      </c>
      <c r="I313" s="1106">
        <f>'[4]D M S'!$M313</f>
        <v>0</v>
      </c>
      <c r="J313" s="1106">
        <f>'[5]D M S'!$M313</f>
        <v>0</v>
      </c>
      <c r="K313" s="1106">
        <f>'[6]D M S'!$M313</f>
        <v>0</v>
      </c>
      <c r="L313" s="1106">
        <f>'[7]D M S'!$M313</f>
        <v>0</v>
      </c>
      <c r="M313" s="1091">
        <f t="shared" si="21"/>
        <v>0</v>
      </c>
      <c r="N313" s="84"/>
      <c r="O313" s="1048"/>
    </row>
    <row r="314" spans="1:15" ht="40.5" customHeight="1">
      <c r="A314" s="1749">
        <v>13</v>
      </c>
      <c r="B314" s="1829" t="s">
        <v>162</v>
      </c>
      <c r="C314" s="1735">
        <v>49739</v>
      </c>
      <c r="D314" s="1835" t="s">
        <v>708</v>
      </c>
      <c r="E314" s="1088" t="s">
        <v>115</v>
      </c>
      <c r="F314" s="1118">
        <f>'[1]D M S'!$M314</f>
        <v>0</v>
      </c>
      <c r="G314" s="1047">
        <f>'[2]D M S'!$M314</f>
        <v>0</v>
      </c>
      <c r="H314" s="1090">
        <f>'[3]D M S'!$M314</f>
        <v>0</v>
      </c>
      <c r="I314" s="1106">
        <f>'[4]D M S'!$M314</f>
        <v>0</v>
      </c>
      <c r="J314" s="1106">
        <f>'[5]D M S'!$M314</f>
        <v>10</v>
      </c>
      <c r="K314" s="1106">
        <f>'[6]D M S'!$M314</f>
        <v>10</v>
      </c>
      <c r="L314" s="1106">
        <f>'[7]D M S'!$M314</f>
        <v>10</v>
      </c>
      <c r="M314" s="1091">
        <f t="shared" si="21"/>
        <v>30</v>
      </c>
      <c r="N314" s="84"/>
      <c r="O314" s="1048"/>
    </row>
    <row r="315" spans="1:15" ht="40.5" customHeight="1">
      <c r="A315" s="1749"/>
      <c r="B315" s="1829"/>
      <c r="C315" s="1735"/>
      <c r="D315" s="1835"/>
      <c r="E315" s="1088" t="s">
        <v>116</v>
      </c>
      <c r="F315" s="1118">
        <f>'[1]D M S'!$M315</f>
        <v>0</v>
      </c>
      <c r="G315" s="1047">
        <f>'[2]D M S'!$M315</f>
        <v>0</v>
      </c>
      <c r="H315" s="1090">
        <f>'[3]D M S'!$M315</f>
        <v>0</v>
      </c>
      <c r="I315" s="1106">
        <f>'[4]D M S'!$M315</f>
        <v>0</v>
      </c>
      <c r="J315" s="1106">
        <f>'[5]D M S'!$M315</f>
        <v>0</v>
      </c>
      <c r="K315" s="1106">
        <f>'[6]D M S'!$M315</f>
        <v>0</v>
      </c>
      <c r="L315" s="1106">
        <f>'[7]D M S'!$M315</f>
        <v>0</v>
      </c>
      <c r="M315" s="1091">
        <f t="shared" si="21"/>
        <v>0</v>
      </c>
      <c r="N315" s="84"/>
      <c r="O315" s="1048"/>
    </row>
    <row r="316" spans="1:15" ht="40.5" customHeight="1">
      <c r="A316" s="1749"/>
      <c r="B316" s="1829"/>
      <c r="C316" s="1735"/>
      <c r="D316" s="1835"/>
      <c r="E316" s="1088" t="s">
        <v>117</v>
      </c>
      <c r="F316" s="1118">
        <f>'[1]D M S'!$M316</f>
        <v>0</v>
      </c>
      <c r="G316" s="1047">
        <f>'[2]D M S'!$M316</f>
        <v>0</v>
      </c>
      <c r="H316" s="1090">
        <f>'[3]D M S'!$M316</f>
        <v>0</v>
      </c>
      <c r="I316" s="1106">
        <f>'[4]D M S'!$M316</f>
        <v>0</v>
      </c>
      <c r="J316" s="1106">
        <f>'[5]D M S'!$M316</f>
        <v>0</v>
      </c>
      <c r="K316" s="1106">
        <f>'[6]D M S'!$M316</f>
        <v>0</v>
      </c>
      <c r="L316" s="1106">
        <f>'[7]D M S'!$M316</f>
        <v>0</v>
      </c>
      <c r="M316" s="1091">
        <f t="shared" si="21"/>
        <v>0</v>
      </c>
      <c r="N316" s="84"/>
      <c r="O316" s="1048"/>
    </row>
    <row r="317" spans="1:15" ht="40.5" hidden="1" customHeight="1">
      <c r="A317" s="1749">
        <v>14</v>
      </c>
      <c r="B317" s="1829" t="s">
        <v>162</v>
      </c>
      <c r="C317" s="1735"/>
      <c r="D317" s="1751"/>
      <c r="E317" s="1088" t="s">
        <v>115</v>
      </c>
      <c r="F317" s="1118">
        <f>'[1]D M S'!$M317</f>
        <v>0</v>
      </c>
      <c r="G317" s="1047">
        <f>'[2]D M S'!$M317</f>
        <v>0</v>
      </c>
      <c r="H317" s="1090">
        <f>'[3]D M S'!$M317</f>
        <v>0</v>
      </c>
      <c r="I317" s="1106">
        <f>'[4]D M S'!$M317</f>
        <v>0</v>
      </c>
      <c r="J317" s="1106">
        <f>'[5]D M S'!$M317</f>
        <v>0</v>
      </c>
      <c r="K317" s="1106">
        <f>'[6]D M S'!$M317</f>
        <v>0</v>
      </c>
      <c r="L317" s="1106">
        <f>'[7]D M S'!$M317</f>
        <v>0</v>
      </c>
      <c r="M317" s="1091">
        <f t="shared" si="21"/>
        <v>0</v>
      </c>
      <c r="N317" s="84"/>
      <c r="O317" s="1048"/>
    </row>
    <row r="318" spans="1:15" ht="40.5" hidden="1" customHeight="1">
      <c r="A318" s="1749"/>
      <c r="B318" s="1829"/>
      <c r="C318" s="1735"/>
      <c r="D318" s="1751"/>
      <c r="E318" s="1088" t="s">
        <v>116</v>
      </c>
      <c r="F318" s="1118">
        <f>'[1]D M S'!$M318</f>
        <v>0</v>
      </c>
      <c r="G318" s="1047">
        <f>'[2]D M S'!$M318</f>
        <v>0</v>
      </c>
      <c r="H318" s="1090">
        <f>'[3]D M S'!$M318</f>
        <v>0</v>
      </c>
      <c r="I318" s="1106">
        <f>'[4]D M S'!$M318</f>
        <v>0</v>
      </c>
      <c r="J318" s="1106">
        <f>'[5]D M S'!$M318</f>
        <v>0</v>
      </c>
      <c r="K318" s="1106">
        <f>'[6]D M S'!$M318</f>
        <v>0</v>
      </c>
      <c r="L318" s="1106">
        <f>'[7]D M S'!$M318</f>
        <v>0</v>
      </c>
      <c r="M318" s="1091">
        <f t="shared" si="21"/>
        <v>0</v>
      </c>
      <c r="N318" s="84"/>
      <c r="O318" s="1048"/>
    </row>
    <row r="319" spans="1:15" ht="40.5" hidden="1" customHeight="1">
      <c r="A319" s="1749"/>
      <c r="B319" s="1829"/>
      <c r="C319" s="1735"/>
      <c r="D319" s="1751"/>
      <c r="E319" s="1088" t="s">
        <v>117</v>
      </c>
      <c r="F319" s="1118">
        <f>'[1]D M S'!$M319</f>
        <v>0</v>
      </c>
      <c r="G319" s="1047">
        <f>'[2]D M S'!$M319</f>
        <v>0</v>
      </c>
      <c r="H319" s="1090">
        <f>'[3]D M S'!$M319</f>
        <v>0</v>
      </c>
      <c r="I319" s="1106">
        <f>'[4]D M S'!$M319</f>
        <v>0</v>
      </c>
      <c r="J319" s="1106">
        <f>'[5]D M S'!$M319</f>
        <v>0</v>
      </c>
      <c r="K319" s="1106">
        <f>'[6]D M S'!$M319</f>
        <v>0</v>
      </c>
      <c r="L319" s="1106">
        <f>'[7]D M S'!$M319</f>
        <v>0</v>
      </c>
      <c r="M319" s="1091">
        <f t="shared" si="21"/>
        <v>0</v>
      </c>
      <c r="N319" s="84"/>
      <c r="O319" s="1048"/>
    </row>
    <row r="320" spans="1:15" ht="12.75" hidden="1" customHeight="1">
      <c r="A320" s="1749">
        <v>17</v>
      </c>
      <c r="B320" s="1829" t="s">
        <v>162</v>
      </c>
      <c r="C320" s="1735" t="s">
        <v>167</v>
      </c>
      <c r="D320" s="1751"/>
      <c r="E320" s="1088" t="s">
        <v>115</v>
      </c>
      <c r="F320" s="1118">
        <f>'[1]D M S'!$M320</f>
        <v>0</v>
      </c>
      <c r="G320" s="1047">
        <f>'[2]D M S'!$M320</f>
        <v>0</v>
      </c>
      <c r="H320" s="1090">
        <f>'[3]D M S'!$M320</f>
        <v>0</v>
      </c>
      <c r="I320" s="1106">
        <f>'[4]D M S'!$M320</f>
        <v>0</v>
      </c>
      <c r="J320" s="1106">
        <f>'[5]D M S'!$M320</f>
        <v>0</v>
      </c>
      <c r="K320" s="1106">
        <f>'[6]D M S'!$M320</f>
        <v>0</v>
      </c>
      <c r="L320" s="1106">
        <f>'[7]D M S'!$M320</f>
        <v>0</v>
      </c>
      <c r="M320" s="1091">
        <f t="shared" si="21"/>
        <v>0</v>
      </c>
      <c r="N320" s="84"/>
      <c r="O320" s="1048"/>
    </row>
    <row r="321" spans="1:15" ht="12.75" hidden="1" customHeight="1">
      <c r="A321" s="1749"/>
      <c r="B321" s="1829"/>
      <c r="C321" s="1735"/>
      <c r="D321" s="1751"/>
      <c r="E321" s="1088" t="s">
        <v>116</v>
      </c>
      <c r="F321" s="1118">
        <f>'[1]D M S'!$M321</f>
        <v>0</v>
      </c>
      <c r="G321" s="1047">
        <f>'[2]D M S'!$M321</f>
        <v>0</v>
      </c>
      <c r="H321" s="1090">
        <f>'[3]D M S'!$M321</f>
        <v>0</v>
      </c>
      <c r="I321" s="1106">
        <f>'[4]D M S'!$M321</f>
        <v>0</v>
      </c>
      <c r="J321" s="1106">
        <f>'[5]D M S'!$M321</f>
        <v>0</v>
      </c>
      <c r="K321" s="1106">
        <f>'[6]D M S'!$M321</f>
        <v>0</v>
      </c>
      <c r="L321" s="1106">
        <f>'[7]D M S'!$M321</f>
        <v>0</v>
      </c>
      <c r="M321" s="1091">
        <f t="shared" si="21"/>
        <v>0</v>
      </c>
      <c r="N321" s="84"/>
      <c r="O321" s="1048"/>
    </row>
    <row r="322" spans="1:15" ht="12.75" hidden="1" customHeight="1">
      <c r="A322" s="1749"/>
      <c r="B322" s="1829"/>
      <c r="C322" s="1735"/>
      <c r="D322" s="1751"/>
      <c r="E322" s="1088" t="s">
        <v>117</v>
      </c>
      <c r="F322" s="1118">
        <f>'[1]D M S'!$M322</f>
        <v>0</v>
      </c>
      <c r="G322" s="1047">
        <f>'[2]D M S'!$M322</f>
        <v>0</v>
      </c>
      <c r="H322" s="1090">
        <f>'[3]D M S'!$M322</f>
        <v>0</v>
      </c>
      <c r="I322" s="1106">
        <f>'[4]D M S'!$M322</f>
        <v>0</v>
      </c>
      <c r="J322" s="1106">
        <f>'[5]D M S'!$M322</f>
        <v>0</v>
      </c>
      <c r="K322" s="1106">
        <f>'[6]D M S'!$M322</f>
        <v>0</v>
      </c>
      <c r="L322" s="1106">
        <f>'[7]D M S'!$M322</f>
        <v>0</v>
      </c>
      <c r="M322" s="1091">
        <f t="shared" si="21"/>
        <v>0</v>
      </c>
      <c r="N322" s="84"/>
      <c r="O322" s="1048"/>
    </row>
    <row r="323" spans="1:15" ht="12.75" hidden="1" customHeight="1">
      <c r="A323" s="1749">
        <v>18</v>
      </c>
      <c r="B323" s="1829" t="s">
        <v>162</v>
      </c>
      <c r="C323" s="1735" t="s">
        <v>168</v>
      </c>
      <c r="D323" s="1751" t="s">
        <v>169</v>
      </c>
      <c r="E323" s="1088" t="s">
        <v>115</v>
      </c>
      <c r="F323" s="1118">
        <f>'[1]D M S'!$M323</f>
        <v>0</v>
      </c>
      <c r="G323" s="1047">
        <f>'[2]D M S'!$M323</f>
        <v>0</v>
      </c>
      <c r="H323" s="1090">
        <f>'[3]D M S'!$M323</f>
        <v>0</v>
      </c>
      <c r="I323" s="1106">
        <f>'[4]D M S'!$M323</f>
        <v>0</v>
      </c>
      <c r="J323" s="1106">
        <f>'[5]D M S'!$M323</f>
        <v>0</v>
      </c>
      <c r="K323" s="1106">
        <f>'[6]D M S'!$M323</f>
        <v>0</v>
      </c>
      <c r="L323" s="1106">
        <f>'[7]D M S'!$M323</f>
        <v>0</v>
      </c>
      <c r="M323" s="1091">
        <f t="shared" si="21"/>
        <v>0</v>
      </c>
      <c r="N323" s="84"/>
      <c r="O323" s="1048"/>
    </row>
    <row r="324" spans="1:15" ht="12.75" hidden="1" customHeight="1">
      <c r="A324" s="1749"/>
      <c r="B324" s="1829"/>
      <c r="C324" s="1735"/>
      <c r="D324" s="1751"/>
      <c r="E324" s="1088" t="s">
        <v>116</v>
      </c>
      <c r="F324" s="1118">
        <f>'[1]D M S'!$M324</f>
        <v>0</v>
      </c>
      <c r="G324" s="1047">
        <f>'[2]D M S'!$M324</f>
        <v>0</v>
      </c>
      <c r="H324" s="1090">
        <f>'[3]D M S'!$M324</f>
        <v>0</v>
      </c>
      <c r="I324" s="1106">
        <f>'[4]D M S'!$M324</f>
        <v>0</v>
      </c>
      <c r="J324" s="1106">
        <f>'[5]D M S'!$M324</f>
        <v>0</v>
      </c>
      <c r="K324" s="1106">
        <f>'[6]D M S'!$M324</f>
        <v>0</v>
      </c>
      <c r="L324" s="1106">
        <f>'[7]D M S'!$M324</f>
        <v>0</v>
      </c>
      <c r="M324" s="1091">
        <f t="shared" si="21"/>
        <v>0</v>
      </c>
      <c r="N324" s="84"/>
      <c r="O324" s="1048"/>
    </row>
    <row r="325" spans="1:15" ht="12.75" hidden="1" customHeight="1">
      <c r="A325" s="1749"/>
      <c r="B325" s="1829"/>
      <c r="C325" s="1735"/>
      <c r="D325" s="1751"/>
      <c r="E325" s="1088" t="s">
        <v>117</v>
      </c>
      <c r="F325" s="1118">
        <f>'[1]D M S'!$M325</f>
        <v>0</v>
      </c>
      <c r="G325" s="1047">
        <f>'[2]D M S'!$M325</f>
        <v>0</v>
      </c>
      <c r="H325" s="1090">
        <f>'[3]D M S'!$M325</f>
        <v>0</v>
      </c>
      <c r="I325" s="1106">
        <f>'[4]D M S'!$M325</f>
        <v>0</v>
      </c>
      <c r="J325" s="1106">
        <f>'[5]D M S'!$M325</f>
        <v>0</v>
      </c>
      <c r="K325" s="1106">
        <f>'[6]D M S'!$M325</f>
        <v>0</v>
      </c>
      <c r="L325" s="1106">
        <f>'[7]D M S'!$M325</f>
        <v>0</v>
      </c>
      <c r="M325" s="1091">
        <f t="shared" si="21"/>
        <v>0</v>
      </c>
      <c r="N325" s="84"/>
      <c r="O325" s="1048"/>
    </row>
    <row r="326" spans="1:15" ht="12.75" hidden="1" customHeight="1">
      <c r="A326" s="1749">
        <v>19</v>
      </c>
      <c r="B326" s="1829" t="s">
        <v>162</v>
      </c>
      <c r="C326" s="1735" t="s">
        <v>170</v>
      </c>
      <c r="D326" s="1751" t="s">
        <v>158</v>
      </c>
      <c r="E326" s="1088" t="s">
        <v>115</v>
      </c>
      <c r="F326" s="1118">
        <f>'[1]D M S'!$M326</f>
        <v>0</v>
      </c>
      <c r="G326" s="1047">
        <f>'[2]D M S'!$M326</f>
        <v>0</v>
      </c>
      <c r="H326" s="1090">
        <f>'[3]D M S'!$M326</f>
        <v>0</v>
      </c>
      <c r="I326" s="1106">
        <f>'[4]D M S'!$M326</f>
        <v>0</v>
      </c>
      <c r="J326" s="1106">
        <f>'[5]D M S'!$M326</f>
        <v>0</v>
      </c>
      <c r="K326" s="1106">
        <f>'[6]D M S'!$M326</f>
        <v>0</v>
      </c>
      <c r="L326" s="1106">
        <f>'[7]D M S'!$M326</f>
        <v>0</v>
      </c>
      <c r="M326" s="1091">
        <f t="shared" si="21"/>
        <v>0</v>
      </c>
      <c r="N326" s="84"/>
      <c r="O326" s="1048"/>
    </row>
    <row r="327" spans="1:15" ht="12.75" hidden="1" customHeight="1">
      <c r="A327" s="1749"/>
      <c r="B327" s="1829"/>
      <c r="C327" s="1735"/>
      <c r="D327" s="1751"/>
      <c r="E327" s="1088" t="s">
        <v>116</v>
      </c>
      <c r="F327" s="1118">
        <f>'[1]D M S'!$M327</f>
        <v>0</v>
      </c>
      <c r="G327" s="1047">
        <f>'[2]D M S'!$M327</f>
        <v>0</v>
      </c>
      <c r="H327" s="1090">
        <f>'[3]D M S'!$M327</f>
        <v>0</v>
      </c>
      <c r="I327" s="1106">
        <f>'[4]D M S'!$M327</f>
        <v>0</v>
      </c>
      <c r="J327" s="1106">
        <f>'[5]D M S'!$M327</f>
        <v>0</v>
      </c>
      <c r="K327" s="1106">
        <f>'[6]D M S'!$M327</f>
        <v>0</v>
      </c>
      <c r="L327" s="1106">
        <f>'[7]D M S'!$M327</f>
        <v>0</v>
      </c>
      <c r="M327" s="1091">
        <f t="shared" si="21"/>
        <v>0</v>
      </c>
      <c r="N327" s="84"/>
      <c r="O327" s="1048"/>
    </row>
    <row r="328" spans="1:15" ht="12.75" hidden="1" customHeight="1">
      <c r="A328" s="1749"/>
      <c r="B328" s="1829"/>
      <c r="C328" s="1735"/>
      <c r="D328" s="1751"/>
      <c r="E328" s="1088" t="s">
        <v>117</v>
      </c>
      <c r="F328" s="1118">
        <f>'[1]D M S'!$M328</f>
        <v>0</v>
      </c>
      <c r="G328" s="1047">
        <f>'[2]D M S'!$M328</f>
        <v>0</v>
      </c>
      <c r="H328" s="1090">
        <f>'[3]D M S'!$M328</f>
        <v>0</v>
      </c>
      <c r="I328" s="1106">
        <f>'[4]D M S'!$M328</f>
        <v>0</v>
      </c>
      <c r="J328" s="1106">
        <f>'[5]D M S'!$M328</f>
        <v>0</v>
      </c>
      <c r="K328" s="1106">
        <f>'[6]D M S'!$M328</f>
        <v>0</v>
      </c>
      <c r="L328" s="1106">
        <f>'[7]D M S'!$M328</f>
        <v>0</v>
      </c>
      <c r="M328" s="1091">
        <f t="shared" si="21"/>
        <v>0</v>
      </c>
      <c r="N328" s="84"/>
      <c r="O328" s="1048"/>
    </row>
    <row r="329" spans="1:15" ht="12.75" hidden="1" customHeight="1">
      <c r="A329" s="1749">
        <v>20</v>
      </c>
      <c r="B329" s="1829" t="s">
        <v>162</v>
      </c>
      <c r="C329" s="1735" t="s">
        <v>171</v>
      </c>
      <c r="D329" s="1751"/>
      <c r="E329" s="1088" t="s">
        <v>115</v>
      </c>
      <c r="F329" s="1118">
        <f>'[1]D M S'!$M329</f>
        <v>0</v>
      </c>
      <c r="G329" s="1047">
        <f>'[2]D M S'!$M329</f>
        <v>0</v>
      </c>
      <c r="H329" s="1090">
        <f>'[3]D M S'!$M329</f>
        <v>0</v>
      </c>
      <c r="I329" s="1106">
        <f>'[4]D M S'!$M329</f>
        <v>0</v>
      </c>
      <c r="J329" s="1106">
        <f>'[5]D M S'!$M329</f>
        <v>0</v>
      </c>
      <c r="K329" s="1106">
        <f>'[6]D M S'!$M329</f>
        <v>0</v>
      </c>
      <c r="L329" s="1106">
        <f>'[7]D M S'!$M329</f>
        <v>0</v>
      </c>
      <c r="M329" s="1091">
        <f t="shared" si="21"/>
        <v>0</v>
      </c>
      <c r="N329" s="84"/>
      <c r="O329" s="1048"/>
    </row>
    <row r="330" spans="1:15" ht="12.75" hidden="1" customHeight="1">
      <c r="A330" s="1749"/>
      <c r="B330" s="1829"/>
      <c r="C330" s="1735"/>
      <c r="D330" s="1751"/>
      <c r="E330" s="1088" t="s">
        <v>116</v>
      </c>
      <c r="F330" s="1118">
        <f>'[1]D M S'!$M330</f>
        <v>0</v>
      </c>
      <c r="G330" s="1047">
        <f>'[2]D M S'!$M330</f>
        <v>0</v>
      </c>
      <c r="H330" s="1090">
        <f>'[3]D M S'!$M330</f>
        <v>0</v>
      </c>
      <c r="I330" s="1106">
        <f>'[4]D M S'!$M330</f>
        <v>0</v>
      </c>
      <c r="J330" s="1106">
        <f>'[5]D M S'!$M330</f>
        <v>0</v>
      </c>
      <c r="K330" s="1106">
        <f>'[6]D M S'!$M330</f>
        <v>0</v>
      </c>
      <c r="L330" s="1106">
        <f>'[7]D M S'!$M330</f>
        <v>0</v>
      </c>
      <c r="M330" s="1091">
        <f t="shared" si="21"/>
        <v>0</v>
      </c>
      <c r="N330" s="84"/>
      <c r="O330" s="1048"/>
    </row>
    <row r="331" spans="1:15" ht="12.75" hidden="1" customHeight="1">
      <c r="A331" s="1749"/>
      <c r="B331" s="1829"/>
      <c r="C331" s="1735"/>
      <c r="D331" s="1751"/>
      <c r="E331" s="1088" t="s">
        <v>117</v>
      </c>
      <c r="F331" s="1118">
        <f>'[1]D M S'!$M331</f>
        <v>0</v>
      </c>
      <c r="G331" s="1047">
        <f>'[2]D M S'!$M331</f>
        <v>0</v>
      </c>
      <c r="H331" s="1090">
        <f>'[3]D M S'!$M331</f>
        <v>0</v>
      </c>
      <c r="I331" s="1106">
        <f>'[4]D M S'!$M331</f>
        <v>0</v>
      </c>
      <c r="J331" s="1106">
        <f>'[5]D M S'!$M331</f>
        <v>0</v>
      </c>
      <c r="K331" s="1106">
        <f>'[6]D M S'!$M331</f>
        <v>0</v>
      </c>
      <c r="L331" s="1106">
        <f>'[7]D M S'!$M331</f>
        <v>0</v>
      </c>
      <c r="M331" s="1091">
        <f t="shared" si="21"/>
        <v>0</v>
      </c>
      <c r="N331" s="84"/>
      <c r="O331" s="1048"/>
    </row>
    <row r="332" spans="1:15" ht="40.5" hidden="1" customHeight="1">
      <c r="A332" s="1749">
        <v>15</v>
      </c>
      <c r="B332" s="1829" t="s">
        <v>162</v>
      </c>
      <c r="C332" s="1735"/>
      <c r="D332" s="1751"/>
      <c r="E332" s="1088" t="s">
        <v>115</v>
      </c>
      <c r="F332" s="1118">
        <f>'[1]D M S'!$M332</f>
        <v>0</v>
      </c>
      <c r="G332" s="1047">
        <f>'[2]D M S'!$M332</f>
        <v>0</v>
      </c>
      <c r="H332" s="1090">
        <f>'[3]D M S'!$M332</f>
        <v>0</v>
      </c>
      <c r="I332" s="1106">
        <f>'[4]D M S'!$M332</f>
        <v>0</v>
      </c>
      <c r="J332" s="1106">
        <f>'[5]D M S'!$M332</f>
        <v>0</v>
      </c>
      <c r="K332" s="1106">
        <f>'[6]D M S'!$M332</f>
        <v>0</v>
      </c>
      <c r="L332" s="1106">
        <f>'[7]D M S'!$M332</f>
        <v>0</v>
      </c>
      <c r="M332" s="1091">
        <f t="shared" si="21"/>
        <v>0</v>
      </c>
      <c r="N332" s="84"/>
      <c r="O332" s="1048"/>
    </row>
    <row r="333" spans="1:15" ht="40.5" hidden="1" customHeight="1">
      <c r="A333" s="1749"/>
      <c r="B333" s="1829"/>
      <c r="C333" s="1735"/>
      <c r="D333" s="1751"/>
      <c r="E333" s="1088" t="s">
        <v>116</v>
      </c>
      <c r="F333" s="1118">
        <f>'[1]D M S'!$M333</f>
        <v>0</v>
      </c>
      <c r="G333" s="1047">
        <f>'[2]D M S'!$M333</f>
        <v>0</v>
      </c>
      <c r="H333" s="1090">
        <f>'[3]D M S'!$M333</f>
        <v>0</v>
      </c>
      <c r="I333" s="1106">
        <f>'[4]D M S'!$M333</f>
        <v>0</v>
      </c>
      <c r="J333" s="1106">
        <f>'[5]D M S'!$M333</f>
        <v>0</v>
      </c>
      <c r="K333" s="1106">
        <f>'[6]D M S'!$M333</f>
        <v>0</v>
      </c>
      <c r="L333" s="1106">
        <f>'[7]D M S'!$M333</f>
        <v>0</v>
      </c>
      <c r="M333" s="1091">
        <f t="shared" si="21"/>
        <v>0</v>
      </c>
      <c r="N333" s="84"/>
      <c r="O333" s="1048"/>
    </row>
    <row r="334" spans="1:15" ht="40.5" hidden="1" customHeight="1">
      <c r="A334" s="1749"/>
      <c r="B334" s="1829"/>
      <c r="C334" s="1735"/>
      <c r="D334" s="1751"/>
      <c r="E334" s="1088" t="s">
        <v>117</v>
      </c>
      <c r="F334" s="1118">
        <f>'[1]D M S'!$M334</f>
        <v>0</v>
      </c>
      <c r="G334" s="1047">
        <f>'[2]D M S'!$M334</f>
        <v>0</v>
      </c>
      <c r="H334" s="1090">
        <f>'[3]D M S'!$M334</f>
        <v>0</v>
      </c>
      <c r="I334" s="1106">
        <f>'[4]D M S'!$M334</f>
        <v>0</v>
      </c>
      <c r="J334" s="1106">
        <f>'[5]D M S'!$M334</f>
        <v>0</v>
      </c>
      <c r="K334" s="1106">
        <f>'[6]D M S'!$M334</f>
        <v>0</v>
      </c>
      <c r="L334" s="1106">
        <f>'[7]D M S'!$M334</f>
        <v>0</v>
      </c>
      <c r="M334" s="1091">
        <f t="shared" si="21"/>
        <v>0</v>
      </c>
      <c r="N334" s="84"/>
      <c r="O334" s="1048"/>
    </row>
    <row r="335" spans="1:15" ht="12.75" hidden="1" customHeight="1">
      <c r="A335" s="4"/>
      <c r="B335" s="1829" t="s">
        <v>162</v>
      </c>
      <c r="C335" s="1735"/>
      <c r="D335" s="1751"/>
      <c r="E335" s="1088" t="s">
        <v>115</v>
      </c>
      <c r="F335" s="1118">
        <f>'[1]D M S'!$M335</f>
        <v>0</v>
      </c>
      <c r="G335" s="1047">
        <f>'[2]D M S'!$M335</f>
        <v>0</v>
      </c>
      <c r="H335" s="1090">
        <f>'[3]D M S'!$M335</f>
        <v>0</v>
      </c>
      <c r="I335" s="1106">
        <f>'[4]D M S'!$M335</f>
        <v>0</v>
      </c>
      <c r="J335" s="1106">
        <f>'[5]D M S'!$M335</f>
        <v>0</v>
      </c>
      <c r="K335" s="1106">
        <f>'[6]D M S'!$M335</f>
        <v>0</v>
      </c>
      <c r="L335" s="1106">
        <f>'[7]D M S'!$M335</f>
        <v>0</v>
      </c>
      <c r="M335" s="1091">
        <f t="shared" si="21"/>
        <v>0</v>
      </c>
      <c r="N335" s="84"/>
      <c r="O335" s="1048"/>
    </row>
    <row r="336" spans="1:15" ht="12.75" hidden="1" customHeight="1">
      <c r="A336" s="4"/>
      <c r="B336" s="1829"/>
      <c r="C336" s="1735"/>
      <c r="D336" s="1751"/>
      <c r="E336" s="1088" t="s">
        <v>116</v>
      </c>
      <c r="F336" s="1118">
        <f>'[1]D M S'!$M336</f>
        <v>0</v>
      </c>
      <c r="G336" s="1047">
        <f>'[2]D M S'!$M336</f>
        <v>0</v>
      </c>
      <c r="H336" s="1090">
        <f>'[3]D M S'!$M336</f>
        <v>0</v>
      </c>
      <c r="I336" s="1106">
        <f>'[4]D M S'!$M336</f>
        <v>0</v>
      </c>
      <c r="J336" s="1106">
        <f>'[5]D M S'!$M336</f>
        <v>0</v>
      </c>
      <c r="K336" s="1106">
        <f>'[6]D M S'!$M336</f>
        <v>0</v>
      </c>
      <c r="L336" s="1106">
        <f>'[7]D M S'!$M336</f>
        <v>0</v>
      </c>
      <c r="M336" s="1091">
        <f t="shared" ref="M336:M382" si="22">SUM(F336:L336)</f>
        <v>0</v>
      </c>
      <c r="N336" s="84"/>
      <c r="O336" s="1048"/>
    </row>
    <row r="337" spans="1:15" ht="12.75" hidden="1" customHeight="1">
      <c r="A337" s="4"/>
      <c r="B337" s="1829"/>
      <c r="C337" s="1735"/>
      <c r="D337" s="1751"/>
      <c r="E337" s="1088" t="s">
        <v>117</v>
      </c>
      <c r="F337" s="1118">
        <f>'[1]D M S'!$M337</f>
        <v>0</v>
      </c>
      <c r="G337" s="1047">
        <f>'[2]D M S'!$M337</f>
        <v>0</v>
      </c>
      <c r="H337" s="1090">
        <f>'[3]D M S'!$M337</f>
        <v>0</v>
      </c>
      <c r="I337" s="1106">
        <f>'[4]D M S'!$M337</f>
        <v>0</v>
      </c>
      <c r="J337" s="1106">
        <f>'[5]D M S'!$M337</f>
        <v>0</v>
      </c>
      <c r="K337" s="1106">
        <f>'[6]D M S'!$M337</f>
        <v>0</v>
      </c>
      <c r="L337" s="1106">
        <f>'[7]D M S'!$M337</f>
        <v>0</v>
      </c>
      <c r="M337" s="1091">
        <f t="shared" si="22"/>
        <v>0</v>
      </c>
      <c r="N337" s="84"/>
      <c r="O337" s="1048"/>
    </row>
    <row r="338" spans="1:15" ht="12.75" hidden="1" customHeight="1">
      <c r="A338" s="4"/>
      <c r="B338" s="1829" t="s">
        <v>162</v>
      </c>
      <c r="C338" s="1735"/>
      <c r="D338" s="1751"/>
      <c r="E338" s="1088" t="s">
        <v>115</v>
      </c>
      <c r="F338" s="1118">
        <f>'[1]D M S'!$M338</f>
        <v>0</v>
      </c>
      <c r="G338" s="1047">
        <f>'[2]D M S'!$M338</f>
        <v>0</v>
      </c>
      <c r="H338" s="1090">
        <f>'[3]D M S'!$M338</f>
        <v>0</v>
      </c>
      <c r="I338" s="1106">
        <f>'[4]D M S'!$M338</f>
        <v>0</v>
      </c>
      <c r="J338" s="1106">
        <f>'[5]D M S'!$M338</f>
        <v>0</v>
      </c>
      <c r="K338" s="1106">
        <f>'[6]D M S'!$M338</f>
        <v>0</v>
      </c>
      <c r="L338" s="1106">
        <f>'[7]D M S'!$M338</f>
        <v>0</v>
      </c>
      <c r="M338" s="1091">
        <f t="shared" si="22"/>
        <v>0</v>
      </c>
      <c r="N338" s="84"/>
      <c r="O338" s="1048"/>
    </row>
    <row r="339" spans="1:15" ht="12.75" hidden="1" customHeight="1">
      <c r="A339" s="4"/>
      <c r="B339" s="1829"/>
      <c r="C339" s="1735"/>
      <c r="D339" s="1751"/>
      <c r="E339" s="1088" t="s">
        <v>116</v>
      </c>
      <c r="F339" s="1118">
        <f>'[1]D M S'!$M339</f>
        <v>0</v>
      </c>
      <c r="G339" s="1047">
        <f>'[2]D M S'!$M339</f>
        <v>0</v>
      </c>
      <c r="H339" s="1090">
        <f>'[3]D M S'!$M339</f>
        <v>0</v>
      </c>
      <c r="I339" s="1106">
        <f>'[4]D M S'!$M339</f>
        <v>0</v>
      </c>
      <c r="J339" s="1106">
        <f>'[5]D M S'!$M339</f>
        <v>0</v>
      </c>
      <c r="K339" s="1106">
        <f>'[6]D M S'!$M339</f>
        <v>0</v>
      </c>
      <c r="L339" s="1106">
        <f>'[7]D M S'!$M339</f>
        <v>0</v>
      </c>
      <c r="M339" s="1091">
        <f t="shared" si="22"/>
        <v>0</v>
      </c>
      <c r="N339" s="84"/>
      <c r="O339" s="1048"/>
    </row>
    <row r="340" spans="1:15" ht="12.75" hidden="1" customHeight="1">
      <c r="A340" s="4"/>
      <c r="B340" s="1829"/>
      <c r="C340" s="1735"/>
      <c r="D340" s="1751"/>
      <c r="E340" s="1088" t="s">
        <v>117</v>
      </c>
      <c r="F340" s="1118">
        <f>'[1]D M S'!$M340</f>
        <v>0</v>
      </c>
      <c r="G340" s="1047">
        <f>'[2]D M S'!$M340</f>
        <v>0</v>
      </c>
      <c r="H340" s="1090">
        <f>'[3]D M S'!$M340</f>
        <v>0</v>
      </c>
      <c r="I340" s="1106">
        <f>'[4]D M S'!$M340</f>
        <v>0</v>
      </c>
      <c r="J340" s="1106">
        <f>'[5]D M S'!$M340</f>
        <v>0</v>
      </c>
      <c r="K340" s="1106">
        <f>'[6]D M S'!$M340</f>
        <v>0</v>
      </c>
      <c r="L340" s="1106">
        <f>'[7]D M S'!$M340</f>
        <v>0</v>
      </c>
      <c r="M340" s="1091">
        <f t="shared" si="22"/>
        <v>0</v>
      </c>
      <c r="N340" s="84"/>
      <c r="O340" s="1048"/>
    </row>
    <row r="341" spans="1:15" ht="12.75" hidden="1" customHeight="1">
      <c r="A341" s="4"/>
      <c r="B341" s="1829" t="s">
        <v>162</v>
      </c>
      <c r="C341" s="1735"/>
      <c r="D341" s="1751"/>
      <c r="E341" s="1088" t="s">
        <v>115</v>
      </c>
      <c r="F341" s="1118">
        <f>'[1]D M S'!$M341</f>
        <v>0</v>
      </c>
      <c r="G341" s="1047">
        <f>'[2]D M S'!$M341</f>
        <v>0</v>
      </c>
      <c r="H341" s="1090">
        <f>'[3]D M S'!$M341</f>
        <v>0</v>
      </c>
      <c r="I341" s="1106">
        <f>'[4]D M S'!$M341</f>
        <v>0</v>
      </c>
      <c r="J341" s="1106">
        <f>'[5]D M S'!$M341</f>
        <v>0</v>
      </c>
      <c r="K341" s="1106">
        <f>'[6]D M S'!$M341</f>
        <v>0</v>
      </c>
      <c r="L341" s="1106">
        <f>'[7]D M S'!$M341</f>
        <v>0</v>
      </c>
      <c r="M341" s="1091">
        <f t="shared" si="22"/>
        <v>0</v>
      </c>
      <c r="N341" s="84"/>
      <c r="O341" s="1048"/>
    </row>
    <row r="342" spans="1:15" ht="12.75" hidden="1" customHeight="1">
      <c r="A342" s="4"/>
      <c r="B342" s="1829"/>
      <c r="C342" s="1735"/>
      <c r="D342" s="1751"/>
      <c r="E342" s="1088" t="s">
        <v>116</v>
      </c>
      <c r="F342" s="1118">
        <f>'[1]D M S'!$M342</f>
        <v>0</v>
      </c>
      <c r="G342" s="1047">
        <f>'[2]D M S'!$M342</f>
        <v>0</v>
      </c>
      <c r="H342" s="1090">
        <f>'[3]D M S'!$M342</f>
        <v>0</v>
      </c>
      <c r="I342" s="1106">
        <f>'[4]D M S'!$M342</f>
        <v>0</v>
      </c>
      <c r="J342" s="1106">
        <f>'[5]D M S'!$M342</f>
        <v>0</v>
      </c>
      <c r="K342" s="1106">
        <f>'[6]D M S'!$M342</f>
        <v>0</v>
      </c>
      <c r="L342" s="1106">
        <f>'[7]D M S'!$M342</f>
        <v>0</v>
      </c>
      <c r="M342" s="1091">
        <f t="shared" si="22"/>
        <v>0</v>
      </c>
      <c r="N342" s="84"/>
      <c r="O342" s="1048"/>
    </row>
    <row r="343" spans="1:15" ht="12.75" hidden="1" customHeight="1">
      <c r="A343" s="4"/>
      <c r="B343" s="1829"/>
      <c r="C343" s="1735"/>
      <c r="D343" s="1751"/>
      <c r="E343" s="1088" t="s">
        <v>117</v>
      </c>
      <c r="F343" s="1118">
        <f>'[1]D M S'!$M343</f>
        <v>0</v>
      </c>
      <c r="G343" s="1047">
        <f>'[2]D M S'!$M343</f>
        <v>0</v>
      </c>
      <c r="H343" s="1090">
        <f>'[3]D M S'!$M343</f>
        <v>0</v>
      </c>
      <c r="I343" s="1106">
        <f>'[4]D M S'!$M343</f>
        <v>0</v>
      </c>
      <c r="J343" s="1106">
        <f>'[5]D M S'!$M343</f>
        <v>0</v>
      </c>
      <c r="K343" s="1106">
        <f>'[6]D M S'!$M343</f>
        <v>0</v>
      </c>
      <c r="L343" s="1106">
        <f>'[7]D M S'!$M343</f>
        <v>0</v>
      </c>
      <c r="M343" s="1091">
        <f t="shared" si="22"/>
        <v>0</v>
      </c>
      <c r="N343" s="84"/>
      <c r="O343" s="1048"/>
    </row>
    <row r="344" spans="1:15" ht="40.5" hidden="1" customHeight="1">
      <c r="A344" s="4"/>
      <c r="B344" s="1829" t="s">
        <v>162</v>
      </c>
      <c r="C344" s="1735"/>
      <c r="D344" s="1751"/>
      <c r="E344" s="1088" t="s">
        <v>115</v>
      </c>
      <c r="F344" s="1118">
        <f>'[1]D M S'!$M344</f>
        <v>0</v>
      </c>
      <c r="G344" s="1047">
        <f>'[2]D M S'!$M344</f>
        <v>0</v>
      </c>
      <c r="H344" s="1090">
        <f>'[3]D M S'!$M344</f>
        <v>0</v>
      </c>
      <c r="I344" s="1106">
        <f>'[4]D M S'!$M344</f>
        <v>0</v>
      </c>
      <c r="J344" s="1106">
        <f>'[5]D M S'!$M344</f>
        <v>0</v>
      </c>
      <c r="K344" s="1106">
        <f>'[6]D M S'!$M344</f>
        <v>0</v>
      </c>
      <c r="L344" s="1106">
        <f>'[7]D M S'!$M344</f>
        <v>0</v>
      </c>
      <c r="M344" s="1091">
        <f t="shared" si="22"/>
        <v>0</v>
      </c>
      <c r="N344" s="84"/>
      <c r="O344" s="1048"/>
    </row>
    <row r="345" spans="1:15" ht="40.5" hidden="1" customHeight="1">
      <c r="A345" s="4"/>
      <c r="B345" s="1829"/>
      <c r="C345" s="1735"/>
      <c r="D345" s="1751"/>
      <c r="E345" s="1088" t="s">
        <v>116</v>
      </c>
      <c r="F345" s="1118">
        <f>'[1]D M S'!$M345</f>
        <v>0</v>
      </c>
      <c r="G345" s="1047">
        <f>'[2]D M S'!$M345</f>
        <v>0</v>
      </c>
      <c r="H345" s="1090">
        <f>'[3]D M S'!$M345</f>
        <v>0</v>
      </c>
      <c r="I345" s="1106">
        <f>'[4]D M S'!$M345</f>
        <v>0</v>
      </c>
      <c r="J345" s="1106">
        <f>'[5]D M S'!$M345</f>
        <v>0</v>
      </c>
      <c r="K345" s="1106">
        <f>'[6]D M S'!$M345</f>
        <v>0</v>
      </c>
      <c r="L345" s="1106">
        <f>'[7]D M S'!$M345</f>
        <v>0</v>
      </c>
      <c r="M345" s="1091">
        <f t="shared" si="22"/>
        <v>0</v>
      </c>
      <c r="N345" s="84"/>
      <c r="O345" s="1048"/>
    </row>
    <row r="346" spans="1:15" ht="40.5" hidden="1" customHeight="1">
      <c r="A346" s="4"/>
      <c r="B346" s="1829"/>
      <c r="C346" s="1735"/>
      <c r="D346" s="1751"/>
      <c r="E346" s="1088" t="s">
        <v>117</v>
      </c>
      <c r="F346" s="1118">
        <f>'[1]D M S'!$M346</f>
        <v>0</v>
      </c>
      <c r="G346" s="1047">
        <f>'[2]D M S'!$M346</f>
        <v>0</v>
      </c>
      <c r="H346" s="1090">
        <f>'[3]D M S'!$M346</f>
        <v>0</v>
      </c>
      <c r="I346" s="1106">
        <f>'[4]D M S'!$M346</f>
        <v>0</v>
      </c>
      <c r="J346" s="1106">
        <f>'[5]D M S'!$M346</f>
        <v>0</v>
      </c>
      <c r="K346" s="1106">
        <f>'[6]D M S'!$M346</f>
        <v>0</v>
      </c>
      <c r="L346" s="1106">
        <f>'[7]D M S'!$M346</f>
        <v>0</v>
      </c>
      <c r="M346" s="1091">
        <f t="shared" si="22"/>
        <v>0</v>
      </c>
      <c r="N346" s="84"/>
      <c r="O346" s="1048"/>
    </row>
    <row r="347" spans="1:15" ht="40.5" hidden="1" customHeight="1">
      <c r="A347" s="4">
        <v>16</v>
      </c>
      <c r="B347" s="1829" t="s">
        <v>162</v>
      </c>
      <c r="C347" s="1735"/>
      <c r="D347" s="1751"/>
      <c r="E347" s="1088" t="s">
        <v>115</v>
      </c>
      <c r="F347" s="1118">
        <f>'[1]D M S'!$M347</f>
        <v>0</v>
      </c>
      <c r="G347" s="1047">
        <f>'[2]D M S'!$M347</f>
        <v>0</v>
      </c>
      <c r="H347" s="1090">
        <f>'[3]D M S'!$M347</f>
        <v>0</v>
      </c>
      <c r="I347" s="1106">
        <f>'[4]D M S'!$M347</f>
        <v>0</v>
      </c>
      <c r="J347" s="1106">
        <f>'[5]D M S'!$M347</f>
        <v>0</v>
      </c>
      <c r="K347" s="1106">
        <f>'[6]D M S'!$M347</f>
        <v>0</v>
      </c>
      <c r="L347" s="1106">
        <f>'[7]D M S'!$M347</f>
        <v>0</v>
      </c>
      <c r="M347" s="1091">
        <f t="shared" si="22"/>
        <v>0</v>
      </c>
      <c r="N347" s="84"/>
      <c r="O347" s="1048"/>
    </row>
    <row r="348" spans="1:15" ht="40.5" hidden="1" customHeight="1">
      <c r="A348" s="4"/>
      <c r="B348" s="1829"/>
      <c r="C348" s="1735"/>
      <c r="D348" s="1751"/>
      <c r="E348" s="1088" t="s">
        <v>116</v>
      </c>
      <c r="F348" s="1118">
        <f>'[1]D M S'!$M348</f>
        <v>0</v>
      </c>
      <c r="G348" s="1047">
        <f>'[2]D M S'!$M348</f>
        <v>0</v>
      </c>
      <c r="H348" s="1090">
        <f>'[3]D M S'!$M348</f>
        <v>0</v>
      </c>
      <c r="I348" s="1106">
        <f>'[4]D M S'!$M348</f>
        <v>0</v>
      </c>
      <c r="J348" s="1106">
        <f>'[5]D M S'!$M348</f>
        <v>0</v>
      </c>
      <c r="K348" s="1106">
        <f>'[6]D M S'!$M348</f>
        <v>0</v>
      </c>
      <c r="L348" s="1106">
        <f>'[7]D M S'!$M348</f>
        <v>0</v>
      </c>
      <c r="M348" s="1091">
        <f t="shared" si="22"/>
        <v>0</v>
      </c>
      <c r="N348" s="84"/>
      <c r="O348" s="1048"/>
    </row>
    <row r="349" spans="1:15" ht="40.5" hidden="1" customHeight="1">
      <c r="A349" s="4"/>
      <c r="B349" s="1829"/>
      <c r="C349" s="1735"/>
      <c r="D349" s="1751"/>
      <c r="E349" s="1088" t="s">
        <v>117</v>
      </c>
      <c r="F349" s="1118">
        <f>'[1]D M S'!$M349</f>
        <v>0</v>
      </c>
      <c r="G349" s="1047">
        <f>'[2]D M S'!$M349</f>
        <v>0</v>
      </c>
      <c r="H349" s="1090">
        <f>'[3]D M S'!$M349</f>
        <v>0</v>
      </c>
      <c r="I349" s="1106">
        <f>'[4]D M S'!$M349</f>
        <v>0</v>
      </c>
      <c r="J349" s="1106">
        <f>'[5]D M S'!$M349</f>
        <v>0</v>
      </c>
      <c r="K349" s="1106">
        <f>'[6]D M S'!$M349</f>
        <v>0</v>
      </c>
      <c r="L349" s="1106">
        <f>'[7]D M S'!$M349</f>
        <v>0</v>
      </c>
      <c r="M349" s="1091">
        <f t="shared" si="22"/>
        <v>0</v>
      </c>
      <c r="N349" s="84"/>
      <c r="O349" s="1048"/>
    </row>
    <row r="350" spans="1:15" ht="40.5" hidden="1" customHeight="1">
      <c r="A350" s="4">
        <v>17</v>
      </c>
      <c r="B350" s="1829" t="s">
        <v>162</v>
      </c>
      <c r="C350" s="1735"/>
      <c r="D350" s="1751"/>
      <c r="E350" s="1088" t="s">
        <v>115</v>
      </c>
      <c r="F350" s="1118">
        <f>'[1]D M S'!$M350</f>
        <v>0</v>
      </c>
      <c r="G350" s="1047">
        <f>'[2]D M S'!$M350</f>
        <v>0</v>
      </c>
      <c r="H350" s="1090">
        <f>'[3]D M S'!$M350</f>
        <v>0</v>
      </c>
      <c r="I350" s="1106">
        <f>'[4]D M S'!$M350</f>
        <v>0</v>
      </c>
      <c r="J350" s="1106">
        <f>'[5]D M S'!$M350</f>
        <v>0</v>
      </c>
      <c r="K350" s="1106">
        <f>'[6]D M S'!$M350</f>
        <v>0</v>
      </c>
      <c r="L350" s="1106">
        <f>'[7]D M S'!$M350</f>
        <v>0</v>
      </c>
      <c r="M350" s="1091">
        <f t="shared" si="22"/>
        <v>0</v>
      </c>
      <c r="N350" s="84"/>
      <c r="O350" s="1048"/>
    </row>
    <row r="351" spans="1:15" ht="40.5" hidden="1" customHeight="1">
      <c r="A351" s="4"/>
      <c r="B351" s="1829"/>
      <c r="C351" s="1735"/>
      <c r="D351" s="1751"/>
      <c r="E351" s="1088" t="s">
        <v>116</v>
      </c>
      <c r="F351" s="1118">
        <f>'[1]D M S'!$M351</f>
        <v>0</v>
      </c>
      <c r="G351" s="1047">
        <f>'[2]D M S'!$M351</f>
        <v>0</v>
      </c>
      <c r="H351" s="1090">
        <f>'[3]D M S'!$M351</f>
        <v>0</v>
      </c>
      <c r="I351" s="1106">
        <f>'[4]D M S'!$M351</f>
        <v>0</v>
      </c>
      <c r="J351" s="1106">
        <f>'[5]D M S'!$M351</f>
        <v>0</v>
      </c>
      <c r="K351" s="1106">
        <f>'[6]D M S'!$M351</f>
        <v>0</v>
      </c>
      <c r="L351" s="1106">
        <f>'[7]D M S'!$M351</f>
        <v>0</v>
      </c>
      <c r="M351" s="1091">
        <f t="shared" si="22"/>
        <v>0</v>
      </c>
      <c r="N351" s="84"/>
      <c r="O351" s="1048"/>
    </row>
    <row r="352" spans="1:15" ht="40.5" hidden="1" customHeight="1">
      <c r="A352" s="4"/>
      <c r="B352" s="1829"/>
      <c r="C352" s="1735"/>
      <c r="D352" s="1751"/>
      <c r="E352" s="1088" t="s">
        <v>117</v>
      </c>
      <c r="F352" s="1118">
        <f>'[1]D M S'!$M352</f>
        <v>0</v>
      </c>
      <c r="G352" s="1047">
        <f>'[2]D M S'!$M352</f>
        <v>0</v>
      </c>
      <c r="H352" s="1090">
        <f>'[3]D M S'!$M352</f>
        <v>0</v>
      </c>
      <c r="I352" s="1106">
        <f>'[4]D M S'!$M352</f>
        <v>0</v>
      </c>
      <c r="J352" s="1106">
        <f>'[5]D M S'!$M352</f>
        <v>0</v>
      </c>
      <c r="K352" s="1106">
        <f>'[6]D M S'!$M352</f>
        <v>0</v>
      </c>
      <c r="L352" s="1106">
        <f>'[7]D M S'!$M352</f>
        <v>0</v>
      </c>
      <c r="M352" s="1091">
        <f t="shared" si="22"/>
        <v>0</v>
      </c>
      <c r="N352" s="84"/>
      <c r="O352" s="1048"/>
    </row>
    <row r="353" spans="1:15" ht="40.5" hidden="1" customHeight="1">
      <c r="A353" s="4">
        <v>18</v>
      </c>
      <c r="B353" s="1829" t="s">
        <v>162</v>
      </c>
      <c r="C353" s="1735"/>
      <c r="D353" s="1751"/>
      <c r="E353" s="1088" t="s">
        <v>115</v>
      </c>
      <c r="F353" s="1118">
        <f>'[1]D M S'!$M353</f>
        <v>0</v>
      </c>
      <c r="G353" s="1047">
        <f>'[2]D M S'!$M353</f>
        <v>0</v>
      </c>
      <c r="H353" s="1090">
        <f>'[3]D M S'!$M353</f>
        <v>0</v>
      </c>
      <c r="I353" s="1106">
        <f>'[4]D M S'!$M353</f>
        <v>0</v>
      </c>
      <c r="J353" s="1106">
        <f>'[5]D M S'!$M353</f>
        <v>0</v>
      </c>
      <c r="K353" s="1106">
        <f>'[6]D M S'!$M353</f>
        <v>0</v>
      </c>
      <c r="L353" s="1106">
        <f>'[7]D M S'!$M353</f>
        <v>0</v>
      </c>
      <c r="M353" s="1091">
        <f t="shared" si="22"/>
        <v>0</v>
      </c>
      <c r="N353" s="84"/>
      <c r="O353" s="1048"/>
    </row>
    <row r="354" spans="1:15" ht="40.5" hidden="1" customHeight="1">
      <c r="A354" s="4"/>
      <c r="B354" s="1829"/>
      <c r="C354" s="1735"/>
      <c r="D354" s="1751"/>
      <c r="E354" s="1088" t="s">
        <v>116</v>
      </c>
      <c r="F354" s="1118">
        <f>'[1]D M S'!$M354</f>
        <v>0</v>
      </c>
      <c r="G354" s="1047">
        <f>'[2]D M S'!$M354</f>
        <v>0</v>
      </c>
      <c r="H354" s="1090">
        <f>'[3]D M S'!$M354</f>
        <v>0</v>
      </c>
      <c r="I354" s="1106">
        <f>'[4]D M S'!$M354</f>
        <v>0</v>
      </c>
      <c r="J354" s="1106">
        <f>'[5]D M S'!$M354</f>
        <v>0</v>
      </c>
      <c r="K354" s="1106">
        <f>'[6]D M S'!$M354</f>
        <v>0</v>
      </c>
      <c r="L354" s="1106">
        <f>'[7]D M S'!$M354</f>
        <v>0</v>
      </c>
      <c r="M354" s="1091">
        <f t="shared" si="22"/>
        <v>0</v>
      </c>
      <c r="N354" s="84"/>
      <c r="O354" s="1048"/>
    </row>
    <row r="355" spans="1:15" ht="40.5" hidden="1" customHeight="1">
      <c r="A355" s="4"/>
      <c r="B355" s="1829"/>
      <c r="C355" s="1735"/>
      <c r="D355" s="1751"/>
      <c r="E355" s="1088" t="s">
        <v>117</v>
      </c>
      <c r="F355" s="1118">
        <f>'[1]D M S'!$M355</f>
        <v>0</v>
      </c>
      <c r="G355" s="1047">
        <f>'[2]D M S'!$M355</f>
        <v>0</v>
      </c>
      <c r="H355" s="1090">
        <f>'[3]D M S'!$M355</f>
        <v>0</v>
      </c>
      <c r="I355" s="1106">
        <f>'[4]D M S'!$M355</f>
        <v>0</v>
      </c>
      <c r="J355" s="1106">
        <f>'[5]D M S'!$M355</f>
        <v>0</v>
      </c>
      <c r="K355" s="1106">
        <f>'[6]D M S'!$M355</f>
        <v>0</v>
      </c>
      <c r="L355" s="1106">
        <f>'[7]D M S'!$M355</f>
        <v>0</v>
      </c>
      <c r="M355" s="1091">
        <f t="shared" si="22"/>
        <v>0</v>
      </c>
      <c r="N355" s="84"/>
      <c r="O355" s="1048"/>
    </row>
    <row r="356" spans="1:15" ht="40.5" hidden="1" customHeight="1">
      <c r="A356" s="4">
        <v>19</v>
      </c>
      <c r="B356" s="1829" t="s">
        <v>162</v>
      </c>
      <c r="C356" s="1735"/>
      <c r="D356" s="1751"/>
      <c r="E356" s="1088" t="s">
        <v>115</v>
      </c>
      <c r="F356" s="1118">
        <f>'[1]D M S'!$M356</f>
        <v>0</v>
      </c>
      <c r="G356" s="1047">
        <f>'[2]D M S'!$M356</f>
        <v>0</v>
      </c>
      <c r="H356" s="1090">
        <f>'[3]D M S'!$M356</f>
        <v>0</v>
      </c>
      <c r="I356" s="1106">
        <f>'[4]D M S'!$M356</f>
        <v>0</v>
      </c>
      <c r="J356" s="1106">
        <f>'[5]D M S'!$M356</f>
        <v>0</v>
      </c>
      <c r="K356" s="1106">
        <f>'[6]D M S'!$M356</f>
        <v>0</v>
      </c>
      <c r="L356" s="1106">
        <f>'[7]D M S'!$M356</f>
        <v>0</v>
      </c>
      <c r="M356" s="1091">
        <f t="shared" si="22"/>
        <v>0</v>
      </c>
      <c r="N356" s="84"/>
      <c r="O356" s="1048"/>
    </row>
    <row r="357" spans="1:15" ht="40.5" hidden="1" customHeight="1">
      <c r="A357" s="4"/>
      <c r="B357" s="1829"/>
      <c r="C357" s="1735"/>
      <c r="D357" s="1751"/>
      <c r="E357" s="1088" t="s">
        <v>116</v>
      </c>
      <c r="F357" s="1118">
        <f>'[1]D M S'!$M357</f>
        <v>0</v>
      </c>
      <c r="G357" s="1047">
        <f>'[2]D M S'!$M357</f>
        <v>0</v>
      </c>
      <c r="H357" s="1090">
        <f>'[3]D M S'!$M357</f>
        <v>0</v>
      </c>
      <c r="I357" s="1106">
        <f>'[4]D M S'!$M357</f>
        <v>0</v>
      </c>
      <c r="J357" s="1106">
        <f>'[5]D M S'!$M357</f>
        <v>0</v>
      </c>
      <c r="K357" s="1106">
        <f>'[6]D M S'!$M357</f>
        <v>0</v>
      </c>
      <c r="L357" s="1106">
        <f>'[7]D M S'!$M357</f>
        <v>0</v>
      </c>
      <c r="M357" s="1091">
        <f t="shared" si="22"/>
        <v>0</v>
      </c>
      <c r="N357" s="84"/>
      <c r="O357" s="1048"/>
    </row>
    <row r="358" spans="1:15" ht="40.5" hidden="1" customHeight="1">
      <c r="A358" s="4"/>
      <c r="B358" s="1829"/>
      <c r="C358" s="1735"/>
      <c r="D358" s="1751"/>
      <c r="E358" s="1088" t="s">
        <v>117</v>
      </c>
      <c r="F358" s="1118">
        <f>'[1]D M S'!$M358</f>
        <v>0</v>
      </c>
      <c r="G358" s="1047">
        <f>'[2]D M S'!$M358</f>
        <v>0</v>
      </c>
      <c r="H358" s="1090">
        <f>'[3]D M S'!$M358</f>
        <v>0</v>
      </c>
      <c r="I358" s="1106">
        <f>'[4]D M S'!$M358</f>
        <v>0</v>
      </c>
      <c r="J358" s="1106">
        <f>'[5]D M S'!$M358</f>
        <v>0</v>
      </c>
      <c r="K358" s="1106">
        <f>'[6]D M S'!$M358</f>
        <v>0</v>
      </c>
      <c r="L358" s="1106">
        <f>'[7]D M S'!$M358</f>
        <v>0</v>
      </c>
      <c r="M358" s="1091">
        <f t="shared" si="22"/>
        <v>0</v>
      </c>
      <c r="N358" s="84"/>
      <c r="O358" s="1048"/>
    </row>
    <row r="359" spans="1:15" ht="40.5" hidden="1" customHeight="1">
      <c r="A359" s="4"/>
      <c r="B359" s="1829" t="s">
        <v>162</v>
      </c>
      <c r="C359" s="1735"/>
      <c r="D359" s="1751"/>
      <c r="E359" s="1088" t="s">
        <v>115</v>
      </c>
      <c r="F359" s="1118">
        <f>'[1]D M S'!$M359</f>
        <v>0</v>
      </c>
      <c r="G359" s="1047">
        <f>'[2]D M S'!$M359</f>
        <v>0</v>
      </c>
      <c r="H359" s="1090">
        <f>'[3]D M S'!$M359</f>
        <v>0</v>
      </c>
      <c r="I359" s="1106">
        <f>'[4]D M S'!$M359</f>
        <v>0</v>
      </c>
      <c r="J359" s="1106">
        <f>'[5]D M S'!$M359</f>
        <v>0</v>
      </c>
      <c r="K359" s="1106">
        <f>'[6]D M S'!$M359</f>
        <v>0</v>
      </c>
      <c r="L359" s="1106">
        <f>'[7]D M S'!$M359</f>
        <v>0</v>
      </c>
      <c r="M359" s="1091">
        <f t="shared" si="22"/>
        <v>0</v>
      </c>
      <c r="N359" s="84"/>
      <c r="O359" s="1048"/>
    </row>
    <row r="360" spans="1:15" ht="40.5" hidden="1" customHeight="1">
      <c r="A360" s="4"/>
      <c r="B360" s="1829"/>
      <c r="C360" s="1735"/>
      <c r="D360" s="1751"/>
      <c r="E360" s="1088" t="s">
        <v>116</v>
      </c>
      <c r="F360" s="1118">
        <f>'[1]D M S'!$M360</f>
        <v>0</v>
      </c>
      <c r="G360" s="1047">
        <f>'[2]D M S'!$M360</f>
        <v>0</v>
      </c>
      <c r="H360" s="1090">
        <f>'[3]D M S'!$M360</f>
        <v>0</v>
      </c>
      <c r="I360" s="1106">
        <f>'[4]D M S'!$M360</f>
        <v>0</v>
      </c>
      <c r="J360" s="1106">
        <f>'[5]D M S'!$M360</f>
        <v>0</v>
      </c>
      <c r="K360" s="1106">
        <f>'[6]D M S'!$M360</f>
        <v>0</v>
      </c>
      <c r="L360" s="1106">
        <f>'[7]D M S'!$M360</f>
        <v>0</v>
      </c>
      <c r="M360" s="1091">
        <f t="shared" si="22"/>
        <v>0</v>
      </c>
      <c r="N360" s="84"/>
      <c r="O360" s="1048"/>
    </row>
    <row r="361" spans="1:15" ht="40.5" hidden="1" customHeight="1">
      <c r="A361" s="4"/>
      <c r="B361" s="1829"/>
      <c r="C361" s="1735"/>
      <c r="D361" s="1751"/>
      <c r="E361" s="1088" t="s">
        <v>117</v>
      </c>
      <c r="F361" s="1118">
        <f>'[1]D M S'!$M361</f>
        <v>0</v>
      </c>
      <c r="G361" s="1047">
        <f>'[2]D M S'!$M361</f>
        <v>0</v>
      </c>
      <c r="H361" s="1090">
        <f>'[3]D M S'!$M361</f>
        <v>0</v>
      </c>
      <c r="I361" s="1106">
        <f>'[4]D M S'!$M361</f>
        <v>0</v>
      </c>
      <c r="J361" s="1106">
        <f>'[5]D M S'!$M361</f>
        <v>0</v>
      </c>
      <c r="K361" s="1106">
        <f>'[6]D M S'!$M361</f>
        <v>0</v>
      </c>
      <c r="L361" s="1106">
        <f>'[7]D M S'!$M361</f>
        <v>0</v>
      </c>
      <c r="M361" s="1091">
        <f t="shared" si="22"/>
        <v>0</v>
      </c>
      <c r="N361" s="84"/>
      <c r="O361" s="1048"/>
    </row>
    <row r="362" spans="1:15" ht="40.5" hidden="1" customHeight="1">
      <c r="A362" s="4">
        <v>20</v>
      </c>
      <c r="B362" s="1829" t="s">
        <v>162</v>
      </c>
      <c r="C362" s="1735"/>
      <c r="D362" s="1751"/>
      <c r="E362" s="1088" t="s">
        <v>115</v>
      </c>
      <c r="F362" s="1118">
        <f>'[1]D M S'!$M362</f>
        <v>0</v>
      </c>
      <c r="G362" s="1047">
        <f>'[2]D M S'!$M362</f>
        <v>0</v>
      </c>
      <c r="H362" s="1090">
        <f>'[3]D M S'!$M362</f>
        <v>0</v>
      </c>
      <c r="I362" s="1106">
        <f>'[4]D M S'!$M362</f>
        <v>0</v>
      </c>
      <c r="J362" s="1106">
        <f>'[5]D M S'!$M362</f>
        <v>0</v>
      </c>
      <c r="K362" s="1106">
        <f>'[6]D M S'!$M362</f>
        <v>0</v>
      </c>
      <c r="L362" s="1106">
        <f>'[7]D M S'!$M362</f>
        <v>0</v>
      </c>
      <c r="M362" s="1091">
        <f t="shared" si="22"/>
        <v>0</v>
      </c>
      <c r="N362" s="84"/>
      <c r="O362" s="1048"/>
    </row>
    <row r="363" spans="1:15" ht="40.5" hidden="1" customHeight="1">
      <c r="A363" s="4"/>
      <c r="B363" s="1829"/>
      <c r="C363" s="1735"/>
      <c r="D363" s="1751"/>
      <c r="E363" s="1088" t="s">
        <v>116</v>
      </c>
      <c r="F363" s="1118">
        <f>'[1]D M S'!$M363</f>
        <v>0</v>
      </c>
      <c r="G363" s="1047">
        <f>'[2]D M S'!$M363</f>
        <v>0</v>
      </c>
      <c r="H363" s="1090">
        <f>'[3]D M S'!$M363</f>
        <v>0</v>
      </c>
      <c r="I363" s="1106">
        <f>'[4]D M S'!$M363</f>
        <v>0</v>
      </c>
      <c r="J363" s="1106">
        <f>'[5]D M S'!$M363</f>
        <v>0</v>
      </c>
      <c r="K363" s="1106">
        <f>'[6]D M S'!$M363</f>
        <v>0</v>
      </c>
      <c r="L363" s="1106">
        <f>'[7]D M S'!$M363</f>
        <v>0</v>
      </c>
      <c r="M363" s="1091">
        <f t="shared" si="22"/>
        <v>0</v>
      </c>
      <c r="N363" s="84"/>
      <c r="O363" s="1048"/>
    </row>
    <row r="364" spans="1:15" ht="40.5" hidden="1" customHeight="1">
      <c r="A364" s="4"/>
      <c r="B364" s="1829"/>
      <c r="C364" s="1735"/>
      <c r="D364" s="1751"/>
      <c r="E364" s="1088" t="s">
        <v>117</v>
      </c>
      <c r="F364" s="1118">
        <f>'[1]D M S'!$M364</f>
        <v>0</v>
      </c>
      <c r="G364" s="1047">
        <f>'[2]D M S'!$M364</f>
        <v>0</v>
      </c>
      <c r="H364" s="1090">
        <f>'[3]D M S'!$M364</f>
        <v>0</v>
      </c>
      <c r="I364" s="1106">
        <f>'[4]D M S'!$M364</f>
        <v>0</v>
      </c>
      <c r="J364" s="1106">
        <f>'[5]D M S'!$M364</f>
        <v>0</v>
      </c>
      <c r="K364" s="1106">
        <f>'[6]D M S'!$M364</f>
        <v>0</v>
      </c>
      <c r="L364" s="1106">
        <f>'[7]D M S'!$M364</f>
        <v>0</v>
      </c>
      <c r="M364" s="1091">
        <f t="shared" si="22"/>
        <v>0</v>
      </c>
      <c r="N364" s="84"/>
      <c r="O364" s="1048"/>
    </row>
    <row r="365" spans="1:15" ht="40.5" hidden="1" customHeight="1">
      <c r="A365" s="4">
        <v>21</v>
      </c>
      <c r="B365" s="1829" t="s">
        <v>162</v>
      </c>
      <c r="C365" s="1735"/>
      <c r="D365" s="1750"/>
      <c r="E365" s="1088" t="s">
        <v>115</v>
      </c>
      <c r="F365" s="1118">
        <f>'[1]D M S'!$M365</f>
        <v>0</v>
      </c>
      <c r="G365" s="1047">
        <f>'[2]D M S'!$M365</f>
        <v>0</v>
      </c>
      <c r="H365" s="1090">
        <f>'[3]D M S'!$M365</f>
        <v>0</v>
      </c>
      <c r="I365" s="1106">
        <f>'[4]D M S'!$M365</f>
        <v>0</v>
      </c>
      <c r="J365" s="1106">
        <f>'[5]D M S'!$M365</f>
        <v>0</v>
      </c>
      <c r="K365" s="1106">
        <f>'[6]D M S'!$M365</f>
        <v>0</v>
      </c>
      <c r="L365" s="1106">
        <f>'[7]D M S'!$M365</f>
        <v>0</v>
      </c>
      <c r="M365" s="1091">
        <f t="shared" si="22"/>
        <v>0</v>
      </c>
      <c r="N365" s="84"/>
      <c r="O365" s="1048"/>
    </row>
    <row r="366" spans="1:15" ht="40.5" hidden="1" customHeight="1">
      <c r="A366" s="4"/>
      <c r="B366" s="1829"/>
      <c r="C366" s="1735"/>
      <c r="D366" s="1750"/>
      <c r="E366" s="1088" t="s">
        <v>116</v>
      </c>
      <c r="F366" s="1118">
        <f>'[1]D M S'!$M366</f>
        <v>0</v>
      </c>
      <c r="G366" s="1047">
        <f>'[2]D M S'!$M366</f>
        <v>0</v>
      </c>
      <c r="H366" s="1090">
        <f>'[3]D M S'!$M366</f>
        <v>0</v>
      </c>
      <c r="I366" s="1106">
        <f>'[4]D M S'!$M366</f>
        <v>0</v>
      </c>
      <c r="J366" s="1106">
        <f>'[5]D M S'!$M366</f>
        <v>0</v>
      </c>
      <c r="K366" s="1106">
        <f>'[6]D M S'!$M366</f>
        <v>0</v>
      </c>
      <c r="L366" s="1106">
        <f>'[7]D M S'!$M366</f>
        <v>0</v>
      </c>
      <c r="M366" s="1091">
        <f t="shared" si="22"/>
        <v>0</v>
      </c>
      <c r="N366" s="84"/>
      <c r="O366" s="1048"/>
    </row>
    <row r="367" spans="1:15" ht="40.5" hidden="1" customHeight="1">
      <c r="A367" s="4"/>
      <c r="B367" s="1829"/>
      <c r="C367" s="1735"/>
      <c r="D367" s="1750"/>
      <c r="E367" s="1088" t="s">
        <v>117</v>
      </c>
      <c r="F367" s="1118">
        <f>'[1]D M S'!$M367</f>
        <v>0</v>
      </c>
      <c r="G367" s="1047">
        <f>'[2]D M S'!$M367</f>
        <v>0</v>
      </c>
      <c r="H367" s="1090">
        <f>'[3]D M S'!$M367</f>
        <v>0</v>
      </c>
      <c r="I367" s="1106">
        <f>'[4]D M S'!$M367</f>
        <v>0</v>
      </c>
      <c r="J367" s="1106">
        <f>'[5]D M S'!$M367</f>
        <v>0</v>
      </c>
      <c r="K367" s="1106">
        <f>'[6]D M S'!$M367</f>
        <v>0</v>
      </c>
      <c r="L367" s="1106">
        <f>'[7]D M S'!$M367</f>
        <v>0</v>
      </c>
      <c r="M367" s="1091">
        <f t="shared" si="22"/>
        <v>0</v>
      </c>
      <c r="N367" s="84"/>
      <c r="O367" s="1048"/>
    </row>
    <row r="368" spans="1:15" ht="40.5" hidden="1" customHeight="1">
      <c r="A368" s="1815">
        <v>22</v>
      </c>
      <c r="B368" s="1829" t="s">
        <v>162</v>
      </c>
      <c r="C368" s="1777"/>
      <c r="D368" s="1750"/>
      <c r="E368" s="1088" t="s">
        <v>115</v>
      </c>
      <c r="F368" s="1118">
        <f>'[1]D M S'!$M368</f>
        <v>0</v>
      </c>
      <c r="G368" s="1047">
        <f>'[2]D M S'!$M368</f>
        <v>0</v>
      </c>
      <c r="H368" s="1090">
        <f>'[3]D M S'!$M368</f>
        <v>0</v>
      </c>
      <c r="I368" s="1106">
        <f>'[4]D M S'!$M368</f>
        <v>0</v>
      </c>
      <c r="J368" s="1106">
        <f>'[5]D M S'!$M368</f>
        <v>0</v>
      </c>
      <c r="K368" s="1106">
        <f>'[6]D M S'!$M368</f>
        <v>0</v>
      </c>
      <c r="L368" s="1106">
        <f>'[7]D M S'!$M368</f>
        <v>0</v>
      </c>
      <c r="M368" s="1091">
        <f t="shared" si="22"/>
        <v>0</v>
      </c>
      <c r="N368" s="84"/>
      <c r="O368" s="1048"/>
    </row>
    <row r="369" spans="1:15" ht="40.5" hidden="1" customHeight="1">
      <c r="A369" s="1815"/>
      <c r="B369" s="1829"/>
      <c r="C369" s="1777"/>
      <c r="D369" s="1750"/>
      <c r="E369" s="1088" t="s">
        <v>116</v>
      </c>
      <c r="F369" s="1118">
        <f>'[1]D M S'!$M369</f>
        <v>0</v>
      </c>
      <c r="G369" s="1047">
        <f>'[2]D M S'!$M369</f>
        <v>0</v>
      </c>
      <c r="H369" s="1090">
        <f>'[3]D M S'!$M369</f>
        <v>0</v>
      </c>
      <c r="I369" s="1106">
        <f>'[4]D M S'!$M369</f>
        <v>0</v>
      </c>
      <c r="J369" s="1106">
        <f>'[5]D M S'!$M369</f>
        <v>0</v>
      </c>
      <c r="K369" s="1106">
        <f>'[6]D M S'!$M369</f>
        <v>0</v>
      </c>
      <c r="L369" s="1106">
        <f>'[7]D M S'!$M369</f>
        <v>0</v>
      </c>
      <c r="M369" s="1091">
        <f t="shared" si="22"/>
        <v>0</v>
      </c>
      <c r="N369" s="84"/>
      <c r="O369" s="1048"/>
    </row>
    <row r="370" spans="1:15" ht="40.5" hidden="1" customHeight="1">
      <c r="A370" s="1815"/>
      <c r="B370" s="1829"/>
      <c r="C370" s="1777"/>
      <c r="D370" s="1750"/>
      <c r="E370" s="1088" t="s">
        <v>117</v>
      </c>
      <c r="F370" s="1118">
        <f>'[1]D M S'!$M370</f>
        <v>0</v>
      </c>
      <c r="G370" s="1047">
        <f>'[2]D M S'!$M370</f>
        <v>0</v>
      </c>
      <c r="H370" s="1090">
        <f>'[3]D M S'!$M370</f>
        <v>0</v>
      </c>
      <c r="I370" s="1106">
        <f>'[4]D M S'!$M370</f>
        <v>0</v>
      </c>
      <c r="J370" s="1106">
        <f>'[5]D M S'!$M370</f>
        <v>0</v>
      </c>
      <c r="K370" s="1106">
        <f>'[6]D M S'!$M370</f>
        <v>0</v>
      </c>
      <c r="L370" s="1106">
        <f>'[7]D M S'!$M370</f>
        <v>0</v>
      </c>
      <c r="M370" s="1091">
        <f t="shared" si="22"/>
        <v>0</v>
      </c>
      <c r="N370" s="84"/>
      <c r="O370" s="1048"/>
    </row>
    <row r="371" spans="1:15" ht="40.5" hidden="1" customHeight="1">
      <c r="A371" s="4">
        <v>23</v>
      </c>
      <c r="B371" s="1829" t="s">
        <v>162</v>
      </c>
      <c r="C371" s="1735"/>
      <c r="D371" s="1751"/>
      <c r="E371" s="1088" t="s">
        <v>115</v>
      </c>
      <c r="F371" s="1118">
        <f>'[1]D M S'!$M371</f>
        <v>0</v>
      </c>
      <c r="G371" s="1047">
        <f>'[2]D M S'!$M371</f>
        <v>0</v>
      </c>
      <c r="H371" s="1090">
        <f>'[3]D M S'!$M371</f>
        <v>0</v>
      </c>
      <c r="I371" s="1106">
        <f>'[4]D M S'!$M371</f>
        <v>0</v>
      </c>
      <c r="J371" s="1106">
        <f>'[5]D M S'!$M371</f>
        <v>0</v>
      </c>
      <c r="K371" s="1106">
        <f>'[6]D M S'!$M371</f>
        <v>0</v>
      </c>
      <c r="L371" s="1106">
        <f>'[7]D M S'!$M371</f>
        <v>0</v>
      </c>
      <c r="M371" s="1091">
        <f t="shared" si="22"/>
        <v>0</v>
      </c>
      <c r="N371" s="84"/>
      <c r="O371" s="1048"/>
    </row>
    <row r="372" spans="1:15" ht="40.5" hidden="1" customHeight="1">
      <c r="A372" s="4"/>
      <c r="B372" s="1829"/>
      <c r="C372" s="1735"/>
      <c r="D372" s="1751"/>
      <c r="E372" s="1088" t="s">
        <v>116</v>
      </c>
      <c r="F372" s="1118">
        <f>'[1]D M S'!$M372</f>
        <v>0</v>
      </c>
      <c r="G372" s="1047">
        <f>'[2]D M S'!$M372</f>
        <v>0</v>
      </c>
      <c r="H372" s="1090">
        <f>'[3]D M S'!$M372</f>
        <v>0</v>
      </c>
      <c r="I372" s="1106">
        <f>'[4]D M S'!$M372</f>
        <v>0</v>
      </c>
      <c r="J372" s="1106">
        <f>'[5]D M S'!$M372</f>
        <v>0</v>
      </c>
      <c r="K372" s="1106">
        <f>'[6]D M S'!$M372</f>
        <v>0</v>
      </c>
      <c r="L372" s="1106">
        <f>'[7]D M S'!$M372</f>
        <v>0</v>
      </c>
      <c r="M372" s="1091">
        <f t="shared" si="22"/>
        <v>0</v>
      </c>
      <c r="N372" s="84"/>
      <c r="O372" s="1048"/>
    </row>
    <row r="373" spans="1:15" ht="40.5" hidden="1" customHeight="1">
      <c r="A373" s="4"/>
      <c r="B373" s="1829"/>
      <c r="C373" s="1735"/>
      <c r="D373" s="1751"/>
      <c r="E373" s="1088" t="s">
        <v>117</v>
      </c>
      <c r="F373" s="1118">
        <f>'[1]D M S'!$M373</f>
        <v>0</v>
      </c>
      <c r="G373" s="1047">
        <f>'[2]D M S'!$M373</f>
        <v>0</v>
      </c>
      <c r="H373" s="1090">
        <f>'[3]D M S'!$M373</f>
        <v>0</v>
      </c>
      <c r="I373" s="1106">
        <f>'[4]D M S'!$M373</f>
        <v>0</v>
      </c>
      <c r="J373" s="1106">
        <f>'[5]D M S'!$M373</f>
        <v>0</v>
      </c>
      <c r="K373" s="1106">
        <f>'[6]D M S'!$M373</f>
        <v>0</v>
      </c>
      <c r="L373" s="1106">
        <f>'[7]D M S'!$M373</f>
        <v>0</v>
      </c>
      <c r="M373" s="1091">
        <f t="shared" si="22"/>
        <v>0</v>
      </c>
      <c r="N373" s="84"/>
      <c r="O373" s="1048"/>
    </row>
    <row r="374" spans="1:15" ht="40.5" hidden="1" customHeight="1">
      <c r="A374" s="4">
        <v>24</v>
      </c>
      <c r="B374" s="1829" t="s">
        <v>162</v>
      </c>
      <c r="C374" s="1735"/>
      <c r="D374" s="1751"/>
      <c r="E374" s="1088" t="s">
        <v>115</v>
      </c>
      <c r="F374" s="1118">
        <f>'[1]D M S'!$M374</f>
        <v>0</v>
      </c>
      <c r="G374" s="1047">
        <f>'[2]D M S'!$M374</f>
        <v>0</v>
      </c>
      <c r="H374" s="1090">
        <f>'[3]D M S'!$M374</f>
        <v>0</v>
      </c>
      <c r="I374" s="1106">
        <f>'[4]D M S'!$M374</f>
        <v>0</v>
      </c>
      <c r="J374" s="1106">
        <f>'[5]D M S'!$M374</f>
        <v>0</v>
      </c>
      <c r="K374" s="1106">
        <f>'[6]D M S'!$M374</f>
        <v>0</v>
      </c>
      <c r="L374" s="1106">
        <f>'[7]D M S'!$M374</f>
        <v>0</v>
      </c>
      <c r="M374" s="1091">
        <f t="shared" si="22"/>
        <v>0</v>
      </c>
      <c r="N374" s="84"/>
      <c r="O374" s="1048"/>
    </row>
    <row r="375" spans="1:15" ht="40.5" hidden="1" customHeight="1">
      <c r="A375" s="4"/>
      <c r="B375" s="1829"/>
      <c r="C375" s="1735"/>
      <c r="D375" s="1751"/>
      <c r="E375" s="1088" t="s">
        <v>116</v>
      </c>
      <c r="F375" s="1118">
        <f>'[1]D M S'!$M375</f>
        <v>0</v>
      </c>
      <c r="G375" s="1047">
        <f>'[2]D M S'!$M375</f>
        <v>0</v>
      </c>
      <c r="H375" s="1090">
        <f>'[3]D M S'!$M375</f>
        <v>0</v>
      </c>
      <c r="I375" s="1106">
        <f>'[4]D M S'!$M375</f>
        <v>0</v>
      </c>
      <c r="J375" s="1106">
        <f>'[5]D M S'!$M375</f>
        <v>0</v>
      </c>
      <c r="K375" s="1106">
        <f>'[6]D M S'!$M375</f>
        <v>0</v>
      </c>
      <c r="L375" s="1106">
        <f>'[7]D M S'!$M375</f>
        <v>0</v>
      </c>
      <c r="M375" s="1091">
        <f t="shared" si="22"/>
        <v>0</v>
      </c>
      <c r="N375" s="84"/>
      <c r="O375" s="1048"/>
    </row>
    <row r="376" spans="1:15" ht="40.5" hidden="1" customHeight="1">
      <c r="A376" s="4"/>
      <c r="B376" s="1829"/>
      <c r="C376" s="1735"/>
      <c r="D376" s="1751"/>
      <c r="E376" s="1088" t="s">
        <v>117</v>
      </c>
      <c r="F376" s="1118">
        <f>'[1]D M S'!$M376</f>
        <v>0</v>
      </c>
      <c r="G376" s="1047">
        <f>'[2]D M S'!$M376</f>
        <v>0</v>
      </c>
      <c r="H376" s="1090">
        <f>'[3]D M S'!$M376</f>
        <v>0</v>
      </c>
      <c r="I376" s="1106">
        <f>'[4]D M S'!$M376</f>
        <v>0</v>
      </c>
      <c r="J376" s="1106">
        <f>'[5]D M S'!$M376</f>
        <v>0</v>
      </c>
      <c r="K376" s="1106">
        <f>'[6]D M S'!$M376</f>
        <v>0</v>
      </c>
      <c r="L376" s="1106">
        <f>'[7]D M S'!$M376</f>
        <v>0</v>
      </c>
      <c r="M376" s="1091">
        <f t="shared" si="22"/>
        <v>0</v>
      </c>
      <c r="N376" s="84"/>
      <c r="O376" s="1048"/>
    </row>
    <row r="377" spans="1:15" ht="40.5" hidden="1" customHeight="1">
      <c r="A377" s="4">
        <v>25</v>
      </c>
      <c r="B377" s="1829" t="s">
        <v>162</v>
      </c>
      <c r="C377" s="1836"/>
      <c r="D377" s="1751"/>
      <c r="E377" s="1088" t="s">
        <v>115</v>
      </c>
      <c r="F377" s="1118">
        <f>'[1]D M S'!$M377</f>
        <v>0</v>
      </c>
      <c r="G377" s="1047">
        <f>'[2]D M S'!$M377</f>
        <v>0</v>
      </c>
      <c r="H377" s="1090">
        <f>'[3]D M S'!$M377</f>
        <v>0</v>
      </c>
      <c r="I377" s="1106">
        <f>'[4]D M S'!$M377</f>
        <v>0</v>
      </c>
      <c r="J377" s="1106">
        <f>'[5]D M S'!$M377</f>
        <v>0</v>
      </c>
      <c r="K377" s="1106">
        <f>'[6]D M S'!$M377</f>
        <v>0</v>
      </c>
      <c r="L377" s="1106">
        <f>'[7]D M S'!$M377</f>
        <v>0</v>
      </c>
      <c r="M377" s="1091">
        <f t="shared" si="22"/>
        <v>0</v>
      </c>
      <c r="N377" s="84"/>
      <c r="O377" s="1048"/>
    </row>
    <row r="378" spans="1:15" ht="40.5" hidden="1" customHeight="1">
      <c r="A378" s="4"/>
      <c r="B378" s="1829"/>
      <c r="C378" s="1836"/>
      <c r="D378" s="1751"/>
      <c r="E378" s="1088" t="s">
        <v>116</v>
      </c>
      <c r="F378" s="1118">
        <f>'[1]D M S'!$M378</f>
        <v>0</v>
      </c>
      <c r="G378" s="1047">
        <f>'[2]D M S'!$M378</f>
        <v>0</v>
      </c>
      <c r="H378" s="1090">
        <f>'[3]D M S'!$M378</f>
        <v>0</v>
      </c>
      <c r="I378" s="1106">
        <f>'[4]D M S'!$M378</f>
        <v>0</v>
      </c>
      <c r="J378" s="1106">
        <f>'[5]D M S'!$M378</f>
        <v>0</v>
      </c>
      <c r="K378" s="1106">
        <f>'[6]D M S'!$M378</f>
        <v>0</v>
      </c>
      <c r="L378" s="1106">
        <f>'[7]D M S'!$M378</f>
        <v>0</v>
      </c>
      <c r="M378" s="1091">
        <f t="shared" si="22"/>
        <v>0</v>
      </c>
      <c r="N378" s="84"/>
      <c r="O378" s="1048"/>
    </row>
    <row r="379" spans="1:15" ht="40.5" hidden="1" customHeight="1">
      <c r="A379" s="4"/>
      <c r="B379" s="1829"/>
      <c r="C379" s="1836"/>
      <c r="D379" s="1751"/>
      <c r="E379" s="1088" t="s">
        <v>117</v>
      </c>
      <c r="F379" s="1118">
        <f>'[1]D M S'!$M379</f>
        <v>0</v>
      </c>
      <c r="G379" s="1047">
        <f>'[2]D M S'!$M379</f>
        <v>0</v>
      </c>
      <c r="H379" s="1090">
        <f>'[3]D M S'!$M379</f>
        <v>0</v>
      </c>
      <c r="I379" s="1106">
        <f>'[4]D M S'!$M379</f>
        <v>0</v>
      </c>
      <c r="J379" s="1106">
        <f>'[5]D M S'!$M379</f>
        <v>0</v>
      </c>
      <c r="K379" s="1106">
        <f>'[6]D M S'!$M379</f>
        <v>0</v>
      </c>
      <c r="L379" s="1106">
        <f>'[7]D M S'!$M379</f>
        <v>0</v>
      </c>
      <c r="M379" s="1091">
        <f t="shared" si="22"/>
        <v>0</v>
      </c>
      <c r="N379" s="84"/>
      <c r="O379" s="1048"/>
    </row>
    <row r="380" spans="1:15" ht="27" hidden="1" customHeight="1">
      <c r="A380" s="1749">
        <v>21</v>
      </c>
      <c r="B380" s="1837" t="s">
        <v>172</v>
      </c>
      <c r="C380" s="1735" t="s">
        <v>173</v>
      </c>
      <c r="D380" s="1751" t="s">
        <v>174</v>
      </c>
      <c r="E380" s="1088" t="s">
        <v>115</v>
      </c>
      <c r="F380" s="1118">
        <f>'[1]D M S'!$M380</f>
        <v>0</v>
      </c>
      <c r="G380" s="1047">
        <f>'[2]D M S'!$M380</f>
        <v>0</v>
      </c>
      <c r="H380" s="1090">
        <f>'[3]D M S'!$M380</f>
        <v>0</v>
      </c>
      <c r="I380" s="1106">
        <f>'[4]D M S'!$M380</f>
        <v>0</v>
      </c>
      <c r="J380" s="1106">
        <f>'[5]D M S'!$M380</f>
        <v>0</v>
      </c>
      <c r="K380" s="1106">
        <f>'[6]D M S'!$M380</f>
        <v>0</v>
      </c>
      <c r="L380" s="1106">
        <f>'[7]D M S'!$M380</f>
        <v>0</v>
      </c>
      <c r="M380" s="1091">
        <f t="shared" si="22"/>
        <v>0</v>
      </c>
      <c r="N380" s="84"/>
      <c r="O380" s="1048"/>
    </row>
    <row r="381" spans="1:15" ht="26.25" hidden="1" customHeight="1">
      <c r="A381" s="1749"/>
      <c r="B381" s="1837"/>
      <c r="C381" s="1735"/>
      <c r="D381" s="1751"/>
      <c r="E381" s="1088" t="s">
        <v>116</v>
      </c>
      <c r="F381" s="1118">
        <f>'[1]D M S'!$M381</f>
        <v>0</v>
      </c>
      <c r="G381" s="1047">
        <f>'[2]D M S'!$M381</f>
        <v>0</v>
      </c>
      <c r="H381" s="1090">
        <f>'[3]D M S'!$M381</f>
        <v>0</v>
      </c>
      <c r="I381" s="1106">
        <f>'[4]D M S'!$M381</f>
        <v>0</v>
      </c>
      <c r="J381" s="1106">
        <f>'[5]D M S'!$M381</f>
        <v>0</v>
      </c>
      <c r="K381" s="1106">
        <f>'[6]D M S'!$M381</f>
        <v>0</v>
      </c>
      <c r="L381" s="1106">
        <f>'[7]D M S'!$M381</f>
        <v>0</v>
      </c>
      <c r="M381" s="1091">
        <f t="shared" si="22"/>
        <v>0</v>
      </c>
      <c r="N381" s="84"/>
      <c r="O381" s="1048"/>
    </row>
    <row r="382" spans="1:15" ht="36.75" hidden="1" customHeight="1">
      <c r="A382" s="1749"/>
      <c r="B382" s="1837"/>
      <c r="C382" s="1735"/>
      <c r="D382" s="1751"/>
      <c r="E382" s="1088" t="s">
        <v>117</v>
      </c>
      <c r="F382" s="1118">
        <f>'[1]D M S'!$M382</f>
        <v>0</v>
      </c>
      <c r="G382" s="1047">
        <f>'[2]D M S'!$M382</f>
        <v>0</v>
      </c>
      <c r="H382" s="1090">
        <f>'[3]D M S'!$M382</f>
        <v>0</v>
      </c>
      <c r="I382" s="1106">
        <f>'[4]D M S'!$M382</f>
        <v>0</v>
      </c>
      <c r="J382" s="1106">
        <f>'[5]D M S'!$M382</f>
        <v>0</v>
      </c>
      <c r="K382" s="1106">
        <f>'[6]D M S'!$M382</f>
        <v>0</v>
      </c>
      <c r="L382" s="1106">
        <f>'[7]D M S'!$M382</f>
        <v>0</v>
      </c>
      <c r="M382" s="1091">
        <f t="shared" si="22"/>
        <v>0</v>
      </c>
      <c r="N382" s="84"/>
      <c r="O382" s="1048"/>
    </row>
    <row r="383" spans="1:15" s="1046" customFormat="1" ht="41.1" customHeight="1">
      <c r="A383" s="1790" t="s">
        <v>651</v>
      </c>
      <c r="B383" s="1790"/>
      <c r="C383" s="1790"/>
      <c r="D383" s="1790"/>
      <c r="E383" s="1790"/>
      <c r="F383" s="1118"/>
      <c r="G383" s="1047">
        <f>'[2]D M S'!$M383</f>
        <v>0</v>
      </c>
      <c r="H383" s="1090">
        <f>'[3]D M S'!$M383</f>
        <v>0</v>
      </c>
      <c r="I383" s="1106">
        <f>'[4]D M S'!$M383</f>
        <v>0</v>
      </c>
      <c r="J383" s="1106">
        <f>'[5]D M S'!$M383</f>
        <v>0</v>
      </c>
      <c r="K383" s="1106">
        <f>'[6]D M S'!$M383</f>
        <v>0</v>
      </c>
      <c r="L383" s="1106">
        <f>'[7]D M S'!$M383</f>
        <v>0</v>
      </c>
      <c r="M383" s="1099"/>
      <c r="N383" s="84"/>
      <c r="O383" s="1048"/>
    </row>
    <row r="384" spans="1:15" s="1044" customFormat="1" ht="12.75" hidden="1" customHeight="1">
      <c r="A384" s="1749">
        <v>1</v>
      </c>
      <c r="B384" s="1765" t="e">
        <v>#REF!</v>
      </c>
      <c r="C384" s="1750" t="e">
        <v>#REF!</v>
      </c>
      <c r="D384" s="1769" t="e">
        <v>#REF!</v>
      </c>
      <c r="E384" s="1088" t="s">
        <v>115</v>
      </c>
      <c r="F384" s="1118" t="e">
        <f>'[1]D M S'!$M384</f>
        <v>#REF!</v>
      </c>
      <c r="G384" s="1047">
        <f>'[2]D M S'!$M384</f>
        <v>0</v>
      </c>
      <c r="H384" s="1090">
        <f>'[3]D M S'!$M384</f>
        <v>0</v>
      </c>
      <c r="I384" s="1106">
        <f>'[4]D M S'!$M384</f>
        <v>0</v>
      </c>
      <c r="J384" s="1106">
        <f>'[5]D M S'!$M384</f>
        <v>0</v>
      </c>
      <c r="K384" s="1106">
        <f>'[6]D M S'!$M384</f>
        <v>0</v>
      </c>
      <c r="L384" s="1106">
        <f>'[7]D M S'!$M384</f>
        <v>0</v>
      </c>
      <c r="M384" s="1091"/>
      <c r="N384" s="84"/>
      <c r="O384" s="1048"/>
    </row>
    <row r="385" spans="1:15" s="1044" customFormat="1" ht="12.75" hidden="1" customHeight="1">
      <c r="A385" s="1749"/>
      <c r="B385" s="1765"/>
      <c r="C385" s="1750"/>
      <c r="D385" s="1769"/>
      <c r="E385" s="1088" t="s">
        <v>116</v>
      </c>
      <c r="F385" s="1118" t="e">
        <f>'[1]D M S'!$M385</f>
        <v>#REF!</v>
      </c>
      <c r="G385" s="1047">
        <f>'[2]D M S'!$M385</f>
        <v>0</v>
      </c>
      <c r="H385" s="1090">
        <f>'[3]D M S'!$M385</f>
        <v>0</v>
      </c>
      <c r="I385" s="1106">
        <f>'[4]D M S'!$M385</f>
        <v>0</v>
      </c>
      <c r="J385" s="1106">
        <f>'[5]D M S'!$M385</f>
        <v>0</v>
      </c>
      <c r="K385" s="1106">
        <f>'[6]D M S'!$M385</f>
        <v>0</v>
      </c>
      <c r="L385" s="1106">
        <f>'[7]D M S'!$M385</f>
        <v>0</v>
      </c>
      <c r="M385" s="1091"/>
      <c r="N385" s="84"/>
      <c r="O385" s="1048"/>
    </row>
    <row r="386" spans="1:15" s="1044" customFormat="1" ht="12.75" hidden="1" customHeight="1">
      <c r="A386" s="1749"/>
      <c r="B386" s="1765"/>
      <c r="C386" s="1750"/>
      <c r="D386" s="1769"/>
      <c r="E386" s="1088" t="s">
        <v>117</v>
      </c>
      <c r="F386" s="1118" t="e">
        <f>'[1]D M S'!$M386</f>
        <v>#REF!</v>
      </c>
      <c r="G386" s="1047">
        <f>'[2]D M S'!$M386</f>
        <v>0</v>
      </c>
      <c r="H386" s="1090">
        <f>'[3]D M S'!$M386</f>
        <v>0</v>
      </c>
      <c r="I386" s="1106">
        <f>'[4]D M S'!$M386</f>
        <v>0</v>
      </c>
      <c r="J386" s="1106">
        <f>'[5]D M S'!$M386</f>
        <v>0</v>
      </c>
      <c r="K386" s="1106">
        <f>'[6]D M S'!$M386</f>
        <v>0</v>
      </c>
      <c r="L386" s="1106">
        <f>'[7]D M S'!$M386</f>
        <v>0</v>
      </c>
      <c r="M386" s="1091"/>
      <c r="N386" s="84"/>
      <c r="O386" s="1048"/>
    </row>
    <row r="387" spans="1:15" ht="41.1" customHeight="1">
      <c r="A387" s="1749">
        <v>1</v>
      </c>
      <c r="B387" s="1765" t="s">
        <v>754</v>
      </c>
      <c r="C387" s="1777" t="s">
        <v>644</v>
      </c>
      <c r="D387" s="1769" t="s">
        <v>645</v>
      </c>
      <c r="E387" s="1088" t="s">
        <v>115</v>
      </c>
      <c r="F387" s="1118">
        <f>'[8]D M S'!$M$387</f>
        <v>0</v>
      </c>
      <c r="G387" s="1047">
        <f>'[2]D M S'!$M387</f>
        <v>0</v>
      </c>
      <c r="H387" s="1090">
        <f>'[3]D M S'!$M387</f>
        <v>0</v>
      </c>
      <c r="I387" s="1090">
        <f>'[9]D M S'!$M387</f>
        <v>0</v>
      </c>
      <c r="J387" s="1106">
        <f>'[5]D M S'!$M387</f>
        <v>0</v>
      </c>
      <c r="K387" s="1106">
        <f>'[6]D M S'!$M387</f>
        <v>0</v>
      </c>
      <c r="L387" s="1106">
        <f>'[7]D M S'!$M387</f>
        <v>0</v>
      </c>
      <c r="M387" s="1091">
        <f t="shared" ref="M387:M410" si="23">SUM(F387:L387)</f>
        <v>0</v>
      </c>
      <c r="N387" s="84"/>
      <c r="O387" s="1048"/>
    </row>
    <row r="388" spans="1:15" ht="41.1" customHeight="1">
      <c r="A388" s="1749"/>
      <c r="B388" s="1765"/>
      <c r="C388" s="1777"/>
      <c r="D388" s="1769"/>
      <c r="E388" s="1088" t="s">
        <v>116</v>
      </c>
      <c r="F388" s="1118">
        <f>'[1]D M S'!$M388</f>
        <v>0</v>
      </c>
      <c r="G388" s="1047">
        <f>'[2]D M S'!$M388</f>
        <v>0</v>
      </c>
      <c r="H388" s="1090">
        <f>'[3]D M S'!$M388</f>
        <v>0</v>
      </c>
      <c r="I388" s="1106">
        <f>'[4]D M S'!$M388</f>
        <v>0</v>
      </c>
      <c r="J388" s="1106">
        <f>'[5]D M S'!$M388</f>
        <v>0</v>
      </c>
      <c r="K388" s="1106">
        <f>'[6]D M S'!$M388</f>
        <v>0</v>
      </c>
      <c r="L388" s="1106">
        <f>'[7]D M S'!$M388</f>
        <v>0</v>
      </c>
      <c r="M388" s="1091">
        <f t="shared" si="23"/>
        <v>0</v>
      </c>
      <c r="N388" s="84"/>
      <c r="O388" s="1048"/>
    </row>
    <row r="389" spans="1:15" ht="41.1" customHeight="1">
      <c r="A389" s="1749"/>
      <c r="B389" s="1765"/>
      <c r="C389" s="1777"/>
      <c r="D389" s="1769"/>
      <c r="E389" s="1088" t="s">
        <v>117</v>
      </c>
      <c r="F389" s="1118">
        <f>'[1]D M S'!$M389</f>
        <v>0</v>
      </c>
      <c r="G389" s="1047">
        <f>'[2]D M S'!$M389</f>
        <v>0</v>
      </c>
      <c r="H389" s="1090">
        <f>'[3]D M S'!$M389</f>
        <v>0</v>
      </c>
      <c r="I389" s="1106">
        <f>'[4]D M S'!$M389</f>
        <v>0</v>
      </c>
      <c r="J389" s="1106">
        <f>'[5]D M S'!$M389</f>
        <v>0</v>
      </c>
      <c r="K389" s="1106">
        <f>'[6]D M S'!$M389</f>
        <v>0</v>
      </c>
      <c r="L389" s="1106">
        <f>'[7]D M S'!$M389</f>
        <v>0</v>
      </c>
      <c r="M389" s="1091">
        <f t="shared" si="23"/>
        <v>0</v>
      </c>
      <c r="N389" s="84"/>
      <c r="O389" s="1048"/>
    </row>
    <row r="390" spans="1:15" s="1044" customFormat="1" ht="12.75" hidden="1" customHeight="1">
      <c r="A390" s="1749">
        <v>2</v>
      </c>
      <c r="B390" s="1765" t="e">
        <v>#REF!</v>
      </c>
      <c r="C390" s="1743"/>
      <c r="D390" s="1743"/>
      <c r="E390" s="1088" t="s">
        <v>115</v>
      </c>
      <c r="F390" s="1118">
        <f>'[1]D M S'!$M390</f>
        <v>0</v>
      </c>
      <c r="G390" s="1047">
        <f>'[2]D M S'!$M390</f>
        <v>0</v>
      </c>
      <c r="H390" s="1090">
        <f>'[3]D M S'!$M390</f>
        <v>0</v>
      </c>
      <c r="I390" s="1106">
        <f>'[4]D M S'!$M390</f>
        <v>0</v>
      </c>
      <c r="J390" s="1106">
        <f>'[5]D M S'!$M390</f>
        <v>0</v>
      </c>
      <c r="K390" s="1106">
        <f>'[6]D M S'!$M390</f>
        <v>0</v>
      </c>
      <c r="L390" s="1106">
        <f>'[7]D M S'!$M390</f>
        <v>0</v>
      </c>
      <c r="M390" s="1091">
        <f t="shared" si="23"/>
        <v>0</v>
      </c>
      <c r="N390" s="84"/>
      <c r="O390" s="1048"/>
    </row>
    <row r="391" spans="1:15" s="1044" customFormat="1" ht="12.75" hidden="1" customHeight="1">
      <c r="A391" s="1749"/>
      <c r="B391" s="1765"/>
      <c r="C391" s="1743"/>
      <c r="D391" s="1743"/>
      <c r="E391" s="1088" t="s">
        <v>116</v>
      </c>
      <c r="F391" s="1118">
        <f>'[1]D M S'!$M391</f>
        <v>0</v>
      </c>
      <c r="G391" s="1047">
        <f>'[2]D M S'!$M391</f>
        <v>0</v>
      </c>
      <c r="H391" s="1090">
        <f>'[3]D M S'!$M391</f>
        <v>0</v>
      </c>
      <c r="I391" s="1106">
        <f>'[4]D M S'!$M391</f>
        <v>0</v>
      </c>
      <c r="J391" s="1106">
        <f>'[5]D M S'!$M391</f>
        <v>0</v>
      </c>
      <c r="K391" s="1106">
        <f>'[6]D M S'!$M391</f>
        <v>0</v>
      </c>
      <c r="L391" s="1106">
        <f>'[7]D M S'!$M391</f>
        <v>0</v>
      </c>
      <c r="M391" s="1091">
        <f t="shared" si="23"/>
        <v>0</v>
      </c>
      <c r="N391" s="84"/>
      <c r="O391" s="1048"/>
    </row>
    <row r="392" spans="1:15" s="1044" customFormat="1" ht="12.75" hidden="1" customHeight="1">
      <c r="A392" s="1749"/>
      <c r="B392" s="1765"/>
      <c r="C392" s="1743"/>
      <c r="D392" s="1743"/>
      <c r="E392" s="1088" t="s">
        <v>117</v>
      </c>
      <c r="F392" s="1118">
        <f>'[1]D M S'!$M392</f>
        <v>0</v>
      </c>
      <c r="G392" s="1047">
        <f>'[2]D M S'!$M392</f>
        <v>0</v>
      </c>
      <c r="H392" s="1090">
        <f>'[3]D M S'!$M392</f>
        <v>0</v>
      </c>
      <c r="I392" s="1106">
        <f>'[4]D M S'!$M392</f>
        <v>0</v>
      </c>
      <c r="J392" s="1106">
        <f>'[5]D M S'!$M392</f>
        <v>0</v>
      </c>
      <c r="K392" s="1106">
        <f>'[6]D M S'!$M392</f>
        <v>0</v>
      </c>
      <c r="L392" s="1106">
        <f>'[7]D M S'!$M392</f>
        <v>0</v>
      </c>
      <c r="M392" s="1091">
        <f t="shared" si="23"/>
        <v>0</v>
      </c>
      <c r="N392" s="84"/>
      <c r="O392" s="1048"/>
    </row>
    <row r="393" spans="1:15" s="1044" customFormat="1" ht="41.1" customHeight="1">
      <c r="A393" s="1749">
        <v>2</v>
      </c>
      <c r="B393" s="1765" t="s">
        <v>753</v>
      </c>
      <c r="C393" s="1743"/>
      <c r="D393" s="1743" t="s">
        <v>646</v>
      </c>
      <c r="E393" s="1088" t="s">
        <v>115</v>
      </c>
      <c r="F393" s="1118">
        <f>'[8]D M S'!$M393</f>
        <v>14</v>
      </c>
      <c r="G393" s="1047">
        <f>'[2]D M S'!$M393</f>
        <v>11</v>
      </c>
      <c r="H393" s="1090">
        <f>'[3]D M S'!$M393</f>
        <v>11</v>
      </c>
      <c r="I393" s="1106">
        <f>'[9]D M S'!$M393</f>
        <v>14</v>
      </c>
      <c r="J393" s="1106">
        <f>'[5]D M S'!$M393</f>
        <v>14</v>
      </c>
      <c r="K393" s="1106">
        <f>'[6]D M S'!$M393</f>
        <v>14</v>
      </c>
      <c r="L393" s="1106">
        <f>'[7]D M S'!$M393</f>
        <v>14</v>
      </c>
      <c r="M393" s="1091">
        <f t="shared" si="23"/>
        <v>92</v>
      </c>
      <c r="N393" s="84"/>
      <c r="O393" s="1048"/>
    </row>
    <row r="394" spans="1:15" s="1044" customFormat="1" ht="41.1" customHeight="1">
      <c r="A394" s="1749"/>
      <c r="B394" s="1765"/>
      <c r="C394" s="1743"/>
      <c r="D394" s="1743"/>
      <c r="E394" s="1088" t="s">
        <v>116</v>
      </c>
      <c r="F394" s="1118">
        <f>'[8]D M S'!$M394</f>
        <v>0</v>
      </c>
      <c r="G394" s="1047">
        <f>'[2]D M S'!$M394</f>
        <v>0</v>
      </c>
      <c r="H394" s="1090">
        <f>'[3]D M S'!$M394</f>
        <v>0</v>
      </c>
      <c r="I394" s="1106">
        <f>'[9]D M S'!$M394</f>
        <v>0</v>
      </c>
      <c r="J394" s="1106">
        <f>'[5]D M S'!$M394</f>
        <v>0</v>
      </c>
      <c r="K394" s="1106">
        <f>'[6]D M S'!$M394</f>
        <v>0</v>
      </c>
      <c r="L394" s="1106">
        <f>'[7]D M S'!$M394</f>
        <v>0</v>
      </c>
      <c r="M394" s="1091">
        <f t="shared" si="23"/>
        <v>0</v>
      </c>
      <c r="N394" s="84"/>
      <c r="O394" s="1048"/>
    </row>
    <row r="395" spans="1:15" s="1044" customFormat="1" ht="41.1" customHeight="1">
      <c r="A395" s="1749"/>
      <c r="B395" s="1765"/>
      <c r="C395" s="1743"/>
      <c r="D395" s="1743"/>
      <c r="E395" s="1088" t="s">
        <v>117</v>
      </c>
      <c r="F395" s="1118">
        <f>'[8]D M S'!$M395</f>
        <v>0</v>
      </c>
      <c r="G395" s="1047">
        <f>'[2]D M S'!$M395</f>
        <v>0</v>
      </c>
      <c r="H395" s="1090">
        <f>'[3]D M S'!$M395</f>
        <v>0</v>
      </c>
      <c r="I395" s="1106">
        <f>'[9]D M S'!$M395</f>
        <v>0</v>
      </c>
      <c r="J395" s="1106">
        <f>'[5]D M S'!$M395</f>
        <v>0</v>
      </c>
      <c r="K395" s="1106">
        <f>'[6]D M S'!$M395</f>
        <v>0</v>
      </c>
      <c r="L395" s="1106">
        <f>'[7]D M S'!$M395</f>
        <v>0</v>
      </c>
      <c r="M395" s="1091">
        <f t="shared" si="23"/>
        <v>0</v>
      </c>
      <c r="N395" s="84"/>
      <c r="O395" s="1048"/>
    </row>
    <row r="396" spans="1:15" s="1044" customFormat="1" ht="41.1" customHeight="1">
      <c r="A396" s="1749">
        <v>3</v>
      </c>
      <c r="B396" s="1765" t="s">
        <v>755</v>
      </c>
      <c r="C396" s="1743" t="s">
        <v>647</v>
      </c>
      <c r="D396" s="1743" t="s">
        <v>756</v>
      </c>
      <c r="E396" s="1088" t="s">
        <v>115</v>
      </c>
      <c r="F396" s="1118">
        <f>'[8]D M S'!$M396</f>
        <v>0</v>
      </c>
      <c r="G396" s="1047">
        <f>'[2]D M S'!$M396</f>
        <v>0</v>
      </c>
      <c r="H396" s="1090">
        <f>'[3]D M S'!$M396</f>
        <v>0</v>
      </c>
      <c r="I396" s="1106">
        <f>'[9]D M S'!$M396</f>
        <v>0</v>
      </c>
      <c r="J396" s="1106">
        <f>'[5]D M S'!$M396</f>
        <v>0</v>
      </c>
      <c r="K396" s="1106">
        <f>'[6]D M S'!$M396</f>
        <v>0</v>
      </c>
      <c r="L396" s="1106">
        <f>'[7]D M S'!$M396</f>
        <v>0</v>
      </c>
      <c r="M396" s="1091">
        <f t="shared" si="23"/>
        <v>0</v>
      </c>
      <c r="N396" s="84"/>
      <c r="O396" s="1048"/>
    </row>
    <row r="397" spans="1:15" s="1044" customFormat="1" ht="41.1" customHeight="1">
      <c r="A397" s="1749"/>
      <c r="B397" s="1765"/>
      <c r="C397" s="1743"/>
      <c r="D397" s="1743"/>
      <c r="E397" s="1088" t="s">
        <v>116</v>
      </c>
      <c r="F397" s="1118">
        <f>'[8]D M S'!$M397</f>
        <v>0</v>
      </c>
      <c r="G397" s="1047">
        <f>'[2]D M S'!$M397</f>
        <v>0</v>
      </c>
      <c r="H397" s="1090">
        <f>'[3]D M S'!$M397</f>
        <v>0</v>
      </c>
      <c r="I397" s="1106">
        <f>'[9]D M S'!$M397</f>
        <v>0</v>
      </c>
      <c r="J397" s="1106">
        <f>'[5]D M S'!$M397</f>
        <v>0</v>
      </c>
      <c r="K397" s="1106">
        <f>'[6]D M S'!$M397</f>
        <v>0</v>
      </c>
      <c r="L397" s="1106">
        <f>'[7]D M S'!$M397</f>
        <v>0</v>
      </c>
      <c r="M397" s="1091">
        <f t="shared" si="23"/>
        <v>0</v>
      </c>
      <c r="N397" s="84"/>
      <c r="O397" s="1048"/>
    </row>
    <row r="398" spans="1:15" s="1044" customFormat="1" ht="41.1" customHeight="1">
      <c r="A398" s="1749"/>
      <c r="B398" s="1765"/>
      <c r="C398" s="1743"/>
      <c r="D398" s="1743"/>
      <c r="E398" s="1088" t="s">
        <v>117</v>
      </c>
      <c r="F398" s="1118">
        <f>'[8]D M S'!$M398</f>
        <v>0</v>
      </c>
      <c r="G398" s="1047">
        <f>'[2]D M S'!$M398</f>
        <v>0</v>
      </c>
      <c r="H398" s="1090">
        <f>'[3]D M S'!$M398</f>
        <v>0</v>
      </c>
      <c r="I398" s="1106">
        <f>'[9]D M S'!$M398</f>
        <v>0</v>
      </c>
      <c r="J398" s="1106">
        <f>'[5]D M S'!$M398</f>
        <v>0</v>
      </c>
      <c r="K398" s="1106">
        <f>'[6]D M S'!$M398</f>
        <v>0</v>
      </c>
      <c r="L398" s="1106">
        <f>'[7]D M S'!$M398</f>
        <v>0</v>
      </c>
      <c r="M398" s="1091">
        <f t="shared" si="23"/>
        <v>0</v>
      </c>
      <c r="N398" s="84"/>
      <c r="O398" s="1048"/>
    </row>
    <row r="399" spans="1:15" s="1044" customFormat="1" ht="12.75" hidden="1" customHeight="1">
      <c r="A399" s="1749">
        <v>5</v>
      </c>
      <c r="B399" s="1765" t="e">
        <v>#REF!</v>
      </c>
      <c r="C399" s="1743" t="e">
        <v>#REF!</v>
      </c>
      <c r="D399" s="1743" t="s">
        <v>176</v>
      </c>
      <c r="E399" s="1088" t="s">
        <v>115</v>
      </c>
      <c r="F399" s="1118">
        <f>'[1]D M S'!$M399</f>
        <v>0</v>
      </c>
      <c r="G399" s="1047">
        <f>'[2]D M S'!$M399</f>
        <v>0</v>
      </c>
      <c r="H399" s="1090">
        <f>'[3]D M S'!$M399</f>
        <v>0</v>
      </c>
      <c r="I399" s="1106">
        <f>'[4]D M S'!$M399</f>
        <v>0</v>
      </c>
      <c r="J399" s="1106">
        <f>'[5]D M S'!$M399</f>
        <v>0</v>
      </c>
      <c r="K399" s="1106">
        <f>'[6]D M S'!$M399</f>
        <v>0</v>
      </c>
      <c r="L399" s="1106">
        <f>'[7]D M S'!$M399</f>
        <v>0</v>
      </c>
      <c r="M399" s="1091">
        <f t="shared" si="23"/>
        <v>0</v>
      </c>
      <c r="N399" s="84"/>
      <c r="O399" s="1048"/>
    </row>
    <row r="400" spans="1:15" s="1044" customFormat="1" ht="12.75" hidden="1" customHeight="1">
      <c r="A400" s="1749"/>
      <c r="B400" s="1765"/>
      <c r="C400" s="1743"/>
      <c r="D400" s="1743"/>
      <c r="E400" s="1088" t="s">
        <v>116</v>
      </c>
      <c r="F400" s="1118">
        <f>'[1]D M S'!$M400</f>
        <v>0</v>
      </c>
      <c r="G400" s="1047">
        <f>'[2]D M S'!$M400</f>
        <v>0</v>
      </c>
      <c r="H400" s="1090">
        <f>'[3]D M S'!$M400</f>
        <v>0</v>
      </c>
      <c r="I400" s="1106">
        <f>'[4]D M S'!$M400</f>
        <v>0</v>
      </c>
      <c r="J400" s="1106">
        <f>'[5]D M S'!$M400</f>
        <v>0</v>
      </c>
      <c r="K400" s="1106">
        <f>'[6]D M S'!$M400</f>
        <v>0</v>
      </c>
      <c r="L400" s="1106">
        <f>'[7]D M S'!$M400</f>
        <v>0</v>
      </c>
      <c r="M400" s="1091">
        <f t="shared" si="23"/>
        <v>0</v>
      </c>
      <c r="N400" s="84"/>
      <c r="O400" s="1048"/>
    </row>
    <row r="401" spans="1:15" s="1044" customFormat="1" ht="12.75" hidden="1" customHeight="1">
      <c r="A401" s="1749"/>
      <c r="B401" s="1765"/>
      <c r="C401" s="1743"/>
      <c r="D401" s="1743"/>
      <c r="E401" s="1088" t="s">
        <v>117</v>
      </c>
      <c r="F401" s="1118">
        <f>'[1]D M S'!$M401</f>
        <v>0</v>
      </c>
      <c r="G401" s="1047">
        <f>'[2]D M S'!$M401</f>
        <v>0</v>
      </c>
      <c r="H401" s="1090">
        <f>'[3]D M S'!$M401</f>
        <v>0</v>
      </c>
      <c r="I401" s="1106">
        <f>'[4]D M S'!$M401</f>
        <v>0</v>
      </c>
      <c r="J401" s="1106">
        <f>'[5]D M S'!$M401</f>
        <v>0</v>
      </c>
      <c r="K401" s="1106">
        <f>'[6]D M S'!$M401</f>
        <v>0</v>
      </c>
      <c r="L401" s="1106">
        <f>'[7]D M S'!$M401</f>
        <v>0</v>
      </c>
      <c r="M401" s="1091">
        <f t="shared" si="23"/>
        <v>0</v>
      </c>
      <c r="N401" s="84"/>
      <c r="O401" s="1048"/>
    </row>
    <row r="402" spans="1:15" s="1044" customFormat="1" ht="12.75" hidden="1" customHeight="1">
      <c r="A402" s="1749">
        <v>6</v>
      </c>
      <c r="B402" s="4" t="e">
        <v>#REF!</v>
      </c>
      <c r="C402" s="1743" t="e">
        <v>#REF!</v>
      </c>
      <c r="D402" s="1743" t="e">
        <v>#REF!</v>
      </c>
      <c r="E402" s="1088" t="s">
        <v>115</v>
      </c>
      <c r="F402" s="1118">
        <f>'[1]D M S'!$M402</f>
        <v>0</v>
      </c>
      <c r="G402" s="1047">
        <f>'[2]D M S'!$M402</f>
        <v>0</v>
      </c>
      <c r="H402" s="1090">
        <f>'[3]D M S'!$M402</f>
        <v>0</v>
      </c>
      <c r="I402" s="1106">
        <f>'[4]D M S'!$M402</f>
        <v>0</v>
      </c>
      <c r="J402" s="1106">
        <f>'[5]D M S'!$M402</f>
        <v>0</v>
      </c>
      <c r="K402" s="1106">
        <f>'[6]D M S'!$M402</f>
        <v>0</v>
      </c>
      <c r="L402" s="1106">
        <f>'[7]D M S'!$M402</f>
        <v>0</v>
      </c>
      <c r="M402" s="1091">
        <f t="shared" si="23"/>
        <v>0</v>
      </c>
      <c r="N402" s="84"/>
      <c r="O402" s="1048"/>
    </row>
    <row r="403" spans="1:15" s="1044" customFormat="1" ht="12.75" hidden="1" customHeight="1">
      <c r="A403" s="1749"/>
      <c r="B403" s="4"/>
      <c r="C403" s="1743"/>
      <c r="D403" s="1743"/>
      <c r="E403" s="1088" t="s">
        <v>116</v>
      </c>
      <c r="F403" s="1118">
        <f>'[1]D M S'!$M403</f>
        <v>0</v>
      </c>
      <c r="G403" s="1047">
        <f>'[2]D M S'!$M403</f>
        <v>0</v>
      </c>
      <c r="H403" s="1090">
        <f>'[3]D M S'!$M403</f>
        <v>0</v>
      </c>
      <c r="I403" s="1106">
        <f>'[4]D M S'!$M403</f>
        <v>0</v>
      </c>
      <c r="J403" s="1106">
        <f>'[5]D M S'!$M403</f>
        <v>0</v>
      </c>
      <c r="K403" s="1106">
        <f>'[6]D M S'!$M403</f>
        <v>0</v>
      </c>
      <c r="L403" s="1106">
        <f>'[7]D M S'!$M403</f>
        <v>0</v>
      </c>
      <c r="M403" s="1091">
        <f t="shared" si="23"/>
        <v>0</v>
      </c>
      <c r="N403" s="84"/>
      <c r="O403" s="1048"/>
    </row>
    <row r="404" spans="1:15" s="1044" customFormat="1" ht="12.75" hidden="1" customHeight="1">
      <c r="A404" s="1749"/>
      <c r="B404" s="4"/>
      <c r="C404" s="1743"/>
      <c r="D404" s="1743"/>
      <c r="E404" s="1114" t="s">
        <v>117</v>
      </c>
      <c r="F404" s="1118">
        <f>'[1]D M S'!$M404</f>
        <v>0</v>
      </c>
      <c r="G404" s="1047">
        <f>'[2]D M S'!$M404</f>
        <v>0</v>
      </c>
      <c r="H404" s="1090">
        <f>'[3]D M S'!$M404</f>
        <v>0</v>
      </c>
      <c r="I404" s="1106">
        <f>'[4]D M S'!$M404</f>
        <v>0</v>
      </c>
      <c r="J404" s="1106">
        <f>'[5]D M S'!$M404</f>
        <v>0</v>
      </c>
      <c r="K404" s="1106">
        <f>'[6]D M S'!$M404</f>
        <v>0</v>
      </c>
      <c r="L404" s="1106">
        <f>'[7]D M S'!$M404</f>
        <v>0</v>
      </c>
      <c r="M404" s="1091">
        <f t="shared" si="23"/>
        <v>0</v>
      </c>
      <c r="N404" s="84"/>
      <c r="O404" s="1048"/>
    </row>
    <row r="405" spans="1:15" s="1044" customFormat="1" ht="12.75" hidden="1" customHeight="1">
      <c r="A405" s="1121"/>
      <c r="B405" s="1096"/>
      <c r="C405" s="1760"/>
      <c r="D405" s="1126"/>
      <c r="E405" s="1116"/>
      <c r="F405" s="1118">
        <f>'[1]D M S'!$M405</f>
        <v>0</v>
      </c>
      <c r="G405" s="1047">
        <f>'[2]D M S'!$M405</f>
        <v>0</v>
      </c>
      <c r="H405" s="1090">
        <f>'[3]D M S'!$M405</f>
        <v>0</v>
      </c>
      <c r="I405" s="1106">
        <f>'[4]D M S'!$M405</f>
        <v>0</v>
      </c>
      <c r="J405" s="1106">
        <f>'[5]D M S'!$M405</f>
        <v>0</v>
      </c>
      <c r="K405" s="1106">
        <f>'[6]D M S'!$M405</f>
        <v>0</v>
      </c>
      <c r="L405" s="1106">
        <f>'[7]D M S'!$M405</f>
        <v>0</v>
      </c>
      <c r="M405" s="1091">
        <f t="shared" si="23"/>
        <v>0</v>
      </c>
      <c r="N405" s="84"/>
      <c r="O405" s="1048"/>
    </row>
    <row r="406" spans="1:15" s="1044" customFormat="1" ht="12.75" hidden="1" customHeight="1">
      <c r="A406" s="1121"/>
      <c r="B406" s="1096"/>
      <c r="C406" s="1760"/>
      <c r="D406" s="1126"/>
      <c r="E406" s="1088"/>
      <c r="F406" s="1118">
        <f>'[1]D M S'!$M406</f>
        <v>0</v>
      </c>
      <c r="G406" s="1047">
        <f>'[2]D M S'!$M406</f>
        <v>0</v>
      </c>
      <c r="H406" s="1090">
        <f>'[3]D M S'!$M406</f>
        <v>0</v>
      </c>
      <c r="I406" s="1106">
        <f>'[4]D M S'!$M406</f>
        <v>0</v>
      </c>
      <c r="J406" s="1106">
        <f>'[5]D M S'!$M406</f>
        <v>0</v>
      </c>
      <c r="K406" s="1106">
        <f>'[6]D M S'!$M406</f>
        <v>0</v>
      </c>
      <c r="L406" s="1106">
        <f>'[7]D M S'!$M406</f>
        <v>0</v>
      </c>
      <c r="M406" s="1091">
        <f t="shared" si="23"/>
        <v>0</v>
      </c>
      <c r="N406" s="84"/>
      <c r="O406" s="1048"/>
    </row>
    <row r="407" spans="1:15" s="1044" customFormat="1" ht="12.75" hidden="1" customHeight="1">
      <c r="A407" s="1121"/>
      <c r="B407" s="1096"/>
      <c r="C407" s="1760"/>
      <c r="D407" s="1126"/>
      <c r="E407" s="1114"/>
      <c r="F407" s="1118">
        <f>'[1]D M S'!$M407</f>
        <v>0</v>
      </c>
      <c r="G407" s="1047">
        <f>'[2]D M S'!$M407</f>
        <v>0</v>
      </c>
      <c r="H407" s="1090">
        <f>'[3]D M S'!$M407</f>
        <v>0</v>
      </c>
      <c r="I407" s="1106">
        <f>'[4]D M S'!$M407</f>
        <v>0</v>
      </c>
      <c r="J407" s="1106">
        <f>'[5]D M S'!$M407</f>
        <v>0</v>
      </c>
      <c r="K407" s="1106">
        <f>'[6]D M S'!$M407</f>
        <v>0</v>
      </c>
      <c r="L407" s="1106">
        <f>'[7]D M S'!$M407</f>
        <v>0</v>
      </c>
      <c r="M407" s="1091">
        <f t="shared" si="23"/>
        <v>0</v>
      </c>
      <c r="N407" s="84"/>
      <c r="O407" s="1048"/>
    </row>
    <row r="408" spans="1:15" s="1044" customFormat="1" ht="39" hidden="1" customHeight="1" thickTop="1" thickBot="1">
      <c r="A408" s="1815">
        <v>4</v>
      </c>
      <c r="B408" s="1765" t="s">
        <v>175</v>
      </c>
      <c r="C408" s="1759"/>
      <c r="D408" s="1760">
        <v>198</v>
      </c>
      <c r="E408" s="1088" t="s">
        <v>115</v>
      </c>
      <c r="F408" s="1118">
        <f>'[1]D M S'!$M408</f>
        <v>0</v>
      </c>
      <c r="G408" s="1047">
        <f>'[2]D M S'!$M408</f>
        <v>0</v>
      </c>
      <c r="H408" s="1090">
        <f>'[3]D M S'!$M408</f>
        <v>0</v>
      </c>
      <c r="I408" s="1106">
        <f>'[4]D M S'!$M408</f>
        <v>0</v>
      </c>
      <c r="J408" s="1106">
        <f>'[5]D M S'!$M408</f>
        <v>0</v>
      </c>
      <c r="K408" s="1106">
        <f>'[6]D M S'!$M408</f>
        <v>0</v>
      </c>
      <c r="L408" s="1106">
        <f>'[7]D M S'!$M408</f>
        <v>0</v>
      </c>
      <c r="M408" s="1091">
        <f t="shared" si="23"/>
        <v>0</v>
      </c>
      <c r="N408" s="84"/>
      <c r="O408" s="1048"/>
    </row>
    <row r="409" spans="1:15" s="1044" customFormat="1" ht="36" hidden="1" customHeight="1" thickTop="1" thickBot="1">
      <c r="A409" s="1815"/>
      <c r="B409" s="1765"/>
      <c r="C409" s="1759"/>
      <c r="D409" s="1760"/>
      <c r="E409" s="1088" t="s">
        <v>116</v>
      </c>
      <c r="F409" s="1118">
        <f>'[1]D M S'!$M409</f>
        <v>0</v>
      </c>
      <c r="G409" s="1047">
        <f>'[2]D M S'!$M409</f>
        <v>0</v>
      </c>
      <c r="H409" s="1090">
        <f>'[3]D M S'!$M409</f>
        <v>0</v>
      </c>
      <c r="I409" s="1106">
        <f>'[4]D M S'!$M409</f>
        <v>0</v>
      </c>
      <c r="J409" s="1106">
        <f>'[5]D M S'!$M409</f>
        <v>0</v>
      </c>
      <c r="K409" s="1106">
        <f>'[6]D M S'!$M409</f>
        <v>0</v>
      </c>
      <c r="L409" s="1106">
        <f>'[7]D M S'!$M409</f>
        <v>0</v>
      </c>
      <c r="M409" s="1091">
        <f t="shared" si="23"/>
        <v>0</v>
      </c>
      <c r="N409" s="84"/>
      <c r="O409" s="1048"/>
    </row>
    <row r="410" spans="1:15" s="1044" customFormat="1" ht="30.75" hidden="1" customHeight="1" thickTop="1">
      <c r="A410" s="1815"/>
      <c r="B410" s="1765"/>
      <c r="C410" s="1759"/>
      <c r="D410" s="1760"/>
      <c r="E410" s="1088" t="s">
        <v>117</v>
      </c>
      <c r="F410" s="1118">
        <f>'[1]D M S'!$M410</f>
        <v>0</v>
      </c>
      <c r="G410" s="1047">
        <f>'[2]D M S'!$M410</f>
        <v>0</v>
      </c>
      <c r="H410" s="1090">
        <f>'[3]D M S'!$M410</f>
        <v>0</v>
      </c>
      <c r="I410" s="1106">
        <f>'[4]D M S'!$M410</f>
        <v>0</v>
      </c>
      <c r="J410" s="1106">
        <f>'[5]D M S'!$M410</f>
        <v>0</v>
      </c>
      <c r="K410" s="1106">
        <f>'[6]D M S'!$M410</f>
        <v>0</v>
      </c>
      <c r="L410" s="1106">
        <f>'[7]D M S'!$M410</f>
        <v>0</v>
      </c>
      <c r="M410" s="1091">
        <f t="shared" si="23"/>
        <v>0</v>
      </c>
      <c r="N410" s="84"/>
      <c r="O410" s="1048"/>
    </row>
    <row r="411" spans="1:15" s="1044" customFormat="1" ht="43.5" hidden="1" customHeight="1">
      <c r="A411" s="1095"/>
      <c r="B411" s="1838" t="s">
        <v>177</v>
      </c>
      <c r="C411" s="1838"/>
      <c r="D411" s="1839"/>
      <c r="E411" s="1839"/>
      <c r="F411" s="1840"/>
      <c r="G411" s="1840"/>
      <c r="H411" s="1840"/>
      <c r="I411" s="1840"/>
      <c r="J411" s="1840"/>
      <c r="K411" s="1840"/>
      <c r="L411" s="1840"/>
      <c r="M411" s="1091">
        <f t="shared" ref="M411:M426" si="24">SUM(F411:L411)</f>
        <v>0</v>
      </c>
      <c r="N411" s="84"/>
      <c r="O411" s="1048"/>
    </row>
    <row r="412" spans="1:15" s="1044" customFormat="1" ht="43.5" hidden="1" customHeight="1">
      <c r="A412" s="1841">
        <v>1</v>
      </c>
      <c r="B412" s="4" t="s">
        <v>178</v>
      </c>
      <c r="C412" s="1743"/>
      <c r="D412" s="1743"/>
      <c r="E412" s="1088" t="s">
        <v>115</v>
      </c>
      <c r="F412" s="1089">
        <f>'[1]D M S'!$M412</f>
        <v>0</v>
      </c>
      <c r="G412" s="1047">
        <f>'[2]D M S'!$M412</f>
        <v>0</v>
      </c>
      <c r="H412" s="1090">
        <f>'[3]D M S'!$M412</f>
        <v>0</v>
      </c>
      <c r="I412" s="1090">
        <f>'[4]D M S'!$M412</f>
        <v>0</v>
      </c>
      <c r="J412" s="1106">
        <f>'[5]D M S'!$M412</f>
        <v>0</v>
      </c>
      <c r="K412" s="1106">
        <f>'[6]D M S'!$M412</f>
        <v>0</v>
      </c>
      <c r="L412" s="1117">
        <f>'[7]D M S'!$M412</f>
        <v>0</v>
      </c>
      <c r="M412" s="1091">
        <f t="shared" si="24"/>
        <v>0</v>
      </c>
      <c r="N412" s="84"/>
      <c r="O412" s="1048"/>
    </row>
    <row r="413" spans="1:15" s="1044" customFormat="1" ht="43.5" hidden="1" customHeight="1">
      <c r="A413" s="1841"/>
      <c r="B413" s="4"/>
      <c r="C413" s="1743"/>
      <c r="D413" s="1743"/>
      <c r="E413" s="1088" t="s">
        <v>116</v>
      </c>
      <c r="F413" s="1089">
        <f>'[1]D M S'!$M413</f>
        <v>0</v>
      </c>
      <c r="G413" s="1047">
        <f>'[2]D M S'!$M413</f>
        <v>0</v>
      </c>
      <c r="H413" s="1090">
        <f>'[3]D M S'!$M413</f>
        <v>0</v>
      </c>
      <c r="I413" s="1090">
        <f>'[4]D M S'!$M413</f>
        <v>0</v>
      </c>
      <c r="J413" s="1106">
        <f>'[5]D M S'!$M413</f>
        <v>0</v>
      </c>
      <c r="K413" s="1106">
        <f>'[6]D M S'!$M413</f>
        <v>0</v>
      </c>
      <c r="L413" s="1117">
        <f>'[7]D M S'!$M413</f>
        <v>0</v>
      </c>
      <c r="M413" s="1091">
        <f t="shared" si="24"/>
        <v>0</v>
      </c>
      <c r="N413" s="84"/>
      <c r="O413" s="1048"/>
    </row>
    <row r="414" spans="1:15" s="1044" customFormat="1" ht="43.5" hidden="1" customHeight="1">
      <c r="A414" s="1841"/>
      <c r="B414" s="4"/>
      <c r="C414" s="1743"/>
      <c r="D414" s="1743"/>
      <c r="E414" s="1088" t="s">
        <v>117</v>
      </c>
      <c r="F414" s="1089">
        <f>'[1]D M S'!$M414</f>
        <v>0</v>
      </c>
      <c r="G414" s="1047">
        <f>'[2]D M S'!$M414</f>
        <v>0</v>
      </c>
      <c r="H414" s="1090">
        <f>'[3]D M S'!$M414</f>
        <v>0</v>
      </c>
      <c r="I414" s="1090">
        <f>'[4]D M S'!$M414</f>
        <v>0</v>
      </c>
      <c r="J414" s="1106">
        <f>'[5]D M S'!$M414</f>
        <v>0</v>
      </c>
      <c r="K414" s="1106">
        <f>'[6]D M S'!$M414</f>
        <v>0</v>
      </c>
      <c r="L414" s="1117">
        <f>'[7]D M S'!$M414</f>
        <v>0</v>
      </c>
      <c r="M414" s="1091">
        <f t="shared" si="24"/>
        <v>0</v>
      </c>
      <c r="N414" s="84"/>
      <c r="O414" s="1048"/>
    </row>
    <row r="415" spans="1:15" s="1044" customFormat="1" ht="12.75" hidden="1" customHeight="1">
      <c r="A415" s="4">
        <v>2</v>
      </c>
      <c r="B415" s="4" t="s">
        <v>178</v>
      </c>
      <c r="C415" s="1769"/>
      <c r="D415" s="1769"/>
      <c r="E415" s="1088" t="s">
        <v>115</v>
      </c>
      <c r="F415" s="1089">
        <f>'[1]D M S'!$M415</f>
        <v>0</v>
      </c>
      <c r="G415" s="1047">
        <f>'[2]D M S'!$M415</f>
        <v>0</v>
      </c>
      <c r="H415" s="1090">
        <f>'[3]D M S'!$M415</f>
        <v>0</v>
      </c>
      <c r="I415" s="1090">
        <f>'[4]D M S'!$M415</f>
        <v>0</v>
      </c>
      <c r="J415" s="1106">
        <f>'[5]D M S'!$M415</f>
        <v>0</v>
      </c>
      <c r="K415" s="1106">
        <f>'[6]D M S'!$M415</f>
        <v>0</v>
      </c>
      <c r="L415" s="1117">
        <f>'[7]D M S'!$M415</f>
        <v>0</v>
      </c>
      <c r="M415" s="1091">
        <f t="shared" si="24"/>
        <v>0</v>
      </c>
      <c r="N415" s="84"/>
      <c r="O415" s="1048"/>
    </row>
    <row r="416" spans="1:15" s="1044" customFormat="1" ht="12.75" hidden="1" customHeight="1">
      <c r="A416" s="4"/>
      <c r="B416" s="4"/>
      <c r="C416" s="1769"/>
      <c r="D416" s="1769"/>
      <c r="E416" s="1088" t="s">
        <v>116</v>
      </c>
      <c r="F416" s="1089">
        <f>'[1]D M S'!$M416</f>
        <v>0</v>
      </c>
      <c r="G416" s="1047">
        <f>'[2]D M S'!$M416</f>
        <v>0</v>
      </c>
      <c r="H416" s="1090">
        <f>'[3]D M S'!$M416</f>
        <v>0</v>
      </c>
      <c r="I416" s="1090">
        <f>'[4]D M S'!$M416</f>
        <v>0</v>
      </c>
      <c r="J416" s="1106">
        <f>'[5]D M S'!$M416</f>
        <v>0</v>
      </c>
      <c r="K416" s="1106">
        <f>'[6]D M S'!$M416</f>
        <v>0</v>
      </c>
      <c r="L416" s="1117">
        <f>'[7]D M S'!$M416</f>
        <v>0</v>
      </c>
      <c r="M416" s="1091">
        <f t="shared" si="24"/>
        <v>0</v>
      </c>
      <c r="N416" s="84"/>
      <c r="O416" s="1048"/>
    </row>
    <row r="417" spans="1:15" s="1044" customFormat="1" ht="12.75" hidden="1" customHeight="1">
      <c r="A417" s="4"/>
      <c r="B417" s="4"/>
      <c r="C417" s="1769"/>
      <c r="D417" s="1769"/>
      <c r="E417" s="1088" t="s">
        <v>117</v>
      </c>
      <c r="F417" s="1089">
        <f>'[1]D M S'!$M417</f>
        <v>0</v>
      </c>
      <c r="G417" s="1047">
        <f>'[2]D M S'!$M417</f>
        <v>0</v>
      </c>
      <c r="H417" s="1090">
        <f>'[3]D M S'!$M417</f>
        <v>0</v>
      </c>
      <c r="I417" s="1090">
        <f>'[4]D M S'!$M417</f>
        <v>0</v>
      </c>
      <c r="J417" s="1106">
        <f>'[5]D M S'!$M417</f>
        <v>0</v>
      </c>
      <c r="K417" s="1106">
        <f>'[6]D M S'!$M417</f>
        <v>0</v>
      </c>
      <c r="L417" s="1117">
        <f>'[7]D M S'!$M417</f>
        <v>0</v>
      </c>
      <c r="M417" s="1091">
        <f t="shared" si="24"/>
        <v>0</v>
      </c>
      <c r="N417" s="84"/>
      <c r="O417" s="1048"/>
    </row>
    <row r="418" spans="1:15" s="1044" customFormat="1" ht="43.5" hidden="1" customHeight="1">
      <c r="A418" s="4">
        <v>2</v>
      </c>
      <c r="B418" s="4" t="s">
        <v>178</v>
      </c>
      <c r="C418" s="1769"/>
      <c r="D418" s="1769"/>
      <c r="E418" s="1088" t="s">
        <v>115</v>
      </c>
      <c r="F418" s="1089">
        <f>'[1]D M S'!$M418</f>
        <v>0</v>
      </c>
      <c r="G418" s="1047">
        <f>'[2]D M S'!$M418</f>
        <v>0</v>
      </c>
      <c r="H418" s="1090">
        <f>'[3]D M S'!$M418</f>
        <v>0</v>
      </c>
      <c r="I418" s="1090">
        <f>'[4]D M S'!$M418</f>
        <v>0</v>
      </c>
      <c r="J418" s="1106">
        <f>'[5]D M S'!$M418</f>
        <v>0</v>
      </c>
      <c r="K418" s="1106">
        <f>'[6]D M S'!$M418</f>
        <v>0</v>
      </c>
      <c r="L418" s="1117">
        <f>'[7]D M S'!$M418</f>
        <v>0</v>
      </c>
      <c r="M418" s="1091">
        <f t="shared" si="24"/>
        <v>0</v>
      </c>
      <c r="N418" s="84"/>
      <c r="O418" s="1048"/>
    </row>
    <row r="419" spans="1:15" s="1044" customFormat="1" ht="43.5" hidden="1" customHeight="1">
      <c r="A419" s="4"/>
      <c r="B419" s="4"/>
      <c r="C419" s="1769"/>
      <c r="D419" s="1769"/>
      <c r="E419" s="1088" t="s">
        <v>116</v>
      </c>
      <c r="F419" s="1089">
        <f>'[1]D M S'!$M419</f>
        <v>0</v>
      </c>
      <c r="G419" s="1047">
        <f>'[2]D M S'!$M419</f>
        <v>0</v>
      </c>
      <c r="H419" s="1090">
        <f>'[3]D M S'!$M419</f>
        <v>0</v>
      </c>
      <c r="I419" s="1090">
        <f>'[4]D M S'!$M419</f>
        <v>0</v>
      </c>
      <c r="J419" s="1106">
        <f>'[5]D M S'!$M419</f>
        <v>0</v>
      </c>
      <c r="K419" s="1106">
        <f>'[6]D M S'!$M419</f>
        <v>0</v>
      </c>
      <c r="L419" s="1117">
        <f>'[7]D M S'!$M419</f>
        <v>0</v>
      </c>
      <c r="M419" s="1091">
        <f t="shared" si="24"/>
        <v>0</v>
      </c>
      <c r="N419" s="84"/>
      <c r="O419" s="1048"/>
    </row>
    <row r="420" spans="1:15" s="1044" customFormat="1" ht="43.5" hidden="1" customHeight="1">
      <c r="A420" s="4"/>
      <c r="B420" s="4"/>
      <c r="C420" s="1769"/>
      <c r="D420" s="1769"/>
      <c r="E420" s="1088" t="s">
        <v>117</v>
      </c>
      <c r="F420" s="1089">
        <f>'[1]D M S'!$M420</f>
        <v>0</v>
      </c>
      <c r="G420" s="1047">
        <f>'[2]D M S'!$M420</f>
        <v>0</v>
      </c>
      <c r="H420" s="1090">
        <f>'[3]D M S'!$M420</f>
        <v>0</v>
      </c>
      <c r="I420" s="1090">
        <f>'[4]D M S'!$M420</f>
        <v>0</v>
      </c>
      <c r="J420" s="1106">
        <f>'[5]D M S'!$M420</f>
        <v>0</v>
      </c>
      <c r="K420" s="1106">
        <f>'[6]D M S'!$M420</f>
        <v>0</v>
      </c>
      <c r="L420" s="1117">
        <f>'[7]D M S'!$M420</f>
        <v>0</v>
      </c>
      <c r="M420" s="1091">
        <f t="shared" si="24"/>
        <v>0</v>
      </c>
      <c r="N420" s="84"/>
      <c r="O420" s="1048"/>
    </row>
    <row r="421" spans="1:15" s="1044" customFormat="1" ht="43.5" hidden="1" customHeight="1">
      <c r="A421" s="4">
        <v>3</v>
      </c>
      <c r="B421" s="4" t="s">
        <v>178</v>
      </c>
      <c r="C421" s="1769"/>
      <c r="D421" s="1769"/>
      <c r="E421" s="1088" t="s">
        <v>115</v>
      </c>
      <c r="F421" s="1089" t="e">
        <f>'[1]D M S'!$M421</f>
        <v>#REF!</v>
      </c>
      <c r="G421" s="1047">
        <f>'[2]D M S'!$M421</f>
        <v>0</v>
      </c>
      <c r="H421" s="1090">
        <f>'[3]D M S'!$M421</f>
        <v>0</v>
      </c>
      <c r="I421" s="1090">
        <f>'[4]D M S'!$M421</f>
        <v>0</v>
      </c>
      <c r="J421" s="1106">
        <f>'[5]D M S'!$M421</f>
        <v>0</v>
      </c>
      <c r="K421" s="1106">
        <f>'[6]D M S'!$M421</f>
        <v>0</v>
      </c>
      <c r="L421" s="1117">
        <f>'[7]D M S'!$M421</f>
        <v>0</v>
      </c>
      <c r="M421" s="1091"/>
      <c r="N421" s="84"/>
      <c r="O421" s="1048"/>
    </row>
    <row r="422" spans="1:15" s="1044" customFormat="1" ht="43.5" hidden="1" customHeight="1">
      <c r="A422" s="4"/>
      <c r="B422" s="4"/>
      <c r="C422" s="1769"/>
      <c r="D422" s="1769"/>
      <c r="E422" s="1088" t="s">
        <v>116</v>
      </c>
      <c r="F422" s="1089">
        <f>'[1]D M S'!$M422</f>
        <v>0</v>
      </c>
      <c r="G422" s="1047">
        <f>'[2]D M S'!$M422</f>
        <v>0</v>
      </c>
      <c r="H422" s="1090">
        <f>'[3]D M S'!$M422</f>
        <v>0</v>
      </c>
      <c r="I422" s="1090">
        <f>'[4]D M S'!$M422</f>
        <v>0</v>
      </c>
      <c r="J422" s="1106">
        <f>'[5]D M S'!$M422</f>
        <v>0</v>
      </c>
      <c r="K422" s="1106">
        <f>'[6]D M S'!$M422</f>
        <v>0</v>
      </c>
      <c r="L422" s="1117">
        <f>'[7]D M S'!$M422</f>
        <v>0</v>
      </c>
      <c r="M422" s="1091">
        <f t="shared" si="24"/>
        <v>0</v>
      </c>
      <c r="N422" s="84"/>
      <c r="O422" s="1048"/>
    </row>
    <row r="423" spans="1:15" s="1044" customFormat="1" ht="43.5" hidden="1" customHeight="1">
      <c r="A423" s="4"/>
      <c r="B423" s="4"/>
      <c r="C423" s="1769"/>
      <c r="D423" s="1769"/>
      <c r="E423" s="1088" t="s">
        <v>117</v>
      </c>
      <c r="F423" s="1089">
        <f>'[1]D M S'!$M423</f>
        <v>0</v>
      </c>
      <c r="G423" s="1047">
        <f>'[2]D M S'!$M423</f>
        <v>0</v>
      </c>
      <c r="H423" s="1090">
        <f>'[3]D M S'!$M423</f>
        <v>0</v>
      </c>
      <c r="I423" s="1090">
        <f>'[4]D M S'!$M423</f>
        <v>0</v>
      </c>
      <c r="J423" s="1106">
        <f>'[5]D M S'!$M423</f>
        <v>0</v>
      </c>
      <c r="K423" s="1106">
        <f>'[6]D M S'!$M423</f>
        <v>0</v>
      </c>
      <c r="L423" s="1117">
        <f>'[7]D M S'!$M423</f>
        <v>0</v>
      </c>
      <c r="M423" s="1091">
        <f t="shared" si="24"/>
        <v>0</v>
      </c>
      <c r="N423" s="84"/>
      <c r="O423" s="1048"/>
    </row>
    <row r="424" spans="1:15" s="1044" customFormat="1" ht="43.5" hidden="1" customHeight="1">
      <c r="A424" s="4">
        <v>4</v>
      </c>
      <c r="B424" s="4" t="s">
        <v>178</v>
      </c>
      <c r="C424" s="1769"/>
      <c r="D424" s="1769"/>
      <c r="E424" s="1088" t="s">
        <v>115</v>
      </c>
      <c r="F424" s="1089">
        <f>'[1]D M S'!$M424</f>
        <v>0</v>
      </c>
      <c r="G424" s="1047">
        <f>'[2]D M S'!$M424</f>
        <v>0</v>
      </c>
      <c r="H424" s="1090">
        <f>'[3]D M S'!$M424</f>
        <v>0</v>
      </c>
      <c r="I424" s="1090">
        <f>'[4]D M S'!$M424</f>
        <v>0</v>
      </c>
      <c r="J424" s="1106">
        <f>'[5]D M S'!$M424</f>
        <v>0</v>
      </c>
      <c r="K424" s="1106">
        <f>'[6]D M S'!$M424</f>
        <v>0</v>
      </c>
      <c r="L424" s="1117">
        <f>'[7]D M S'!$M424</f>
        <v>0</v>
      </c>
      <c r="M424" s="1091">
        <f t="shared" si="24"/>
        <v>0</v>
      </c>
      <c r="N424" s="84"/>
      <c r="O424" s="1048"/>
    </row>
    <row r="425" spans="1:15" s="1044" customFormat="1" ht="43.5" hidden="1" customHeight="1">
      <c r="A425" s="4"/>
      <c r="B425" s="4"/>
      <c r="C425" s="1769"/>
      <c r="D425" s="1769"/>
      <c r="E425" s="1088" t="s">
        <v>116</v>
      </c>
      <c r="F425" s="1089">
        <f>'[1]D M S'!$M425</f>
        <v>0</v>
      </c>
      <c r="G425" s="1047">
        <f>'[2]D M S'!$M425</f>
        <v>0</v>
      </c>
      <c r="H425" s="1090">
        <f>'[3]D M S'!$M425</f>
        <v>0</v>
      </c>
      <c r="I425" s="1090">
        <f>'[4]D M S'!$M425</f>
        <v>0</v>
      </c>
      <c r="J425" s="1106">
        <f>'[5]D M S'!$M425</f>
        <v>0</v>
      </c>
      <c r="K425" s="1106">
        <f>'[6]D M S'!$M425</f>
        <v>0</v>
      </c>
      <c r="L425" s="1117">
        <f>'[7]D M S'!$M425</f>
        <v>0</v>
      </c>
      <c r="M425" s="1091">
        <f t="shared" si="24"/>
        <v>0</v>
      </c>
      <c r="N425" s="84"/>
      <c r="O425" s="1048"/>
    </row>
    <row r="426" spans="1:15" s="1044" customFormat="1" ht="43.5" hidden="1" customHeight="1">
      <c r="A426" s="4"/>
      <c r="B426" s="4"/>
      <c r="C426" s="1769"/>
      <c r="D426" s="1769"/>
      <c r="E426" s="1088" t="s">
        <v>117</v>
      </c>
      <c r="F426" s="1089">
        <f>'[1]D M S'!$M426</f>
        <v>0</v>
      </c>
      <c r="G426" s="1047">
        <f>'[2]D M S'!$M426</f>
        <v>0</v>
      </c>
      <c r="H426" s="1090">
        <f>'[3]D M S'!$M426</f>
        <v>0</v>
      </c>
      <c r="I426" s="1090">
        <f>'[4]D M S'!$M426</f>
        <v>0</v>
      </c>
      <c r="J426" s="1106">
        <f>'[5]D M S'!$M426</f>
        <v>0</v>
      </c>
      <c r="K426" s="1106">
        <f>'[6]D M S'!$M426</f>
        <v>0</v>
      </c>
      <c r="L426" s="1117">
        <f>'[7]D M S'!$M426</f>
        <v>0</v>
      </c>
      <c r="M426" s="1091">
        <f t="shared" si="24"/>
        <v>0</v>
      </c>
      <c r="N426" s="84"/>
      <c r="O426" s="1048"/>
    </row>
    <row r="427" spans="1:15" s="1044" customFormat="1" ht="20.100000000000001" hidden="1" customHeight="1" thickBot="1">
      <c r="A427" s="1051"/>
      <c r="B427" s="1052"/>
      <c r="C427" s="1053"/>
      <c r="D427" s="1053"/>
      <c r="E427" s="1054"/>
      <c r="F427" s="1055"/>
      <c r="G427" s="1055"/>
      <c r="H427" s="1055"/>
      <c r="I427" s="1055"/>
      <c r="J427" s="1055"/>
      <c r="K427" s="1055"/>
      <c r="L427" s="1055"/>
      <c r="M427" s="1055"/>
    </row>
    <row r="428" spans="1:15" s="1044" customFormat="1" ht="20.100000000000001" hidden="1" customHeight="1">
      <c r="A428" s="1056"/>
      <c r="B428" s="1848" t="s">
        <v>652</v>
      </c>
      <c r="C428" s="1849"/>
      <c r="D428" s="1849"/>
      <c r="E428" s="1849"/>
      <c r="F428" s="1849"/>
      <c r="G428" s="1850"/>
      <c r="H428" s="1057"/>
      <c r="I428" s="1057"/>
      <c r="J428" s="1057"/>
      <c r="K428" s="1057"/>
      <c r="L428" s="1057"/>
      <c r="M428" s="1057"/>
    </row>
    <row r="429" spans="1:15" s="1044" customFormat="1" ht="20.100000000000001" hidden="1" customHeight="1" thickBot="1">
      <c r="A429" s="1056"/>
      <c r="B429" s="1851"/>
      <c r="C429" s="1852"/>
      <c r="D429" s="1852"/>
      <c r="E429" s="1852"/>
      <c r="F429" s="1852"/>
      <c r="G429" s="1853"/>
      <c r="H429" s="1057"/>
      <c r="I429" s="1057"/>
      <c r="J429" s="1057"/>
      <c r="K429" s="1057"/>
      <c r="L429" s="1057"/>
      <c r="M429" s="1057"/>
    </row>
    <row r="430" spans="1:15" s="1044" customFormat="1" ht="27" hidden="1" customHeight="1" thickBot="1">
      <c r="A430" s="1056"/>
      <c r="B430" s="1842" t="s">
        <v>655</v>
      </c>
      <c r="C430" s="1860"/>
      <c r="D430" s="1842" t="s">
        <v>656</v>
      </c>
      <c r="E430" s="1860"/>
      <c r="F430" s="1842" t="s">
        <v>181</v>
      </c>
      <c r="G430" s="1843"/>
      <c r="H430" s="1057"/>
      <c r="I430" s="1057"/>
      <c r="J430" s="1057"/>
      <c r="K430" s="1057"/>
      <c r="L430" s="1057"/>
      <c r="M430" s="1057"/>
    </row>
    <row r="431" spans="1:15" s="1044" customFormat="1" ht="26.25" hidden="1" customHeight="1">
      <c r="A431" s="1056"/>
      <c r="B431" s="1858" t="s">
        <v>653</v>
      </c>
      <c r="C431" s="1859"/>
      <c r="D431" s="1861">
        <v>596355</v>
      </c>
      <c r="E431" s="1861"/>
      <c r="F431" s="1854" t="s">
        <v>658</v>
      </c>
      <c r="G431" s="1855"/>
      <c r="H431" s="1057"/>
      <c r="I431" s="1057"/>
      <c r="J431" s="1057"/>
      <c r="K431" s="1057"/>
      <c r="L431" s="1057"/>
      <c r="M431" s="1057"/>
    </row>
    <row r="432" spans="1:15" s="1044" customFormat="1" ht="24" hidden="1" customHeight="1">
      <c r="A432" s="1056"/>
      <c r="B432" s="1856" t="s">
        <v>653</v>
      </c>
      <c r="C432" s="1857"/>
      <c r="D432" s="4">
        <v>594271</v>
      </c>
      <c r="E432" s="4"/>
      <c r="F432" s="1844" t="s">
        <v>658</v>
      </c>
      <c r="G432" s="1845"/>
      <c r="H432" s="1057"/>
      <c r="I432" s="1057"/>
      <c r="J432" s="1057"/>
      <c r="K432" s="1057"/>
      <c r="L432" s="1057"/>
      <c r="M432" s="1057"/>
    </row>
    <row r="433" spans="1:13" s="1044" customFormat="1" ht="22.5" hidden="1" customHeight="1">
      <c r="A433" s="1056"/>
      <c r="B433" s="1856" t="s">
        <v>654</v>
      </c>
      <c r="C433" s="1857"/>
      <c r="D433" s="4">
        <v>5149545</v>
      </c>
      <c r="E433" s="4"/>
      <c r="F433" s="1844"/>
      <c r="G433" s="1845"/>
      <c r="H433" s="1057"/>
      <c r="I433" s="1057"/>
      <c r="J433" s="1057"/>
      <c r="K433" s="1057"/>
      <c r="L433" s="1057"/>
      <c r="M433" s="1057"/>
    </row>
    <row r="434" spans="1:13" s="1044" customFormat="1" ht="22.5" hidden="1" customHeight="1">
      <c r="A434" s="1056"/>
      <c r="B434" s="1856" t="s">
        <v>654</v>
      </c>
      <c r="C434" s="1857"/>
      <c r="D434" s="4">
        <v>5149247</v>
      </c>
      <c r="E434" s="4"/>
      <c r="F434" s="1844"/>
      <c r="G434" s="1845"/>
      <c r="H434" s="1057"/>
      <c r="I434" s="1057"/>
      <c r="J434" s="1057"/>
      <c r="K434" s="1057"/>
      <c r="L434" s="1057"/>
      <c r="M434" s="1057"/>
    </row>
    <row r="435" spans="1:13" s="1044" customFormat="1" ht="23.25" hidden="1" customHeight="1">
      <c r="A435" s="1056"/>
      <c r="B435" s="1856" t="s">
        <v>654</v>
      </c>
      <c r="C435" s="1857"/>
      <c r="D435" s="4" t="s">
        <v>657</v>
      </c>
      <c r="E435" s="4"/>
      <c r="F435" s="1844"/>
      <c r="G435" s="1845"/>
      <c r="H435" s="1057"/>
      <c r="I435" s="1057"/>
      <c r="J435" s="1057"/>
      <c r="K435" s="1057"/>
      <c r="L435" s="1057"/>
      <c r="M435" s="1057"/>
    </row>
    <row r="436" spans="1:13" s="1044" customFormat="1" ht="20.100000000000001" hidden="1" customHeight="1">
      <c r="A436" s="1056"/>
      <c r="B436" s="1856"/>
      <c r="C436" s="1857"/>
      <c r="D436" s="4"/>
      <c r="E436" s="4"/>
      <c r="F436" s="1844"/>
      <c r="G436" s="1845"/>
      <c r="H436" s="1057"/>
      <c r="I436" s="1057"/>
      <c r="J436" s="1057"/>
      <c r="K436" s="1057"/>
      <c r="L436" s="1057"/>
      <c r="M436" s="1057"/>
    </row>
    <row r="437" spans="1:13" s="1044" customFormat="1" ht="20.100000000000001" hidden="1" customHeight="1">
      <c r="A437" s="1056"/>
      <c r="B437" s="1856"/>
      <c r="C437" s="1857"/>
      <c r="D437" s="4"/>
      <c r="E437" s="4"/>
      <c r="F437" s="1844"/>
      <c r="G437" s="1845"/>
      <c r="H437" s="1057"/>
      <c r="I437" s="1057"/>
      <c r="J437" s="1057"/>
      <c r="K437" s="1057"/>
      <c r="L437" s="1057"/>
      <c r="M437" s="1057"/>
    </row>
    <row r="438" spans="1:13" s="1044" customFormat="1" ht="20.100000000000001" hidden="1" customHeight="1">
      <c r="A438" s="1056"/>
      <c r="B438" s="1856"/>
      <c r="C438" s="1857"/>
      <c r="D438" s="4"/>
      <c r="E438" s="4"/>
      <c r="F438" s="1844"/>
      <c r="G438" s="1845"/>
      <c r="H438" s="1057"/>
      <c r="I438" s="1057"/>
      <c r="J438" s="1057"/>
      <c r="K438" s="1057"/>
      <c r="L438" s="1057"/>
      <c r="M438" s="1057"/>
    </row>
    <row r="439" spans="1:13" s="1044" customFormat="1" ht="20.100000000000001" hidden="1" customHeight="1">
      <c r="A439" s="1056"/>
      <c r="B439" s="1856"/>
      <c r="C439" s="1857"/>
      <c r="D439" s="4"/>
      <c r="E439" s="4"/>
      <c r="F439" s="1844"/>
      <c r="G439" s="1845"/>
      <c r="H439" s="1057"/>
      <c r="I439" s="1057"/>
      <c r="J439" s="1057"/>
      <c r="K439" s="1057"/>
      <c r="L439" s="1057"/>
      <c r="M439" s="1057"/>
    </row>
    <row r="440" spans="1:13" s="1044" customFormat="1" ht="20.100000000000001" hidden="1" customHeight="1" thickBot="1">
      <c r="A440" s="1056"/>
      <c r="B440" s="1863"/>
      <c r="C440" s="1864"/>
      <c r="D440" s="1862"/>
      <c r="E440" s="1862"/>
      <c r="F440" s="1846"/>
      <c r="G440" s="1847"/>
      <c r="H440" s="1057"/>
      <c r="I440" s="1057"/>
      <c r="J440" s="1057"/>
      <c r="K440" s="1057"/>
      <c r="L440" s="1057"/>
      <c r="M440" s="1057"/>
    </row>
    <row r="441" spans="1:13" s="1044" customFormat="1" ht="20.100000000000001" hidden="1" customHeight="1">
      <c r="A441" s="1051"/>
      <c r="B441" s="1058"/>
      <c r="C441" s="1059"/>
      <c r="D441" s="1059"/>
      <c r="E441" s="1060"/>
      <c r="F441" s="1061"/>
      <c r="G441" s="1061"/>
      <c r="H441" s="1061"/>
      <c r="I441" s="1062"/>
      <c r="J441" s="1063"/>
      <c r="M441" s="82"/>
    </row>
    <row r="442" spans="1:13" s="1044" customFormat="1" ht="20.100000000000001" hidden="1" customHeight="1">
      <c r="A442" s="1051"/>
      <c r="B442" s="1064"/>
      <c r="C442" s="1065"/>
      <c r="D442" s="1065"/>
      <c r="E442" s="1066"/>
      <c r="F442" s="1063"/>
      <c r="G442" s="1063"/>
      <c r="H442" s="1063"/>
      <c r="I442" s="1062"/>
      <c r="J442" s="1063"/>
      <c r="M442" s="82"/>
    </row>
    <row r="443" spans="1:13" s="1044" customFormat="1" ht="20.100000000000001" hidden="1" customHeight="1">
      <c r="A443" s="1051"/>
      <c r="B443" s="1064"/>
      <c r="C443" s="1065"/>
      <c r="D443" s="1065"/>
      <c r="E443" s="1066"/>
      <c r="F443" s="1063"/>
      <c r="G443" s="1063"/>
      <c r="H443" s="1063"/>
      <c r="I443" s="1062"/>
      <c r="J443" s="1063"/>
      <c r="M443" s="82"/>
    </row>
    <row r="444" spans="1:13" s="1044" customFormat="1" ht="20.100000000000001" hidden="1" customHeight="1">
      <c r="A444" s="1051"/>
      <c r="B444" s="1064"/>
      <c r="C444" s="1065"/>
      <c r="D444" s="1065"/>
      <c r="E444" s="1066"/>
      <c r="F444" s="1063"/>
      <c r="G444" s="1063"/>
      <c r="H444" s="1063"/>
      <c r="I444" s="1062"/>
      <c r="J444" s="1063"/>
      <c r="M444" s="82"/>
    </row>
    <row r="445" spans="1:13" s="1044" customFormat="1" ht="20.100000000000001" customHeight="1">
      <c r="A445" s="1051"/>
      <c r="B445" s="1064"/>
      <c r="C445" s="1065"/>
      <c r="D445" s="1065"/>
      <c r="E445" s="1066"/>
      <c r="F445" s="1063"/>
      <c r="G445" s="1063"/>
      <c r="H445" s="1063"/>
      <c r="I445" s="1062"/>
      <c r="J445" s="1063"/>
      <c r="M445" s="82"/>
    </row>
    <row r="446" spans="1:13" s="1044" customFormat="1" ht="20.100000000000001" customHeight="1">
      <c r="A446" s="1051"/>
      <c r="B446" s="1064"/>
      <c r="C446" s="1065"/>
      <c r="D446" s="1065"/>
      <c r="E446" s="1066"/>
      <c r="F446" s="1063"/>
      <c r="G446" s="1063"/>
      <c r="H446" s="1063"/>
      <c r="I446" s="1062"/>
      <c r="J446" s="1063"/>
      <c r="M446" s="82"/>
    </row>
  </sheetData>
  <mergeCells count="595">
    <mergeCell ref="A159:A161"/>
    <mergeCell ref="B159:B161"/>
    <mergeCell ref="C159:C161"/>
    <mergeCell ref="D159:D161"/>
    <mergeCell ref="A162:A164"/>
    <mergeCell ref="B162:B164"/>
    <mergeCell ref="C162:C164"/>
    <mergeCell ref="D162:D164"/>
    <mergeCell ref="A190:A192"/>
    <mergeCell ref="C190:C192"/>
    <mergeCell ref="D190:D192"/>
    <mergeCell ref="A183:A185"/>
    <mergeCell ref="B183:B185"/>
    <mergeCell ref="C183:C185"/>
    <mergeCell ref="D183:D185"/>
    <mergeCell ref="A186:A188"/>
    <mergeCell ref="B186:B188"/>
    <mergeCell ref="C186:C188"/>
    <mergeCell ref="D186:D188"/>
    <mergeCell ref="A189:E189"/>
    <mergeCell ref="A174:A176"/>
    <mergeCell ref="B174:B176"/>
    <mergeCell ref="C174:C176"/>
    <mergeCell ref="D174:D176"/>
    <mergeCell ref="D438:E438"/>
    <mergeCell ref="D439:E439"/>
    <mergeCell ref="D440:E440"/>
    <mergeCell ref="B436:C436"/>
    <mergeCell ref="B437:C437"/>
    <mergeCell ref="B438:C438"/>
    <mergeCell ref="B439:C439"/>
    <mergeCell ref="B440:C440"/>
    <mergeCell ref="B190:B192"/>
    <mergeCell ref="D434:E434"/>
    <mergeCell ref="D435:E435"/>
    <mergeCell ref="A383:E383"/>
    <mergeCell ref="A384:A386"/>
    <mergeCell ref="B384:B386"/>
    <mergeCell ref="C384:C386"/>
    <mergeCell ref="D384:D386"/>
    <mergeCell ref="A387:A389"/>
    <mergeCell ref="B387:B389"/>
    <mergeCell ref="C387:C389"/>
    <mergeCell ref="A424:A426"/>
    <mergeCell ref="B424:B426"/>
    <mergeCell ref="C424:C426"/>
    <mergeCell ref="D424:D426"/>
    <mergeCell ref="A415:A417"/>
    <mergeCell ref="F430:G430"/>
    <mergeCell ref="F438:G438"/>
    <mergeCell ref="F439:G439"/>
    <mergeCell ref="F440:G440"/>
    <mergeCell ref="B428:G429"/>
    <mergeCell ref="F431:G431"/>
    <mergeCell ref="F432:G432"/>
    <mergeCell ref="F433:G433"/>
    <mergeCell ref="F434:G434"/>
    <mergeCell ref="F435:G435"/>
    <mergeCell ref="F436:G436"/>
    <mergeCell ref="F437:G437"/>
    <mergeCell ref="D436:E436"/>
    <mergeCell ref="D437:E437"/>
    <mergeCell ref="B433:C433"/>
    <mergeCell ref="B432:C432"/>
    <mergeCell ref="B431:C431"/>
    <mergeCell ref="B434:C434"/>
    <mergeCell ref="B435:C435"/>
    <mergeCell ref="B430:C430"/>
    <mergeCell ref="D430:E430"/>
    <mergeCell ref="D431:E431"/>
    <mergeCell ref="D432:E432"/>
    <mergeCell ref="D433:E433"/>
    <mergeCell ref="B415:B417"/>
    <mergeCell ref="C415:C417"/>
    <mergeCell ref="D415:D417"/>
    <mergeCell ref="A418:A420"/>
    <mergeCell ref="B418:B420"/>
    <mergeCell ref="C418:C420"/>
    <mergeCell ref="D418:D420"/>
    <mergeCell ref="A421:A423"/>
    <mergeCell ref="B421:B423"/>
    <mergeCell ref="C421:C423"/>
    <mergeCell ref="D421:D423"/>
    <mergeCell ref="A408:A410"/>
    <mergeCell ref="B408:B410"/>
    <mergeCell ref="C408:C410"/>
    <mergeCell ref="D408:D410"/>
    <mergeCell ref="B411:C411"/>
    <mergeCell ref="D411:E411"/>
    <mergeCell ref="F411:L411"/>
    <mergeCell ref="A412:A414"/>
    <mergeCell ref="B412:B414"/>
    <mergeCell ref="C412:C414"/>
    <mergeCell ref="D412:D414"/>
    <mergeCell ref="A399:A401"/>
    <mergeCell ref="B399:B401"/>
    <mergeCell ref="C399:C401"/>
    <mergeCell ref="D399:D401"/>
    <mergeCell ref="A402:A404"/>
    <mergeCell ref="B402:B404"/>
    <mergeCell ref="C402:C404"/>
    <mergeCell ref="D402:D404"/>
    <mergeCell ref="C405:C407"/>
    <mergeCell ref="A390:A392"/>
    <mergeCell ref="B390:B392"/>
    <mergeCell ref="C390:C392"/>
    <mergeCell ref="D390:D392"/>
    <mergeCell ref="A393:A395"/>
    <mergeCell ref="B393:B395"/>
    <mergeCell ref="C393:C395"/>
    <mergeCell ref="D393:D395"/>
    <mergeCell ref="A396:A398"/>
    <mergeCell ref="B396:B398"/>
    <mergeCell ref="C396:C398"/>
    <mergeCell ref="D396:D398"/>
    <mergeCell ref="D387:D389"/>
    <mergeCell ref="A374:A376"/>
    <mergeCell ref="B374:B376"/>
    <mergeCell ref="C374:C376"/>
    <mergeCell ref="D374:D376"/>
    <mergeCell ref="A377:A379"/>
    <mergeCell ref="B377:B379"/>
    <mergeCell ref="C377:C379"/>
    <mergeCell ref="D377:D379"/>
    <mergeCell ref="A380:A382"/>
    <mergeCell ref="B380:B382"/>
    <mergeCell ref="C380:C382"/>
    <mergeCell ref="D380:D382"/>
    <mergeCell ref="A365:A367"/>
    <mergeCell ref="B365:B367"/>
    <mergeCell ref="C365:C367"/>
    <mergeCell ref="D365:D367"/>
    <mergeCell ref="A368:A370"/>
    <mergeCell ref="B368:B370"/>
    <mergeCell ref="C368:C370"/>
    <mergeCell ref="D368:D370"/>
    <mergeCell ref="A371:A373"/>
    <mergeCell ref="B371:B373"/>
    <mergeCell ref="C371:C373"/>
    <mergeCell ref="D371:D373"/>
    <mergeCell ref="A356:A358"/>
    <mergeCell ref="B356:B358"/>
    <mergeCell ref="C356:C358"/>
    <mergeCell ref="D356:D358"/>
    <mergeCell ref="A359:A361"/>
    <mergeCell ref="B359:B361"/>
    <mergeCell ref="C359:C361"/>
    <mergeCell ref="D359:D361"/>
    <mergeCell ref="A362:A364"/>
    <mergeCell ref="B362:B364"/>
    <mergeCell ref="C362:C364"/>
    <mergeCell ref="D362:D364"/>
    <mergeCell ref="A347:A349"/>
    <mergeCell ref="B347:B349"/>
    <mergeCell ref="C347:C349"/>
    <mergeCell ref="D347:D349"/>
    <mergeCell ref="A350:A352"/>
    <mergeCell ref="B350:B352"/>
    <mergeCell ref="C350:C352"/>
    <mergeCell ref="D350:D352"/>
    <mergeCell ref="A353:A355"/>
    <mergeCell ref="B353:B355"/>
    <mergeCell ref="C353:C355"/>
    <mergeCell ref="D353:D355"/>
    <mergeCell ref="A338:A340"/>
    <mergeCell ref="B338:B340"/>
    <mergeCell ref="C338:C340"/>
    <mergeCell ref="D338:D340"/>
    <mergeCell ref="A341:A343"/>
    <mergeCell ref="B341:B343"/>
    <mergeCell ref="C341:C343"/>
    <mergeCell ref="D341:D343"/>
    <mergeCell ref="A344:A346"/>
    <mergeCell ref="B344:B346"/>
    <mergeCell ref="C344:C346"/>
    <mergeCell ref="D344:D346"/>
    <mergeCell ref="A329:A331"/>
    <mergeCell ref="B329:B331"/>
    <mergeCell ref="C329:C331"/>
    <mergeCell ref="D329:D331"/>
    <mergeCell ref="A332:A334"/>
    <mergeCell ref="B332:B334"/>
    <mergeCell ref="C332:C334"/>
    <mergeCell ref="D332:D334"/>
    <mergeCell ref="A335:A337"/>
    <mergeCell ref="B335:B337"/>
    <mergeCell ref="C335:C337"/>
    <mergeCell ref="D335:D337"/>
    <mergeCell ref="A320:A322"/>
    <mergeCell ref="B320:B322"/>
    <mergeCell ref="C320:C322"/>
    <mergeCell ref="D320:D322"/>
    <mergeCell ref="A323:A325"/>
    <mergeCell ref="B323:B325"/>
    <mergeCell ref="C323:C325"/>
    <mergeCell ref="D323:D325"/>
    <mergeCell ref="A326:A328"/>
    <mergeCell ref="B326:B328"/>
    <mergeCell ref="C326:C328"/>
    <mergeCell ref="D326:D328"/>
    <mergeCell ref="A311:A313"/>
    <mergeCell ref="B311:B313"/>
    <mergeCell ref="C311:C313"/>
    <mergeCell ref="D311:D313"/>
    <mergeCell ref="A314:A316"/>
    <mergeCell ref="B314:B316"/>
    <mergeCell ref="C314:C316"/>
    <mergeCell ref="D314:D316"/>
    <mergeCell ref="A317:A319"/>
    <mergeCell ref="B317:B319"/>
    <mergeCell ref="C317:C319"/>
    <mergeCell ref="D317:D319"/>
    <mergeCell ref="A302:A304"/>
    <mergeCell ref="B302:B304"/>
    <mergeCell ref="C302:C304"/>
    <mergeCell ref="D302:D304"/>
    <mergeCell ref="A305:A307"/>
    <mergeCell ref="B305:B307"/>
    <mergeCell ref="C305:C307"/>
    <mergeCell ref="D305:D307"/>
    <mergeCell ref="A308:A310"/>
    <mergeCell ref="B308:B310"/>
    <mergeCell ref="C308:C310"/>
    <mergeCell ref="D308:D310"/>
    <mergeCell ref="A293:A295"/>
    <mergeCell ref="B293:B295"/>
    <mergeCell ref="C293:C295"/>
    <mergeCell ref="D293:D295"/>
    <mergeCell ref="A296:A298"/>
    <mergeCell ref="B296:B298"/>
    <mergeCell ref="C296:C298"/>
    <mergeCell ref="D296:D298"/>
    <mergeCell ref="A299:A301"/>
    <mergeCell ref="B299:B301"/>
    <mergeCell ref="C299:C301"/>
    <mergeCell ref="D299:D301"/>
    <mergeCell ref="A284:A286"/>
    <mergeCell ref="B284:B286"/>
    <mergeCell ref="C284:C286"/>
    <mergeCell ref="D284:D286"/>
    <mergeCell ref="A287:A289"/>
    <mergeCell ref="B287:B289"/>
    <mergeCell ref="C287:C289"/>
    <mergeCell ref="D287:D289"/>
    <mergeCell ref="A290:A292"/>
    <mergeCell ref="B290:B292"/>
    <mergeCell ref="C290:C292"/>
    <mergeCell ref="D290:D292"/>
    <mergeCell ref="A275:A277"/>
    <mergeCell ref="B275:B277"/>
    <mergeCell ref="C275:C277"/>
    <mergeCell ref="D275:D277"/>
    <mergeCell ref="A278:A280"/>
    <mergeCell ref="B278:B280"/>
    <mergeCell ref="C278:C280"/>
    <mergeCell ref="D278:D280"/>
    <mergeCell ref="A281:A283"/>
    <mergeCell ref="B281:B283"/>
    <mergeCell ref="C281:C283"/>
    <mergeCell ref="D281:D283"/>
    <mergeCell ref="A266:A268"/>
    <mergeCell ref="B266:B268"/>
    <mergeCell ref="C266:C268"/>
    <mergeCell ref="D266:D268"/>
    <mergeCell ref="A269:A271"/>
    <mergeCell ref="B269:B271"/>
    <mergeCell ref="C269:C271"/>
    <mergeCell ref="D269:D271"/>
    <mergeCell ref="A272:A274"/>
    <mergeCell ref="B272:B274"/>
    <mergeCell ref="C272:C274"/>
    <mergeCell ref="D272:D274"/>
    <mergeCell ref="A257:A259"/>
    <mergeCell ref="B257:B259"/>
    <mergeCell ref="C257:C259"/>
    <mergeCell ref="D257:D259"/>
    <mergeCell ref="A260:A262"/>
    <mergeCell ref="B260:B262"/>
    <mergeCell ref="C260:C262"/>
    <mergeCell ref="D260:D262"/>
    <mergeCell ref="A263:A265"/>
    <mergeCell ref="B263:B265"/>
    <mergeCell ref="C263:C265"/>
    <mergeCell ref="A248:A250"/>
    <mergeCell ref="B248:B250"/>
    <mergeCell ref="C248:C250"/>
    <mergeCell ref="D248:D250"/>
    <mergeCell ref="A251:A253"/>
    <mergeCell ref="B251:B253"/>
    <mergeCell ref="C251:C253"/>
    <mergeCell ref="D251:D253"/>
    <mergeCell ref="A254:A256"/>
    <mergeCell ref="B254:B256"/>
    <mergeCell ref="C254:C256"/>
    <mergeCell ref="D254:D256"/>
    <mergeCell ref="A239:A241"/>
    <mergeCell ref="B239:B241"/>
    <mergeCell ref="C239:C241"/>
    <mergeCell ref="D239:D241"/>
    <mergeCell ref="A242:A244"/>
    <mergeCell ref="B242:B244"/>
    <mergeCell ref="C242:C244"/>
    <mergeCell ref="D242:D244"/>
    <mergeCell ref="A245:A247"/>
    <mergeCell ref="B245:B247"/>
    <mergeCell ref="C245:C247"/>
    <mergeCell ref="D245:D247"/>
    <mergeCell ref="A232:A234"/>
    <mergeCell ref="B232:B234"/>
    <mergeCell ref="C232:C234"/>
    <mergeCell ref="D232:D234"/>
    <mergeCell ref="A235:A237"/>
    <mergeCell ref="B235:B237"/>
    <mergeCell ref="C235:C237"/>
    <mergeCell ref="D235:D237"/>
    <mergeCell ref="A238:E238"/>
    <mergeCell ref="A223:A225"/>
    <mergeCell ref="B223:B225"/>
    <mergeCell ref="C223:C225"/>
    <mergeCell ref="D223:D225"/>
    <mergeCell ref="A226:A228"/>
    <mergeCell ref="B226:B228"/>
    <mergeCell ref="C226:C228"/>
    <mergeCell ref="D226:D228"/>
    <mergeCell ref="B229:B231"/>
    <mergeCell ref="C229:C231"/>
    <mergeCell ref="D229:D231"/>
    <mergeCell ref="B214:B216"/>
    <mergeCell ref="C214:C216"/>
    <mergeCell ref="D214:D216"/>
    <mergeCell ref="A217:A219"/>
    <mergeCell ref="B217:B219"/>
    <mergeCell ref="C217:C219"/>
    <mergeCell ref="D217:D219"/>
    <mergeCell ref="A220:A222"/>
    <mergeCell ref="B220:B222"/>
    <mergeCell ref="C220:C222"/>
    <mergeCell ref="D220:D222"/>
    <mergeCell ref="B205:B207"/>
    <mergeCell ref="C202:C204"/>
    <mergeCell ref="D202:D204"/>
    <mergeCell ref="A208:A210"/>
    <mergeCell ref="B208:B210"/>
    <mergeCell ref="C208:C210"/>
    <mergeCell ref="D208:D210"/>
    <mergeCell ref="A211:A213"/>
    <mergeCell ref="B211:B213"/>
    <mergeCell ref="C211:C213"/>
    <mergeCell ref="D211:D213"/>
    <mergeCell ref="C205:C207"/>
    <mergeCell ref="A205:A207"/>
    <mergeCell ref="D205:D207"/>
    <mergeCell ref="A199:A201"/>
    <mergeCell ref="B199:B201"/>
    <mergeCell ref="C199:C201"/>
    <mergeCell ref="D199:D201"/>
    <mergeCell ref="A202:A204"/>
    <mergeCell ref="B202:B204"/>
    <mergeCell ref="A196:A198"/>
    <mergeCell ref="B196:B198"/>
    <mergeCell ref="C196:C198"/>
    <mergeCell ref="D196:D198"/>
    <mergeCell ref="A177:A179"/>
    <mergeCell ref="B177:B179"/>
    <mergeCell ref="C177:C179"/>
    <mergeCell ref="D177:D179"/>
    <mergeCell ref="A180:A182"/>
    <mergeCell ref="B180:B182"/>
    <mergeCell ref="C180:C182"/>
    <mergeCell ref="D180:D182"/>
    <mergeCell ref="A165:A167"/>
    <mergeCell ref="B165:B167"/>
    <mergeCell ref="C165:C167"/>
    <mergeCell ref="D165:D167"/>
    <mergeCell ref="A168:A170"/>
    <mergeCell ref="B168:B170"/>
    <mergeCell ref="C168:C170"/>
    <mergeCell ref="D168:D170"/>
    <mergeCell ref="A171:A173"/>
    <mergeCell ref="B171:B173"/>
    <mergeCell ref="C171:C173"/>
    <mergeCell ref="D171:D173"/>
    <mergeCell ref="A147:A149"/>
    <mergeCell ref="B147:B149"/>
    <mergeCell ref="C147:C149"/>
    <mergeCell ref="D147:D149"/>
    <mergeCell ref="A150:A152"/>
    <mergeCell ref="B150:B152"/>
    <mergeCell ref="C150:C152"/>
    <mergeCell ref="D150:D152"/>
    <mergeCell ref="A153:A155"/>
    <mergeCell ref="B153:B155"/>
    <mergeCell ref="C153:C155"/>
    <mergeCell ref="D153:D155"/>
    <mergeCell ref="A138:A140"/>
    <mergeCell ref="B138:B140"/>
    <mergeCell ref="C138:C140"/>
    <mergeCell ref="D138:D140"/>
    <mergeCell ref="A141:A143"/>
    <mergeCell ref="B141:B143"/>
    <mergeCell ref="C141:C143"/>
    <mergeCell ref="D141:D143"/>
    <mergeCell ref="A144:A146"/>
    <mergeCell ref="B144:B146"/>
    <mergeCell ref="C144:C146"/>
    <mergeCell ref="D144:D146"/>
    <mergeCell ref="A129:A131"/>
    <mergeCell ref="B129:B131"/>
    <mergeCell ref="C129:C131"/>
    <mergeCell ref="D129:D131"/>
    <mergeCell ref="A132:A134"/>
    <mergeCell ref="B132:B134"/>
    <mergeCell ref="C132:C134"/>
    <mergeCell ref="D132:D134"/>
    <mergeCell ref="A135:A137"/>
    <mergeCell ref="B135:B137"/>
    <mergeCell ref="C135:C137"/>
    <mergeCell ref="D135:D137"/>
    <mergeCell ref="A122:A124"/>
    <mergeCell ref="B122:B124"/>
    <mergeCell ref="C122:C124"/>
    <mergeCell ref="D122:D124"/>
    <mergeCell ref="A125:E125"/>
    <mergeCell ref="F125:J125"/>
    <mergeCell ref="L125:M125"/>
    <mergeCell ref="A126:A128"/>
    <mergeCell ref="B126:B128"/>
    <mergeCell ref="C126:C128"/>
    <mergeCell ref="D126:D128"/>
    <mergeCell ref="A113:A115"/>
    <mergeCell ref="B113:B115"/>
    <mergeCell ref="C113:C115"/>
    <mergeCell ref="D113:D115"/>
    <mergeCell ref="A116:A118"/>
    <mergeCell ref="B116:B118"/>
    <mergeCell ref="C116:C118"/>
    <mergeCell ref="D116:D118"/>
    <mergeCell ref="A119:A121"/>
    <mergeCell ref="B119:B121"/>
    <mergeCell ref="C119:C121"/>
    <mergeCell ref="D119:D121"/>
    <mergeCell ref="L106:M106"/>
    <mergeCell ref="A107:A109"/>
    <mergeCell ref="B107:B109"/>
    <mergeCell ref="C107:C109"/>
    <mergeCell ref="D107:D109"/>
    <mergeCell ref="A110:A112"/>
    <mergeCell ref="B110:B112"/>
    <mergeCell ref="C110:C112"/>
    <mergeCell ref="D110:D112"/>
    <mergeCell ref="A100:A102"/>
    <mergeCell ref="B100:B102"/>
    <mergeCell ref="C100:C102"/>
    <mergeCell ref="D100:D102"/>
    <mergeCell ref="A103:A105"/>
    <mergeCell ref="C103:C105"/>
    <mergeCell ref="D103:D105"/>
    <mergeCell ref="A106:E106"/>
    <mergeCell ref="F106:J106"/>
    <mergeCell ref="A91:A93"/>
    <mergeCell ref="B91:B93"/>
    <mergeCell ref="C91:C93"/>
    <mergeCell ref="D91:D93"/>
    <mergeCell ref="A94:A96"/>
    <mergeCell ref="B94:B96"/>
    <mergeCell ref="C94:C96"/>
    <mergeCell ref="D94:D96"/>
    <mergeCell ref="A97:A99"/>
    <mergeCell ref="B97:B99"/>
    <mergeCell ref="C97:C99"/>
    <mergeCell ref="D97:D99"/>
    <mergeCell ref="A84:E84"/>
    <mergeCell ref="F84:J84"/>
    <mergeCell ref="L84:M84"/>
    <mergeCell ref="A85:A87"/>
    <mergeCell ref="B85:B87"/>
    <mergeCell ref="C85:C87"/>
    <mergeCell ref="D85:D87"/>
    <mergeCell ref="A88:A90"/>
    <mergeCell ref="B88:B90"/>
    <mergeCell ref="C88:C90"/>
    <mergeCell ref="D88:D90"/>
    <mergeCell ref="A75:A77"/>
    <mergeCell ref="B75:B77"/>
    <mergeCell ref="C75:C77"/>
    <mergeCell ref="D75:D77"/>
    <mergeCell ref="A78:A80"/>
    <mergeCell ref="B78:B80"/>
    <mergeCell ref="C78:C80"/>
    <mergeCell ref="D78:D80"/>
    <mergeCell ref="A81:A83"/>
    <mergeCell ref="B81:B83"/>
    <mergeCell ref="C81:C83"/>
    <mergeCell ref="D81:D83"/>
    <mergeCell ref="A68:E68"/>
    <mergeCell ref="F68:J68"/>
    <mergeCell ref="L68:M68"/>
    <mergeCell ref="A69:A71"/>
    <mergeCell ref="B69:B71"/>
    <mergeCell ref="C69:C71"/>
    <mergeCell ref="D69:D71"/>
    <mergeCell ref="A72:A74"/>
    <mergeCell ref="B72:B74"/>
    <mergeCell ref="C72:C74"/>
    <mergeCell ref="D72:D74"/>
    <mergeCell ref="A61:E61"/>
    <mergeCell ref="A62:A64"/>
    <mergeCell ref="B62:B64"/>
    <mergeCell ref="C62:C64"/>
    <mergeCell ref="D62:D64"/>
    <mergeCell ref="A65:A67"/>
    <mergeCell ref="B65:B67"/>
    <mergeCell ref="C65:C67"/>
    <mergeCell ref="D65:D67"/>
    <mergeCell ref="D55:D57"/>
    <mergeCell ref="A51:A53"/>
    <mergeCell ref="B51:B53"/>
    <mergeCell ref="C51:C53"/>
    <mergeCell ref="D51:D53"/>
    <mergeCell ref="A58:A60"/>
    <mergeCell ref="B58:B60"/>
    <mergeCell ref="C58:C60"/>
    <mergeCell ref="D58:D60"/>
    <mergeCell ref="A1:M1"/>
    <mergeCell ref="A2:M2"/>
    <mergeCell ref="A3:M3"/>
    <mergeCell ref="A24:A26"/>
    <mergeCell ref="B24:B26"/>
    <mergeCell ref="C24:C26"/>
    <mergeCell ref="D24:D26"/>
    <mergeCell ref="A27:A29"/>
    <mergeCell ref="B27:B29"/>
    <mergeCell ref="C27:C29"/>
    <mergeCell ref="D27:D29"/>
    <mergeCell ref="A6:E6"/>
    <mergeCell ref="A7:A9"/>
    <mergeCell ref="B7:B9"/>
    <mergeCell ref="C7:C9"/>
    <mergeCell ref="D7:D9"/>
    <mergeCell ref="A10:A12"/>
    <mergeCell ref="B10:B12"/>
    <mergeCell ref="C10:C12"/>
    <mergeCell ref="D10:D12"/>
    <mergeCell ref="B16:D16"/>
    <mergeCell ref="A17:E17"/>
    <mergeCell ref="A18:A20"/>
    <mergeCell ref="B18:B20"/>
    <mergeCell ref="A193:A195"/>
    <mergeCell ref="B193:B195"/>
    <mergeCell ref="C193:C195"/>
    <mergeCell ref="D193:D195"/>
    <mergeCell ref="B48:B50"/>
    <mergeCell ref="C18:C20"/>
    <mergeCell ref="D18:D20"/>
    <mergeCell ref="A21:A23"/>
    <mergeCell ref="B21:B23"/>
    <mergeCell ref="C21:C23"/>
    <mergeCell ref="D21:D23"/>
    <mergeCell ref="B30:D30"/>
    <mergeCell ref="A31:E31"/>
    <mergeCell ref="A32:A34"/>
    <mergeCell ref="B32:B34"/>
    <mergeCell ref="C32:C34"/>
    <mergeCell ref="D32:D34"/>
    <mergeCell ref="A35:A37"/>
    <mergeCell ref="B35:B37"/>
    <mergeCell ref="C35:C37"/>
    <mergeCell ref="D35:D37"/>
    <mergeCell ref="A38:A40"/>
    <mergeCell ref="B38:B40"/>
    <mergeCell ref="C38:C40"/>
    <mergeCell ref="A156:A158"/>
    <mergeCell ref="B156:B158"/>
    <mergeCell ref="C156:C158"/>
    <mergeCell ref="D156:D158"/>
    <mergeCell ref="A13:A15"/>
    <mergeCell ref="B13:B15"/>
    <mergeCell ref="C13:C15"/>
    <mergeCell ref="D13:D15"/>
    <mergeCell ref="A48:A50"/>
    <mergeCell ref="C48:C50"/>
    <mergeCell ref="D48:D50"/>
    <mergeCell ref="D38:D40"/>
    <mergeCell ref="A41:E41"/>
    <mergeCell ref="A42:A44"/>
    <mergeCell ref="B42:B44"/>
    <mergeCell ref="C42:C44"/>
    <mergeCell ref="D42:D44"/>
    <mergeCell ref="A45:A47"/>
    <mergeCell ref="C45:C47"/>
    <mergeCell ref="D45:D47"/>
    <mergeCell ref="A54:E54"/>
    <mergeCell ref="A55:A57"/>
    <mergeCell ref="B55:B57"/>
    <mergeCell ref="C55:C57"/>
  </mergeCells>
  <pageMargins left="0.39374999999999999" right="0.23611111111111099" top="0.15763888888888899" bottom="7.8472222222222193E-2" header="0.51180555555555496" footer="0.51180555555555496"/>
  <pageSetup paperSize="9" scale="51" firstPageNumber="0" orientation="portrait" r:id="rId1"/>
  <rowBreaks count="7" manualBreakCount="7">
    <brk id="56" max="16383" man="1"/>
    <brk id="86" max="16383" man="1"/>
    <brk id="137" max="15" man="1"/>
    <brk id="190" max="16383" man="1"/>
    <brk id="270" max="16383" man="1"/>
    <brk id="357" max="16383" man="1"/>
    <brk id="372" max="16383" man="1"/>
  </rowBreaks>
  <colBreaks count="1" manualBreakCount="1">
    <brk id="18" max="773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4"/>
  <sheetViews>
    <sheetView topLeftCell="A31" zoomScalePageLayoutView="60" workbookViewId="0">
      <selection activeCell="E61" sqref="E61"/>
    </sheetView>
  </sheetViews>
  <sheetFormatPr defaultRowHeight="12.75"/>
  <cols>
    <col min="1" max="1" width="11.85546875" style="127"/>
    <col min="2" max="2" width="8.7109375" style="127"/>
    <col min="3" max="3" width="29.5703125" style="127"/>
    <col min="4" max="4" width="14.140625" style="127"/>
    <col min="5" max="5" width="14.140625" style="128"/>
    <col min="6" max="6" width="12.5703125" style="129"/>
    <col min="7" max="7" width="11" style="130"/>
    <col min="8" max="8" width="13.5703125" style="127"/>
    <col min="9" max="9" width="10.5703125" style="130"/>
    <col min="10" max="10" width="13.7109375" style="127"/>
    <col min="11" max="11" width="13.5703125" style="127"/>
    <col min="12" max="12" width="12.140625" style="127"/>
    <col min="13" max="13" width="8.7109375" style="127"/>
    <col min="14" max="14" width="9.5703125" style="127"/>
    <col min="15" max="19" width="8.7109375" style="127"/>
    <col min="20" max="20" width="6.7109375" style="127"/>
    <col min="21" max="21" width="8.7109375" style="127"/>
    <col min="22" max="22" width="12.28515625" style="127"/>
    <col min="23" max="23" width="16.28515625" style="127"/>
    <col min="24" max="24" width="9.28515625" style="127"/>
    <col min="25" max="1025" width="8.7109375" style="127"/>
  </cols>
  <sheetData>
    <row r="1" spans="1:30" s="135" customFormat="1" ht="31.5" customHeight="1">
      <c r="A1" s="1868" t="s">
        <v>615</v>
      </c>
      <c r="B1" s="1868"/>
      <c r="C1" s="1868"/>
      <c r="D1" s="1868"/>
      <c r="E1" s="1868"/>
      <c r="F1" s="1868"/>
      <c r="G1" s="1868"/>
      <c r="H1" s="1868"/>
      <c r="I1" s="1868"/>
      <c r="J1" s="1868"/>
      <c r="K1" s="1868"/>
      <c r="L1" s="1868"/>
      <c r="M1" s="1868"/>
      <c r="N1" s="1868"/>
      <c r="O1" s="1868"/>
      <c r="P1" s="131"/>
      <c r="Q1" s="131"/>
      <c r="R1" s="132"/>
      <c r="S1" s="132"/>
      <c r="T1" s="132"/>
      <c r="U1" s="132"/>
      <c r="V1" s="132"/>
      <c r="W1" s="132"/>
      <c r="X1" s="132"/>
      <c r="Y1" s="132"/>
      <c r="Z1" s="132"/>
      <c r="AA1" s="133"/>
      <c r="AB1" s="133"/>
      <c r="AC1" s="133"/>
      <c r="AD1" s="134"/>
    </row>
    <row r="2" spans="1:30" s="135" customFormat="1" ht="28.5" customHeight="1">
      <c r="A2" s="1868" t="str">
        <f>'Direct cost summary '!A2</f>
        <v>Project: Haro sebu-Lelo-Qaqe</v>
      </c>
      <c r="B2" s="1868"/>
      <c r="C2" s="1868"/>
      <c r="D2" s="1868"/>
      <c r="E2" s="1868"/>
      <c r="F2" s="1868"/>
      <c r="G2" s="1868"/>
      <c r="H2" s="1868"/>
      <c r="I2" s="1868"/>
      <c r="J2" s="1868"/>
      <c r="K2" s="1868"/>
      <c r="L2" s="1868"/>
      <c r="M2" s="1868"/>
      <c r="N2" s="1868"/>
      <c r="O2" s="1868"/>
      <c r="P2" s="136"/>
      <c r="Q2" s="136"/>
      <c r="R2" s="133" t="e">
        <v>#NAME?</v>
      </c>
      <c r="S2" s="137"/>
      <c r="T2" s="137"/>
      <c r="U2" s="137"/>
      <c r="V2" s="137"/>
      <c r="W2" s="137"/>
      <c r="X2" s="137"/>
      <c r="Y2" s="137"/>
      <c r="Z2" s="137"/>
      <c r="AA2" s="138"/>
      <c r="AB2" s="138"/>
      <c r="AC2" s="138"/>
      <c r="AD2" s="134"/>
    </row>
    <row r="3" spans="1:30" s="135" customFormat="1" ht="21.75" customHeight="1">
      <c r="A3" s="1869" t="s">
        <v>225</v>
      </c>
      <c r="B3" s="1869"/>
      <c r="C3" s="1869"/>
      <c r="D3" s="1869"/>
      <c r="E3" s="1869"/>
      <c r="F3" s="1869"/>
      <c r="G3" s="1869"/>
      <c r="H3" s="1869"/>
      <c r="I3" s="1869"/>
      <c r="J3" s="1869"/>
      <c r="K3" s="1869"/>
      <c r="L3" s="1869"/>
      <c r="M3" s="1869"/>
      <c r="N3" s="1869"/>
      <c r="O3" s="1869"/>
      <c r="P3" s="139"/>
      <c r="Q3" s="140"/>
      <c r="R3" s="141" t="e">
        <v>#NAME?</v>
      </c>
      <c r="S3" s="142"/>
      <c r="T3" s="143"/>
      <c r="U3" s="144"/>
      <c r="V3" s="144"/>
      <c r="W3" s="144"/>
      <c r="X3" s="144"/>
      <c r="Y3" s="144"/>
      <c r="Z3" s="144"/>
      <c r="AA3" s="145"/>
      <c r="AB3" s="145"/>
      <c r="AC3" s="145"/>
      <c r="AD3" s="134"/>
    </row>
    <row r="4" spans="1:30" ht="15.75" customHeight="1">
      <c r="A4" s="593"/>
      <c r="B4" s="593"/>
      <c r="C4" s="593"/>
      <c r="D4" s="593"/>
      <c r="E4" s="593"/>
      <c r="F4" s="594"/>
      <c r="G4" s="593"/>
      <c r="H4" s="593"/>
      <c r="I4" s="593"/>
      <c r="J4" s="1874" t="str">
        <f>'Weekly Machinery Ex'!P3</f>
        <v>Week 32  ((23-29)-08-07)</v>
      </c>
      <c r="K4" s="1874"/>
      <c r="L4" s="1874"/>
      <c r="M4" s="1874"/>
      <c r="N4" s="595"/>
      <c r="O4" s="595"/>
    </row>
    <row r="5" spans="1:30">
      <c r="A5" s="135"/>
      <c r="B5" s="135"/>
      <c r="C5" s="146"/>
      <c r="D5" s="135"/>
      <c r="E5" s="147"/>
      <c r="F5" s="148"/>
      <c r="G5" s="149"/>
      <c r="H5" s="150"/>
      <c r="I5" s="149"/>
      <c r="J5" s="150"/>
    </row>
    <row r="6" spans="1:30" ht="15.75">
      <c r="A6" s="151" t="s">
        <v>226</v>
      </c>
      <c r="B6" s="1870" t="s">
        <v>227</v>
      </c>
      <c r="C6" s="1870"/>
      <c r="D6" s="1870" t="s">
        <v>5</v>
      </c>
      <c r="E6" s="1871" t="s">
        <v>228</v>
      </c>
      <c r="F6" s="1872" t="s">
        <v>229</v>
      </c>
      <c r="G6" s="1873" t="s">
        <v>230</v>
      </c>
      <c r="H6" s="1873"/>
      <c r="I6" s="1873" t="s">
        <v>231</v>
      </c>
      <c r="J6" s="1873"/>
      <c r="K6" s="1870" t="s">
        <v>229</v>
      </c>
      <c r="L6" s="1870"/>
    </row>
    <row r="7" spans="1:30" ht="15.75">
      <c r="A7" s="152" t="s">
        <v>232</v>
      </c>
      <c r="B7" s="1870"/>
      <c r="C7" s="1870"/>
      <c r="D7" s="1870"/>
      <c r="E7" s="1871"/>
      <c r="F7" s="1872"/>
      <c r="G7" s="153" t="s">
        <v>233</v>
      </c>
      <c r="H7" s="154" t="s">
        <v>234</v>
      </c>
      <c r="I7" s="153" t="s">
        <v>233</v>
      </c>
      <c r="J7" s="154" t="s">
        <v>234</v>
      </c>
      <c r="K7" s="153" t="s">
        <v>235</v>
      </c>
      <c r="L7" s="155" t="s">
        <v>231</v>
      </c>
    </row>
    <row r="8" spans="1:30" ht="23.25">
      <c r="A8" s="1875" t="s">
        <v>236</v>
      </c>
      <c r="B8" s="1875"/>
      <c r="C8" s="1875"/>
      <c r="D8" s="156"/>
      <c r="E8" s="157"/>
      <c r="F8" s="158"/>
      <c r="G8" s="159"/>
      <c r="H8" s="160"/>
      <c r="I8" s="161"/>
      <c r="J8" s="160"/>
      <c r="K8" s="161"/>
      <c r="L8" s="162"/>
    </row>
    <row r="9" spans="1:30" ht="15.75">
      <c r="A9" s="163">
        <f>'Direct cost summary '!A10</f>
        <v>1200</v>
      </c>
      <c r="B9" s="1876" t="str">
        <f>'Direct cost summary '!B10</f>
        <v>General</v>
      </c>
      <c r="C9" s="1876"/>
      <c r="D9" s="164" t="str">
        <f>'Direct cost summary '!C10</f>
        <v>ls</v>
      </c>
      <c r="E9" s="165">
        <f>'Direct cost summary '!J10</f>
        <v>23000</v>
      </c>
      <c r="F9" s="165">
        <f>'Direct cost summary '!I10</f>
        <v>0</v>
      </c>
      <c r="G9" s="166">
        <f>'Weekly Progress Report'!M9</f>
        <v>1</v>
      </c>
      <c r="H9" s="167">
        <f>'Weekly Progress Report'!N9</f>
        <v>2750</v>
      </c>
      <c r="I9" s="168">
        <f>'Weekly Progress Report'!O9</f>
        <v>0</v>
      </c>
      <c r="J9" s="167">
        <f t="shared" ref="J9:J16" si="0">I9*E9</f>
        <v>0</v>
      </c>
      <c r="K9" s="168">
        <f t="shared" ref="K9:K16" si="1">G9*F9</f>
        <v>0</v>
      </c>
      <c r="L9" s="169">
        <f t="shared" ref="L9:L16" si="2">I9*F9</f>
        <v>0</v>
      </c>
    </row>
    <row r="10" spans="1:30" ht="15.75">
      <c r="A10" s="163">
        <f>'Direct cost summary '!A12</f>
        <v>21.01</v>
      </c>
      <c r="B10" s="1876" t="s">
        <v>237</v>
      </c>
      <c r="C10" s="1876"/>
      <c r="D10" s="170" t="s">
        <v>238</v>
      </c>
      <c r="E10" s="171">
        <f>'Direct cost summary '!J12</f>
        <v>35000</v>
      </c>
      <c r="F10" s="165">
        <f>'Direct cost summary '!I12</f>
        <v>0</v>
      </c>
      <c r="G10" s="166">
        <f>'Weekly Progress Report'!M10</f>
        <v>0</v>
      </c>
      <c r="H10" s="167">
        <f t="shared" ref="H10:H16" si="3">G10*E10</f>
        <v>0</v>
      </c>
      <c r="I10" s="168">
        <f>'Weekly Progress Report'!O10</f>
        <v>0</v>
      </c>
      <c r="J10" s="167">
        <f t="shared" si="0"/>
        <v>0</v>
      </c>
      <c r="K10" s="168">
        <f t="shared" si="1"/>
        <v>0</v>
      </c>
      <c r="L10" s="169">
        <f t="shared" si="2"/>
        <v>0</v>
      </c>
    </row>
    <row r="11" spans="1:30" ht="18.75">
      <c r="A11" s="163" t="str">
        <f>'Direct cost summary '!A17</f>
        <v>42.01a(ii)A</v>
      </c>
      <c r="B11" s="1876" t="str">
        <f>'Direct cost summary '!B17</f>
        <v>Embankment/borrow Placing</v>
      </c>
      <c r="C11" s="1876"/>
      <c r="D11" s="170" t="s">
        <v>239</v>
      </c>
      <c r="E11" s="172">
        <f>'Direct cost summary '!J17</f>
        <v>34.71</v>
      </c>
      <c r="F11" s="165">
        <f>'Direct cost summary '!I17</f>
        <v>22.13676919306182</v>
      </c>
      <c r="G11" s="166">
        <f>'Weekly Progress Report'!M12</f>
        <v>1218.8000000000002</v>
      </c>
      <c r="H11" s="167">
        <f t="shared" si="3"/>
        <v>42304.54800000001</v>
      </c>
      <c r="I11" s="168">
        <f>'Weekly Progress Report'!O12</f>
        <v>1108</v>
      </c>
      <c r="J11" s="167">
        <f t="shared" si="0"/>
        <v>38458.68</v>
      </c>
      <c r="K11" s="168">
        <f t="shared" si="1"/>
        <v>26980.29429250375</v>
      </c>
      <c r="L11" s="169">
        <f t="shared" si="2"/>
        <v>24527.540265912496</v>
      </c>
    </row>
    <row r="12" spans="1:30" ht="18.75">
      <c r="A12" s="163" t="str">
        <f>'Direct cost summary '!A21</f>
        <v>42.03(a)</v>
      </c>
      <c r="B12" s="1876" t="str">
        <f>+'Direct cost summary '!B21</f>
        <v>Extra over itemm 42.01 for common(Normal)excavation to spoil</v>
      </c>
      <c r="C12" s="1876"/>
      <c r="D12" s="170" t="s">
        <v>239</v>
      </c>
      <c r="E12" s="165">
        <f>'Direct cost summary '!J20</f>
        <v>0</v>
      </c>
      <c r="F12" s="165">
        <f>+'Direct cost summary '!I21</f>
        <v>18.926996416289636</v>
      </c>
      <c r="G12" s="166">
        <f>'Weekly Progress Report'!M13</f>
        <v>0</v>
      </c>
      <c r="H12" s="167">
        <f t="shared" si="3"/>
        <v>0</v>
      </c>
      <c r="I12" s="168">
        <f>'Weekly Progress Report'!O13</f>
        <v>0</v>
      </c>
      <c r="J12" s="167">
        <f t="shared" si="0"/>
        <v>0</v>
      </c>
      <c r="K12" s="168">
        <f t="shared" si="1"/>
        <v>0</v>
      </c>
      <c r="L12" s="169">
        <f t="shared" si="2"/>
        <v>0</v>
      </c>
    </row>
    <row r="13" spans="1:30" ht="18.75">
      <c r="A13" s="163" t="str">
        <f>'Direct cost summary '!A18</f>
        <v>42.01a(ii)A</v>
      </c>
      <c r="B13" s="1876" t="str">
        <f>'Direct cost summary '!B18</f>
        <v>Fine Grading by embankment/borrow</v>
      </c>
      <c r="C13" s="1876"/>
      <c r="D13" s="170" t="s">
        <v>239</v>
      </c>
      <c r="E13" s="165">
        <f>'Direct cost summary '!J18</f>
        <v>13.35</v>
      </c>
      <c r="F13" s="165">
        <f>'Direct cost summary '!I18</f>
        <v>7.8488278097101638</v>
      </c>
      <c r="G13" s="166">
        <f>'Weekly Progress Report'!M14</f>
        <v>0</v>
      </c>
      <c r="H13" s="167">
        <f t="shared" si="3"/>
        <v>0</v>
      </c>
      <c r="I13" s="168">
        <f>'Weekly Progress Report'!O14</f>
        <v>0</v>
      </c>
      <c r="J13" s="167">
        <f t="shared" si="0"/>
        <v>0</v>
      </c>
      <c r="K13" s="168">
        <f t="shared" si="1"/>
        <v>0</v>
      </c>
      <c r="L13" s="169">
        <f t="shared" si="2"/>
        <v>0</v>
      </c>
    </row>
    <row r="14" spans="1:30" ht="18.75">
      <c r="A14" s="163" t="str">
        <f>+'Direct cost summary '!A29</f>
        <v>54.01(b)</v>
      </c>
      <c r="B14" s="1876" t="str">
        <f>+'Direct cost summary '!B29</f>
        <v>Capping Placing(G20)</v>
      </c>
      <c r="C14" s="1876"/>
      <c r="D14" s="170" t="s">
        <v>239</v>
      </c>
      <c r="E14" s="165">
        <f>'Direct cost summary '!J29</f>
        <v>46.800000000000004</v>
      </c>
      <c r="F14" s="165">
        <f>+'Direct cost summary '!I29</f>
        <v>19.07237161387631</v>
      </c>
      <c r="G14" s="166">
        <f>'Weekly Progress Report'!M15</f>
        <v>326.70000000000005</v>
      </c>
      <c r="H14" s="173">
        <f t="shared" si="3"/>
        <v>15289.560000000003</v>
      </c>
      <c r="I14" s="168">
        <f>'Weekly Progress Report'!O15</f>
        <v>297</v>
      </c>
      <c r="J14" s="173">
        <f t="shared" si="0"/>
        <v>13899.6</v>
      </c>
      <c r="K14" s="174">
        <f t="shared" si="1"/>
        <v>6230.9438062533918</v>
      </c>
      <c r="L14" s="175">
        <f t="shared" si="2"/>
        <v>5664.4943693212645</v>
      </c>
    </row>
    <row r="15" spans="1:30" ht="18.75">
      <c r="A15" s="163" t="str">
        <f>+'Direct cost summary '!A30</f>
        <v>54.01(b)</v>
      </c>
      <c r="B15" s="1876" t="str">
        <f>+'Direct cost summary '!B30</f>
        <v>Fine Grading-Capping(G20)</v>
      </c>
      <c r="C15" s="1876"/>
      <c r="D15" s="170" t="s">
        <v>239</v>
      </c>
      <c r="E15" s="165">
        <f>'Direct cost summary '!J30</f>
        <v>5.8500000000000005</v>
      </c>
      <c r="F15" s="165">
        <f>+'Direct cost summary '!I30</f>
        <v>2.9396611430434949</v>
      </c>
      <c r="G15" s="166">
        <f>'Weekly Progress Report'!M16</f>
        <v>0</v>
      </c>
      <c r="H15" s="173">
        <f t="shared" si="3"/>
        <v>0</v>
      </c>
      <c r="I15" s="168">
        <f>'Weekly Progress Report'!O16</f>
        <v>0</v>
      </c>
      <c r="J15" s="173">
        <f t="shared" si="0"/>
        <v>0</v>
      </c>
      <c r="K15" s="174">
        <f t="shared" si="1"/>
        <v>0</v>
      </c>
      <c r="L15" s="175">
        <f t="shared" si="2"/>
        <v>0</v>
      </c>
    </row>
    <row r="16" spans="1:30" ht="18.75">
      <c r="A16" s="163" t="str">
        <f>+'Direct cost summary '!A24</f>
        <v>42.03(b)</v>
      </c>
      <c r="B16" s="1876" t="str">
        <f>+'Direct cost summary '!B24</f>
        <v>Rock excavation to spoil</v>
      </c>
      <c r="C16" s="1876"/>
      <c r="D16" s="170" t="s">
        <v>239</v>
      </c>
      <c r="E16" s="171">
        <f>+'Direct cost summary '!J24</f>
        <v>119</v>
      </c>
      <c r="F16" s="165">
        <f>+'Direct cost summary '!I24</f>
        <v>25.57296438267619</v>
      </c>
      <c r="G16" s="166">
        <f>'Weekly Progress Report'!M17</f>
        <v>459.99999999999994</v>
      </c>
      <c r="H16" s="167">
        <f t="shared" si="3"/>
        <v>54739.999999999993</v>
      </c>
      <c r="I16" s="168">
        <f>'Weekly Progress Report'!O17</f>
        <v>400</v>
      </c>
      <c r="J16" s="167">
        <f t="shared" si="0"/>
        <v>47600</v>
      </c>
      <c r="K16" s="168">
        <f t="shared" si="1"/>
        <v>11763.563616031046</v>
      </c>
      <c r="L16" s="169">
        <f t="shared" si="2"/>
        <v>10229.185753070476</v>
      </c>
    </row>
    <row r="17" spans="1:12" ht="17.25" customHeight="1">
      <c r="A17" s="1877" t="s">
        <v>193</v>
      </c>
      <c r="B17" s="1877"/>
      <c r="C17" s="1877"/>
      <c r="D17" s="176"/>
      <c r="E17" s="176"/>
      <c r="F17" s="177"/>
      <c r="G17" s="166"/>
      <c r="H17" s="178">
        <f>SUM(H9:H16)</f>
        <v>115084.10800000001</v>
      </c>
      <c r="I17" s="168">
        <f>'Weekly Progress Report'!O23</f>
        <v>0</v>
      </c>
      <c r="J17" s="178">
        <f>SUM(J9:J16)</f>
        <v>99958.28</v>
      </c>
      <c r="K17" s="179">
        <f>SUM(K9:K16)</f>
        <v>44974.801714788184</v>
      </c>
      <c r="L17" s="178">
        <f>SUM(L9:L16)</f>
        <v>40421.220388304238</v>
      </c>
    </row>
    <row r="18" spans="1:12" ht="18.75" customHeight="1">
      <c r="A18" s="1878" t="s">
        <v>240</v>
      </c>
      <c r="B18" s="1878"/>
      <c r="C18" s="1878"/>
      <c r="D18" s="180"/>
      <c r="E18" s="176"/>
      <c r="F18" s="177"/>
      <c r="G18" s="166"/>
      <c r="H18" s="167">
        <f>G18*E18</f>
        <v>0</v>
      </c>
      <c r="I18" s="168">
        <f>'Weekly Progress Report'!O24</f>
        <v>0</v>
      </c>
      <c r="J18" s="167">
        <f>I18*E18</f>
        <v>0</v>
      </c>
      <c r="K18" s="168"/>
      <c r="L18" s="169">
        <f>I18*F18</f>
        <v>0</v>
      </c>
    </row>
    <row r="19" spans="1:12" ht="18.75">
      <c r="A19" s="163" t="str">
        <f>+'Direct cost summary '!A40</f>
        <v>54.01(a)</v>
      </c>
      <c r="B19" s="1876" t="str">
        <f>+'Direct cost summary '!B40</f>
        <v>Subbase Placing</v>
      </c>
      <c r="C19" s="1876"/>
      <c r="D19" s="170" t="s">
        <v>239</v>
      </c>
      <c r="E19" s="165">
        <f>+'Direct cost summary '!J40</f>
        <v>84</v>
      </c>
      <c r="F19" s="165">
        <f>+'Direct cost summary '!I40</f>
        <v>38.537341333333373</v>
      </c>
      <c r="G19" s="166">
        <f>'Weekly Progress Report'!M25</f>
        <v>0</v>
      </c>
      <c r="H19" s="167">
        <f>G19*E19</f>
        <v>0</v>
      </c>
      <c r="I19" s="168">
        <f>'Weekly Progress Report'!O25</f>
        <v>0</v>
      </c>
      <c r="J19" s="167">
        <f>I19*E19</f>
        <v>0</v>
      </c>
      <c r="K19" s="168">
        <f>G19*F19</f>
        <v>0</v>
      </c>
      <c r="L19" s="169">
        <f>I19*F19</f>
        <v>0</v>
      </c>
    </row>
    <row r="20" spans="1:12" ht="17.25" customHeight="1">
      <c r="A20" s="1877" t="s">
        <v>193</v>
      </c>
      <c r="B20" s="1877"/>
      <c r="C20" s="1877"/>
      <c r="D20" s="176"/>
      <c r="E20" s="176"/>
      <c r="F20" s="177"/>
      <c r="G20" s="166"/>
      <c r="H20" s="167">
        <f>H19</f>
        <v>0</v>
      </c>
      <c r="I20" s="168">
        <f>'Weekly Progress Report'!O26</f>
        <v>0</v>
      </c>
      <c r="J20" s="167">
        <f>J19</f>
        <v>0</v>
      </c>
      <c r="K20" s="168">
        <f>K19</f>
        <v>0</v>
      </c>
      <c r="L20" s="169">
        <f>L19</f>
        <v>0</v>
      </c>
    </row>
    <row r="21" spans="1:12" ht="18" customHeight="1">
      <c r="A21" s="1879" t="s">
        <v>241</v>
      </c>
      <c r="B21" s="1879"/>
      <c r="C21" s="1879"/>
      <c r="D21" s="180"/>
      <c r="E21" s="176"/>
      <c r="F21" s="177"/>
      <c r="G21" s="166"/>
      <c r="H21" s="167"/>
      <c r="I21" s="168"/>
      <c r="J21" s="167"/>
      <c r="K21" s="168">
        <f t="shared" ref="K21:K31" si="4">G21*F21</f>
        <v>0</v>
      </c>
      <c r="L21" s="169"/>
    </row>
    <row r="22" spans="1:12" ht="18.75">
      <c r="A22" s="163" t="str">
        <f>+'Direct cost summary '!A43</f>
        <v>32.01(a)</v>
      </c>
      <c r="B22" s="1876" t="str">
        <f>+'Direct cost summary '!B43</f>
        <v>Excavation of open drains</v>
      </c>
      <c r="C22" s="1876"/>
      <c r="D22" s="170" t="s">
        <v>239</v>
      </c>
      <c r="E22" s="171">
        <f>+'Direct cost summary '!J43</f>
        <v>75</v>
      </c>
      <c r="F22" s="165">
        <f>+'Direct cost summary '!I43</f>
        <v>14.71114663461538</v>
      </c>
      <c r="G22" s="166">
        <f>'Weekly Progress Report'!M27</f>
        <v>0</v>
      </c>
      <c r="H22" s="167">
        <f t="shared" ref="H22:H31" si="5">G22*E22</f>
        <v>0</v>
      </c>
      <c r="I22" s="168">
        <f>'Weekly Progress Report'!O27</f>
        <v>0</v>
      </c>
      <c r="J22" s="167">
        <f t="shared" ref="J22:J31" si="6">I22*E22</f>
        <v>0</v>
      </c>
      <c r="K22" s="168">
        <f t="shared" si="4"/>
        <v>0</v>
      </c>
      <c r="L22" s="169">
        <f t="shared" ref="L22:L31" si="7">I22*F22</f>
        <v>0</v>
      </c>
    </row>
    <row r="23" spans="1:12" ht="18.75">
      <c r="A23" s="163" t="str">
        <f>+'Direct cost summary '!A47</f>
        <v>32.01(b)</v>
      </c>
      <c r="B23" s="1876" t="str">
        <f>+'Direct cost summary '!B47</f>
        <v>Excavation of hard material</v>
      </c>
      <c r="C23" s="1876"/>
      <c r="D23" s="170" t="s">
        <v>239</v>
      </c>
      <c r="E23" s="171">
        <f>+'Direct cost summary '!J47</f>
        <v>115</v>
      </c>
      <c r="F23" s="165">
        <f>+'Direct cost summary '!I47</f>
        <v>14.71114663461538</v>
      </c>
      <c r="G23" s="166">
        <f>'Weekly Progress Report'!M28</f>
        <v>0</v>
      </c>
      <c r="H23" s="167">
        <f t="shared" si="5"/>
        <v>0</v>
      </c>
      <c r="I23" s="168">
        <f>'Weekly Progress Report'!O28</f>
        <v>0</v>
      </c>
      <c r="J23" s="167">
        <f t="shared" si="6"/>
        <v>0</v>
      </c>
      <c r="K23" s="168">
        <f t="shared" si="4"/>
        <v>0</v>
      </c>
      <c r="L23" s="169">
        <f t="shared" si="7"/>
        <v>0</v>
      </c>
    </row>
    <row r="24" spans="1:12" ht="18.75">
      <c r="A24" s="163" t="str">
        <f>+'Direct cost summary '!A49</f>
        <v>32.02(a)</v>
      </c>
      <c r="B24" s="1876" t="str">
        <f>+'Direct cost summary '!B49</f>
        <v>Backfilling from excavated material</v>
      </c>
      <c r="C24" s="1876"/>
      <c r="D24" s="170" t="s">
        <v>239</v>
      </c>
      <c r="E24" s="171">
        <f>+'Direct cost summary '!J49</f>
        <v>100</v>
      </c>
      <c r="F24" s="165">
        <f>+'Direct cost summary '!I49</f>
        <v>24.339666357738651</v>
      </c>
      <c r="G24" s="166">
        <f>'Weekly Progress Report'!M30</f>
        <v>0</v>
      </c>
      <c r="H24" s="167">
        <f t="shared" si="5"/>
        <v>0</v>
      </c>
      <c r="I24" s="168">
        <f>'Weekly Progress Report'!O30</f>
        <v>0</v>
      </c>
      <c r="J24" s="167">
        <f t="shared" si="6"/>
        <v>0</v>
      </c>
      <c r="K24" s="168">
        <f t="shared" si="4"/>
        <v>0</v>
      </c>
      <c r="L24" s="169">
        <f t="shared" si="7"/>
        <v>0</v>
      </c>
    </row>
    <row r="25" spans="1:12" ht="18.75">
      <c r="A25" s="163" t="str">
        <f>+'Direct cost summary '!A53</f>
        <v>32.02(b)</v>
      </c>
      <c r="B25" s="1876" t="str">
        <f>+'Direct cost summary '!B53</f>
        <v>Backfilling(Selected)Minor</v>
      </c>
      <c r="C25" s="1876"/>
      <c r="D25" s="170" t="s">
        <v>239</v>
      </c>
      <c r="E25" s="171">
        <f>+'Direct cost summary '!J53</f>
        <v>47.5</v>
      </c>
      <c r="F25" s="165">
        <f>+'Direct cost summary '!I53</f>
        <v>24.339666357738651</v>
      </c>
      <c r="G25" s="166">
        <f>'Weekly Progress Report'!M31</f>
        <v>0</v>
      </c>
      <c r="H25" s="167">
        <f t="shared" si="5"/>
        <v>0</v>
      </c>
      <c r="I25" s="168">
        <f>'Weekly Progress Report'!O31</f>
        <v>0</v>
      </c>
      <c r="J25" s="167">
        <f t="shared" si="6"/>
        <v>0</v>
      </c>
      <c r="K25" s="168">
        <f t="shared" si="4"/>
        <v>0</v>
      </c>
      <c r="L25" s="169">
        <f t="shared" si="7"/>
        <v>0</v>
      </c>
    </row>
    <row r="26" spans="1:12" ht="15.75">
      <c r="A26" s="163" t="str">
        <f>+'Direct cost summary '!A58</f>
        <v>32.03(a)</v>
      </c>
      <c r="B26" s="1876" t="str">
        <f>+'Direct cost summary '!B58</f>
        <v>R.C. pipe(dia.36")</v>
      </c>
      <c r="C26" s="1876"/>
      <c r="D26" s="170" t="s">
        <v>242</v>
      </c>
      <c r="E26" s="171">
        <f>+'Direct cost summary '!J61</f>
        <v>135</v>
      </c>
      <c r="F26" s="165">
        <f>+'Direct cost summary '!I61</f>
        <v>31.408264435916301</v>
      </c>
      <c r="G26" s="166">
        <f>'Weekly Progress Report'!M32</f>
        <v>42.35</v>
      </c>
      <c r="H26" s="167">
        <f t="shared" si="5"/>
        <v>5717.25</v>
      </c>
      <c r="I26" s="168">
        <f>'Weekly Progress Report'!O32</f>
        <v>38.5</v>
      </c>
      <c r="J26" s="167">
        <f t="shared" si="6"/>
        <v>5197.5</v>
      </c>
      <c r="K26" s="168">
        <f t="shared" si="4"/>
        <v>1330.1399988610553</v>
      </c>
      <c r="L26" s="169">
        <f t="shared" si="7"/>
        <v>1209.2181807827776</v>
      </c>
    </row>
    <row r="27" spans="1:12" ht="15.75">
      <c r="A27" s="181" t="str">
        <f>+'Direct cost summary '!A69</f>
        <v>32.03(b)</v>
      </c>
      <c r="B27" s="1876" t="str">
        <f>+'Direct cost summary '!B66</f>
        <v>R.C. pipe(dia.48")</v>
      </c>
      <c r="C27" s="1876"/>
      <c r="D27" s="182" t="s">
        <v>242</v>
      </c>
      <c r="E27" s="183">
        <f>+'Direct cost summary '!J69</f>
        <v>240</v>
      </c>
      <c r="F27" s="184">
        <f>+'Direct cost summary '!I69</f>
        <v>39.260330544895297</v>
      </c>
      <c r="G27" s="166">
        <f>'Weekly Progress Report'!M34</f>
        <v>0</v>
      </c>
      <c r="H27" s="167">
        <f t="shared" si="5"/>
        <v>0</v>
      </c>
      <c r="I27" s="168">
        <f>'Weekly Progress Report'!O34</f>
        <v>0</v>
      </c>
      <c r="J27" s="167">
        <f t="shared" si="6"/>
        <v>0</v>
      </c>
      <c r="K27" s="168">
        <f t="shared" si="4"/>
        <v>0</v>
      </c>
      <c r="L27" s="169">
        <f t="shared" si="7"/>
        <v>0</v>
      </c>
    </row>
    <row r="28" spans="1:12" ht="18.75">
      <c r="A28" s="181" t="str">
        <f>+'Direct cost summary '!A80</f>
        <v>32.07(b)(i)</v>
      </c>
      <c r="B28" s="1876" t="str">
        <f>+'Direct cost summary '!B80</f>
        <v>Class A Concrete ( Minor )</v>
      </c>
      <c r="C28" s="1876"/>
      <c r="D28" s="170" t="s">
        <v>239</v>
      </c>
      <c r="E28" s="185">
        <f>+'Direct cost summary '!J80</f>
        <v>2524.2843167146807</v>
      </c>
      <c r="F28" s="186">
        <f>+'Direct cost summary '!I80</f>
        <v>978.27760815143199</v>
      </c>
      <c r="G28" s="166">
        <f>'Weekly Progress Report'!M35</f>
        <v>0</v>
      </c>
      <c r="H28" s="167">
        <f t="shared" si="5"/>
        <v>0</v>
      </c>
      <c r="I28" s="168">
        <f>'Weekly Progress Report'!O35</f>
        <v>0</v>
      </c>
      <c r="J28" s="167">
        <f t="shared" si="6"/>
        <v>0</v>
      </c>
      <c r="K28" s="168">
        <f t="shared" si="4"/>
        <v>0</v>
      </c>
      <c r="L28" s="169">
        <f t="shared" si="7"/>
        <v>0</v>
      </c>
    </row>
    <row r="29" spans="1:12" ht="15.75">
      <c r="A29" s="163" t="str">
        <f>+'Direct cost summary '!A93</f>
        <v>32.10(b)</v>
      </c>
      <c r="B29" s="1876" t="str">
        <f>+'Direct cost summary '!B93</f>
        <v>Rebar bending &amp; Placing</v>
      </c>
      <c r="C29" s="1876"/>
      <c r="D29" s="170" t="str">
        <f>+'Direct cost summary '!C93</f>
        <v>Kg</v>
      </c>
      <c r="E29" s="165">
        <f>+'Direct cost summary '!J93</f>
        <v>49</v>
      </c>
      <c r="F29" s="165">
        <f>+'Direct cost summary '!I93</f>
        <v>14.378488581730769</v>
      </c>
      <c r="G29" s="166">
        <f>'Weekly Progress Report'!M36</f>
        <v>0</v>
      </c>
      <c r="H29" s="167">
        <f t="shared" si="5"/>
        <v>0</v>
      </c>
      <c r="I29" s="168">
        <f>'Weekly Progress Report'!O36</f>
        <v>0</v>
      </c>
      <c r="J29" s="167">
        <f t="shared" si="6"/>
        <v>0</v>
      </c>
      <c r="K29" s="168">
        <f t="shared" si="4"/>
        <v>0</v>
      </c>
      <c r="L29" s="169">
        <f t="shared" si="7"/>
        <v>0</v>
      </c>
    </row>
    <row r="30" spans="1:12" ht="18.75">
      <c r="A30" s="163" t="str">
        <f>+'Direct cost summary '!A100</f>
        <v>34.03(b)</v>
      </c>
      <c r="B30" s="1876" t="str">
        <f>+'Direct cost summary '!B100</f>
        <v>Masonory construction</v>
      </c>
      <c r="C30" s="1876"/>
      <c r="D30" s="170" t="s">
        <v>239</v>
      </c>
      <c r="E30" s="165">
        <f>+'Direct cost summary '!J100</f>
        <v>967.65840394274528</v>
      </c>
      <c r="F30" s="165">
        <f>+'Direct cost summary '!I100</f>
        <v>263.52654471916998</v>
      </c>
      <c r="G30" s="166">
        <f>'Weekly Progress Report'!M37</f>
        <v>0</v>
      </c>
      <c r="H30" s="167">
        <f t="shared" si="5"/>
        <v>0</v>
      </c>
      <c r="I30" s="168">
        <f>'Weekly Progress Report'!O37</f>
        <v>0</v>
      </c>
      <c r="J30" s="167">
        <f t="shared" si="6"/>
        <v>0</v>
      </c>
      <c r="K30" s="168">
        <f t="shared" si="4"/>
        <v>0</v>
      </c>
      <c r="L30" s="169">
        <f t="shared" si="7"/>
        <v>0</v>
      </c>
    </row>
    <row r="31" spans="1:12" ht="18.75">
      <c r="A31" s="163" t="str">
        <f>+'Direct cost summary '!A101</f>
        <v>34.01(b)i</v>
      </c>
      <c r="B31" s="1876" t="str">
        <f>+'Direct cost summary '!B107</f>
        <v>Paved construction</v>
      </c>
      <c r="C31" s="1876"/>
      <c r="D31" s="170" t="s">
        <v>243</v>
      </c>
      <c r="E31" s="165">
        <f>+'Direct cost summary '!J107</f>
        <v>89.860279410172211</v>
      </c>
      <c r="F31" s="165">
        <f>+'Direct cost summary '!I107</f>
        <v>96.931181876733291</v>
      </c>
      <c r="G31" s="166">
        <f>'Weekly Progress Report'!M38</f>
        <v>74.099999999999994</v>
      </c>
      <c r="H31" s="167">
        <f t="shared" si="5"/>
        <v>6658.6467042937602</v>
      </c>
      <c r="I31" s="168">
        <f>'Weekly Progress Report'!O38</f>
        <v>45.51</v>
      </c>
      <c r="J31" s="167">
        <f t="shared" si="6"/>
        <v>4089.5413159569371</v>
      </c>
      <c r="K31" s="168">
        <f t="shared" si="4"/>
        <v>7182.6005770659367</v>
      </c>
      <c r="L31" s="169">
        <f t="shared" si="7"/>
        <v>4411.3380872101316</v>
      </c>
    </row>
    <row r="32" spans="1:12" ht="15.75" customHeight="1">
      <c r="A32" s="1877" t="s">
        <v>193</v>
      </c>
      <c r="B32" s="1877"/>
      <c r="C32" s="1877"/>
      <c r="D32" s="176"/>
      <c r="E32" s="176"/>
      <c r="F32" s="177"/>
      <c r="G32" s="166"/>
      <c r="H32" s="178">
        <f>SUM(H23:H31)</f>
        <v>12375.89670429376</v>
      </c>
      <c r="I32" s="168"/>
      <c r="J32" s="178">
        <f>SUM(J23:J31)</f>
        <v>9287.0413159569362</v>
      </c>
      <c r="K32" s="179">
        <f>SUM(K22:K31)</f>
        <v>8512.7405759269914</v>
      </c>
      <c r="L32" s="178">
        <f>SUM(L22:L31)</f>
        <v>5620.5562679929089</v>
      </c>
    </row>
    <row r="33" spans="1:12" ht="18.75" customHeight="1">
      <c r="A33" s="1880" t="s">
        <v>244</v>
      </c>
      <c r="B33" s="1880"/>
      <c r="C33" s="1880"/>
      <c r="D33" s="176"/>
      <c r="E33" s="176"/>
      <c r="F33" s="177"/>
      <c r="G33" s="166"/>
      <c r="H33" s="167"/>
      <c r="I33" s="168"/>
      <c r="J33" s="167"/>
      <c r="K33" s="168">
        <f t="shared" ref="K33:K41" si="8">G33*F33</f>
        <v>0</v>
      </c>
      <c r="L33" s="169"/>
    </row>
    <row r="34" spans="1:12" ht="18.75">
      <c r="A34" s="163" t="str">
        <f>+'Direct cost summary '!A117</f>
        <v>81.02(a)iii</v>
      </c>
      <c r="B34" s="1876" t="str">
        <f>+'Direct cost summary '!B117</f>
        <v>Excavation of soft material irrespective of depth</v>
      </c>
      <c r="C34" s="1876"/>
      <c r="D34" s="170" t="s">
        <v>239</v>
      </c>
      <c r="E34" s="187">
        <f>+'Direct cost summary '!J117</f>
        <v>135</v>
      </c>
      <c r="F34" s="188">
        <f>+'Direct cost summary '!I117</f>
        <v>14.71114663461538</v>
      </c>
      <c r="G34" s="166">
        <f>'Weekly Progress Report'!M41</f>
        <v>0</v>
      </c>
      <c r="H34" s="167">
        <f t="shared" ref="H34:H41" si="9">G34*E34</f>
        <v>0</v>
      </c>
      <c r="I34" s="168">
        <f>'Weekly Progress Report'!O41</f>
        <v>0</v>
      </c>
      <c r="J34" s="167">
        <f t="shared" ref="J34:J41" si="10">I34*E34</f>
        <v>0</v>
      </c>
      <c r="K34" s="168">
        <f t="shared" si="8"/>
        <v>0</v>
      </c>
      <c r="L34" s="169">
        <f t="shared" ref="L34:L41" si="11">I34*F34</f>
        <v>0</v>
      </c>
    </row>
    <row r="35" spans="1:12" ht="18.75">
      <c r="A35" s="163" t="str">
        <f>+'Direct cost summary '!A123</f>
        <v>81.05(a)</v>
      </c>
      <c r="B35" s="1876" t="str">
        <f>+'Direct cost summary '!B123</f>
        <v>Backfilling from excavated material</v>
      </c>
      <c r="C35" s="1876"/>
      <c r="D35" s="170" t="s">
        <v>239</v>
      </c>
      <c r="E35" s="187">
        <f>+'Direct cost summary '!J123</f>
        <v>120</v>
      </c>
      <c r="F35" s="189">
        <f>+'Direct cost summary '!I123</f>
        <v>24.339666357738651</v>
      </c>
      <c r="G35" s="166">
        <f>'Weekly Progress Report'!M42</f>
        <v>0</v>
      </c>
      <c r="H35" s="167">
        <f t="shared" si="9"/>
        <v>0</v>
      </c>
      <c r="I35" s="168">
        <f>'Weekly Progress Report'!O42</f>
        <v>0</v>
      </c>
      <c r="J35" s="167">
        <f t="shared" si="10"/>
        <v>0</v>
      </c>
      <c r="K35" s="168">
        <f t="shared" si="8"/>
        <v>0</v>
      </c>
      <c r="L35" s="169">
        <f t="shared" si="11"/>
        <v>0</v>
      </c>
    </row>
    <row r="36" spans="1:12" ht="18.75">
      <c r="A36" s="190" t="str">
        <f>+'Direct cost summary '!A127</f>
        <v>87.16(b)</v>
      </c>
      <c r="B36" s="1876" t="str">
        <f>+'Direct cost summary '!B127</f>
        <v>Handlaid filling</v>
      </c>
      <c r="C36" s="1876"/>
      <c r="D36" s="170" t="s">
        <v>239</v>
      </c>
      <c r="E36" s="191">
        <f>+'Direct cost summary '!J127</f>
        <v>114</v>
      </c>
      <c r="F36" s="192">
        <f>+'Direct cost summary '!I127</f>
        <v>24.339666357738651</v>
      </c>
      <c r="G36" s="166">
        <f>'Weekly Progress Report'!M45</f>
        <v>0</v>
      </c>
      <c r="H36" s="167">
        <f t="shared" si="9"/>
        <v>0</v>
      </c>
      <c r="I36" s="168">
        <f>'Weekly Progress Report'!O45</f>
        <v>0</v>
      </c>
      <c r="J36" s="167">
        <f t="shared" si="10"/>
        <v>0</v>
      </c>
      <c r="K36" s="168">
        <f t="shared" si="8"/>
        <v>0</v>
      </c>
      <c r="L36" s="169">
        <f t="shared" si="11"/>
        <v>0</v>
      </c>
    </row>
    <row r="37" spans="1:12" ht="18.75">
      <c r="A37" s="181" t="str">
        <f>+'Direct cost summary '!A131</f>
        <v>87.16(a)</v>
      </c>
      <c r="B37" s="1876" t="str">
        <f>+'Direct cost summary '!B131</f>
        <v>Granular material filling</v>
      </c>
      <c r="C37" s="1876"/>
      <c r="D37" s="170" t="s">
        <v>239</v>
      </c>
      <c r="E37" s="193">
        <f>+'Direct cost summary '!J131</f>
        <v>106.4</v>
      </c>
      <c r="F37" s="193">
        <f>+'Direct cost summary '!I131</f>
        <v>56.188065872959299</v>
      </c>
      <c r="G37" s="166">
        <f>'Weekly Progress Report'!M46</f>
        <v>0</v>
      </c>
      <c r="H37" s="167">
        <f t="shared" si="9"/>
        <v>0</v>
      </c>
      <c r="I37" s="168">
        <f>'Weekly Progress Report'!O46</f>
        <v>0</v>
      </c>
      <c r="J37" s="167">
        <f t="shared" si="10"/>
        <v>0</v>
      </c>
      <c r="K37" s="168">
        <f t="shared" si="8"/>
        <v>0</v>
      </c>
      <c r="L37" s="169">
        <f t="shared" si="11"/>
        <v>0</v>
      </c>
    </row>
    <row r="38" spans="1:12" ht="18.75">
      <c r="A38" s="181" t="str">
        <f>+'Direct cost summary '!A141</f>
        <v>84.01(a)</v>
      </c>
      <c r="B38" s="1876" t="str">
        <f>+'Direct cost summary '!B141</f>
        <v xml:space="preserve"> Concrete Class ''A''</v>
      </c>
      <c r="C38" s="1876"/>
      <c r="D38" s="170" t="s">
        <v>239</v>
      </c>
      <c r="E38" s="193">
        <f>+'Direct cost summary '!J141</f>
        <v>3832.4204852278754</v>
      </c>
      <c r="F38" s="193">
        <f>+'Direct cost summary '!I141</f>
        <v>1206.7676057011572</v>
      </c>
      <c r="G38" s="166">
        <f>'Weekly Progress Report'!M47</f>
        <v>0</v>
      </c>
      <c r="H38" s="167">
        <f t="shared" si="9"/>
        <v>0</v>
      </c>
      <c r="I38" s="168">
        <f>'Weekly Progress Report'!O47</f>
        <v>144</v>
      </c>
      <c r="J38" s="167">
        <f t="shared" si="10"/>
        <v>551868.5498728141</v>
      </c>
      <c r="K38" s="168">
        <f t="shared" si="8"/>
        <v>0</v>
      </c>
      <c r="L38" s="169">
        <f t="shared" si="11"/>
        <v>173774.53522096665</v>
      </c>
    </row>
    <row r="39" spans="1:12" ht="15.75">
      <c r="A39" s="181" t="str">
        <f>+'Direct cost summary '!A183</f>
        <v>83.01(a) &amp; 83.01(b)</v>
      </c>
      <c r="B39" s="1876" t="str">
        <f>+'Direct cost summary '!B183</f>
        <v>Rebar bending &amp; Placing</v>
      </c>
      <c r="C39" s="1876"/>
      <c r="D39" s="170" t="s">
        <v>72</v>
      </c>
      <c r="E39" s="194">
        <f>+'Direct cost summary '!J183</f>
        <v>49</v>
      </c>
      <c r="F39" s="193">
        <f>+'Direct cost summary '!I183</f>
        <v>14.378488581730799</v>
      </c>
      <c r="G39" s="166">
        <f>'Weekly Progress Report'!M48</f>
        <v>0</v>
      </c>
      <c r="H39" s="167">
        <f t="shared" si="9"/>
        <v>0</v>
      </c>
      <c r="I39" s="168">
        <f>'Weekly Progress Report'!O48</f>
        <v>0</v>
      </c>
      <c r="J39" s="167">
        <f t="shared" si="10"/>
        <v>0</v>
      </c>
      <c r="K39" s="168">
        <f t="shared" si="8"/>
        <v>0</v>
      </c>
      <c r="L39" s="169">
        <f t="shared" si="11"/>
        <v>0</v>
      </c>
    </row>
    <row r="40" spans="1:12" ht="15.75">
      <c r="A40" s="181">
        <f>+'Direct cost summary '!A189</f>
        <v>87.07</v>
      </c>
      <c r="B40" s="1876" t="str">
        <f>+'Direct cost summary '!B189</f>
        <v>Concrete bridge  railing with R.C posts</v>
      </c>
      <c r="C40" s="1876"/>
      <c r="D40" s="170" t="str">
        <f>+'Direct cost summary '!C189</f>
        <v>LM</v>
      </c>
      <c r="E40" s="193">
        <f>+'Direct cost summary '!J189</f>
        <v>500</v>
      </c>
      <c r="F40" s="193">
        <f>+'Direct cost summary '!I189</f>
        <v>451.30463061732956</v>
      </c>
      <c r="G40" s="166">
        <f>'Weekly Progress Report'!M53</f>
        <v>0</v>
      </c>
      <c r="H40" s="167">
        <f t="shared" si="9"/>
        <v>0</v>
      </c>
      <c r="I40" s="168">
        <f>'Weekly Progress Report'!O53</f>
        <v>0</v>
      </c>
      <c r="J40" s="167">
        <f t="shared" si="10"/>
        <v>0</v>
      </c>
      <c r="K40" s="168">
        <f t="shared" si="8"/>
        <v>0</v>
      </c>
      <c r="L40" s="169">
        <f t="shared" si="11"/>
        <v>0</v>
      </c>
    </row>
    <row r="41" spans="1:12" ht="18.75">
      <c r="A41" s="181" t="str">
        <f>+'Direct cost summary '!A204</f>
        <v>89.01(a)</v>
      </c>
      <c r="B41" s="1876" t="str">
        <f>+'Direct cost summary '!B204</f>
        <v>Masonory construction</v>
      </c>
      <c r="C41" s="1876"/>
      <c r="D41" s="170" t="s">
        <v>239</v>
      </c>
      <c r="E41" s="194">
        <f>+'Direct cost summary '!J204</f>
        <v>1064.8334950338951</v>
      </c>
      <c r="F41" s="193">
        <f>+'Direct cost summary '!I204</f>
        <v>471.19629168333938</v>
      </c>
      <c r="G41" s="166" t="e">
        <f>'Weekly Progress Report'!#REF!</f>
        <v>#REF!</v>
      </c>
      <c r="H41" s="167" t="e">
        <f t="shared" si="9"/>
        <v>#REF!</v>
      </c>
      <c r="I41" s="168" t="e">
        <f>'Weekly Progress Report'!#REF!</f>
        <v>#REF!</v>
      </c>
      <c r="J41" s="167" t="e">
        <f t="shared" si="10"/>
        <v>#REF!</v>
      </c>
      <c r="K41" s="168" t="e">
        <f t="shared" si="8"/>
        <v>#REF!</v>
      </c>
      <c r="L41" s="169" t="e">
        <f t="shared" si="11"/>
        <v>#REF!</v>
      </c>
    </row>
    <row r="42" spans="1:12" ht="17.25" customHeight="1">
      <c r="A42" s="1877" t="s">
        <v>193</v>
      </c>
      <c r="B42" s="1877"/>
      <c r="C42" s="1877"/>
      <c r="D42" s="176"/>
      <c r="E42" s="176"/>
      <c r="F42" s="177"/>
      <c r="G42" s="166"/>
      <c r="H42" s="167" t="e">
        <f>SUM(H35:H41)</f>
        <v>#REF!</v>
      </c>
      <c r="I42" s="168"/>
      <c r="J42" s="167" t="e">
        <f>SUM(J35:J41)</f>
        <v>#REF!</v>
      </c>
      <c r="K42" s="168" t="e">
        <f>SUM(K34:K41)</f>
        <v>#REF!</v>
      </c>
      <c r="L42" s="169" t="e">
        <f>SUM(L34:L41)</f>
        <v>#REF!</v>
      </c>
    </row>
    <row r="43" spans="1:12" ht="17.25" customHeight="1">
      <c r="A43" s="1878" t="s">
        <v>245</v>
      </c>
      <c r="B43" s="1878"/>
      <c r="C43" s="1878"/>
      <c r="D43" s="180"/>
      <c r="E43" s="176"/>
      <c r="F43" s="177"/>
      <c r="G43" s="166"/>
      <c r="H43" s="167"/>
      <c r="I43" s="168"/>
      <c r="J43" s="167"/>
      <c r="K43" s="168"/>
      <c r="L43" s="169"/>
    </row>
    <row r="44" spans="1:12" ht="15.75">
      <c r="A44" s="163">
        <f>+'Direct cost summary '!A216</f>
        <v>92.01</v>
      </c>
      <c r="B44" s="1876" t="str">
        <f>+'Direct cost summary '!B216</f>
        <v>Reflective road sign</v>
      </c>
      <c r="C44" s="1876"/>
      <c r="D44" s="195" t="str">
        <f>+'Direct cost summary '!C216</f>
        <v>M2</v>
      </c>
      <c r="E44" s="194">
        <f>+'Direct cost summary '!J216</f>
        <v>2000</v>
      </c>
      <c r="F44" s="193">
        <f>+'Direct cost summary '!I216</f>
        <v>919.07538461538468</v>
      </c>
      <c r="G44" s="166">
        <f>'Weekly Progress Report'!M58</f>
        <v>0</v>
      </c>
      <c r="H44" s="167">
        <f>G44*E44</f>
        <v>0</v>
      </c>
      <c r="I44" s="168" t="e">
        <f>'Weekly Progress Report'!#REF!</f>
        <v>#REF!</v>
      </c>
      <c r="J44" s="167" t="e">
        <f>I44*E44</f>
        <v>#REF!</v>
      </c>
      <c r="K44" s="168">
        <f>G44*F44</f>
        <v>0</v>
      </c>
      <c r="L44" s="169" t="e">
        <f>I44*F44</f>
        <v>#REF!</v>
      </c>
    </row>
    <row r="45" spans="1:12" ht="15.75">
      <c r="A45" s="163">
        <f>+'Direct cost summary '!A218</f>
        <v>92.01</v>
      </c>
      <c r="B45" s="1876" t="str">
        <f>+'Direct cost summary '!B218</f>
        <v>Project sign with post</v>
      </c>
      <c r="C45" s="1876"/>
      <c r="D45" s="195" t="str">
        <f>+'Direct cost summary '!C218</f>
        <v>pcs</v>
      </c>
      <c r="E45" s="194">
        <f>+'Direct cost summary '!J218</f>
        <v>1000</v>
      </c>
      <c r="F45" s="193">
        <f>+'Direct cost summary '!I218</f>
        <v>4609.4153846153849</v>
      </c>
      <c r="G45" s="166">
        <f>'Weekly Progress Report'!M59</f>
        <v>0</v>
      </c>
      <c r="H45" s="167">
        <f>G45*E45</f>
        <v>0</v>
      </c>
      <c r="I45" s="168">
        <f>'Weekly Progress Report'!O58</f>
        <v>0</v>
      </c>
      <c r="J45" s="167">
        <f>I45*E45</f>
        <v>0</v>
      </c>
      <c r="K45" s="168">
        <f>G45*F45</f>
        <v>0</v>
      </c>
      <c r="L45" s="169">
        <f>I45*F45</f>
        <v>0</v>
      </c>
    </row>
    <row r="46" spans="1:12" ht="15.75">
      <c r="A46" s="163">
        <f>+'Direct cost summary '!A218</f>
        <v>92.01</v>
      </c>
      <c r="B46" s="1876" t="str">
        <f>+'Direct cost summary '!B220</f>
        <v>Concrete sign post</v>
      </c>
      <c r="C46" s="1876"/>
      <c r="D46" s="195" t="str">
        <f>+'Direct cost summary '!C220</f>
        <v>pcs</v>
      </c>
      <c r="E46" s="194">
        <f>+'Direct cost summary '!J220</f>
        <v>500</v>
      </c>
      <c r="F46" s="193">
        <f>+'Direct cost summary '!I220</f>
        <v>268.46253016550179</v>
      </c>
      <c r="G46" s="166">
        <f>'Weekly Progress Report'!M60</f>
        <v>0</v>
      </c>
      <c r="H46" s="167">
        <f>G46*E46</f>
        <v>0</v>
      </c>
      <c r="I46" s="168">
        <f>'Weekly Progress Report'!O59</f>
        <v>0</v>
      </c>
      <c r="J46" s="167">
        <f>I46*E46</f>
        <v>0</v>
      </c>
      <c r="K46" s="168">
        <f>G46*F46</f>
        <v>0</v>
      </c>
      <c r="L46" s="169">
        <f>I46*F46</f>
        <v>0</v>
      </c>
    </row>
    <row r="47" spans="1:12" ht="18.75" customHeight="1">
      <c r="A47" s="1881" t="s">
        <v>193</v>
      </c>
      <c r="B47" s="1881"/>
      <c r="C47" s="1881"/>
      <c r="D47" s="176"/>
      <c r="E47" s="176"/>
      <c r="F47" s="177"/>
      <c r="G47" s="166"/>
      <c r="H47" s="167">
        <f>SUM(H44:H46)</f>
        <v>0</v>
      </c>
      <c r="I47" s="168"/>
      <c r="J47" s="167" t="e">
        <f>SUM(J44:J46)</f>
        <v>#REF!</v>
      </c>
      <c r="K47" s="168">
        <f>SUM(K44:K46)</f>
        <v>0</v>
      </c>
      <c r="L47" s="169" t="e">
        <f>SUM(L44:L46)</f>
        <v>#REF!</v>
      </c>
    </row>
    <row r="48" spans="1:12" ht="17.25" customHeight="1">
      <c r="A48" s="1881" t="s">
        <v>246</v>
      </c>
      <c r="B48" s="1881"/>
      <c r="C48" s="1881"/>
      <c r="D48" s="176"/>
      <c r="E48" s="176"/>
      <c r="F48" s="177"/>
      <c r="G48" s="166"/>
      <c r="H48" s="178" t="e">
        <f>H47+H42+H32+H20+H17</f>
        <v>#REF!</v>
      </c>
      <c r="I48" s="168"/>
      <c r="J48" s="178" t="e">
        <f>J47+J42+J32+J20+J17</f>
        <v>#REF!</v>
      </c>
      <c r="K48" s="179" t="e">
        <f>K47+K42+K32+K20+K17</f>
        <v>#REF!</v>
      </c>
      <c r="L48" s="178" t="e">
        <f>L47+L42+L32+L20+L17</f>
        <v>#REF!</v>
      </c>
    </row>
    <row r="49" spans="1:12" ht="19.5">
      <c r="A49" s="1879" t="s">
        <v>247</v>
      </c>
      <c r="B49" s="1879"/>
      <c r="C49" s="1879"/>
      <c r="D49" s="196"/>
      <c r="E49" s="196"/>
      <c r="F49" s="197"/>
      <c r="G49" s="166"/>
      <c r="H49" s="167"/>
      <c r="I49" s="168"/>
      <c r="J49" s="167"/>
      <c r="K49" s="168">
        <f t="shared" ref="K49:K55" si="12">G49*F49</f>
        <v>0</v>
      </c>
      <c r="L49" s="178"/>
    </row>
    <row r="50" spans="1:12" ht="17.100000000000001" customHeight="1">
      <c r="A50" s="163">
        <v>1</v>
      </c>
      <c r="B50" s="1876" t="str">
        <f>'Direct cost summary '!B15</f>
        <v>Excavation to stock/production</v>
      </c>
      <c r="C50" s="1876"/>
      <c r="D50" s="170" t="s">
        <v>239</v>
      </c>
      <c r="E50" s="193">
        <f>'Direct cost summary '!J15</f>
        <v>22.25</v>
      </c>
      <c r="F50" s="193">
        <f>'Direct cost summary '!I15</f>
        <v>14.228522126696785</v>
      </c>
      <c r="G50" s="166">
        <f>'Weekly Progress Report'!M65</f>
        <v>0</v>
      </c>
      <c r="H50" s="167">
        <f t="shared" ref="H50:H55" si="13">G50*E50</f>
        <v>0</v>
      </c>
      <c r="I50" s="168">
        <f>'Weekly Progress Report'!O64</f>
        <v>0</v>
      </c>
      <c r="J50" s="167">
        <f t="shared" ref="J50:J55" si="14">I50*E50</f>
        <v>0</v>
      </c>
      <c r="K50" s="168">
        <f t="shared" si="12"/>
        <v>0</v>
      </c>
      <c r="L50" s="169">
        <f t="shared" ref="L50:L55" si="15">I50*F50</f>
        <v>0</v>
      </c>
    </row>
    <row r="51" spans="1:12" ht="17.100000000000001" customHeight="1">
      <c r="A51" s="163">
        <v>3</v>
      </c>
      <c r="B51" s="1876" t="str">
        <f>'Direct cost summary '!B27</f>
        <v>Capping Production(G20)</v>
      </c>
      <c r="C51" s="1876"/>
      <c r="D51" s="170" t="s">
        <v>239</v>
      </c>
      <c r="E51" s="193">
        <f>'Direct cost summary '!J27</f>
        <v>29.25</v>
      </c>
      <c r="F51" s="193">
        <f>'Direct cost summary '!I27</f>
        <v>11.851799170437403</v>
      </c>
      <c r="G51" s="166">
        <f>'Weekly Progress Report'!M66</f>
        <v>1056</v>
      </c>
      <c r="H51" s="167">
        <f t="shared" si="13"/>
        <v>30888</v>
      </c>
      <c r="I51" s="168" t="e">
        <f>'Weekly Progress Report'!#REF!</f>
        <v>#REF!</v>
      </c>
      <c r="J51" s="167" t="e">
        <f t="shared" si="14"/>
        <v>#REF!</v>
      </c>
      <c r="K51" s="168">
        <f t="shared" si="12"/>
        <v>12515.499923981897</v>
      </c>
      <c r="L51" s="169" t="e">
        <f t="shared" si="15"/>
        <v>#REF!</v>
      </c>
    </row>
    <row r="52" spans="1:12" ht="17.100000000000001" customHeight="1">
      <c r="A52" s="163">
        <v>5</v>
      </c>
      <c r="B52" s="1876" t="str">
        <f>'Direct cost summary '!B38</f>
        <v>Subbase production (Natural)</v>
      </c>
      <c r="C52" s="1876"/>
      <c r="D52" s="170" t="s">
        <v>239</v>
      </c>
      <c r="E52" s="193">
        <f>'Direct cost summary '!J38</f>
        <v>42</v>
      </c>
      <c r="F52" s="193">
        <f>'Direct cost summary '!I38</f>
        <v>18.962878672699887</v>
      </c>
      <c r="G52" s="166">
        <f>'Weekly Progress Report'!M68</f>
        <v>0</v>
      </c>
      <c r="H52" s="167">
        <f t="shared" si="13"/>
        <v>0</v>
      </c>
      <c r="I52" s="168" t="e">
        <f>'Weekly Progress Report'!#REF!</f>
        <v>#REF!</v>
      </c>
      <c r="J52" s="167" t="e">
        <f t="shared" si="14"/>
        <v>#REF!</v>
      </c>
      <c r="K52" s="168">
        <f t="shared" si="12"/>
        <v>0</v>
      </c>
      <c r="L52" s="169" t="e">
        <f t="shared" si="15"/>
        <v>#REF!</v>
      </c>
    </row>
    <row r="53" spans="1:12" ht="17.100000000000001" customHeight="1">
      <c r="A53" s="163">
        <v>6</v>
      </c>
      <c r="B53" s="1876" t="str">
        <f>'Direct cost summary '!B51</f>
        <v>Backfill Material Production(minor)</v>
      </c>
      <c r="C53" s="1876"/>
      <c r="D53" s="170" t="s">
        <v>239</v>
      </c>
      <c r="E53" s="193">
        <f>'Direct cost summary '!J51</f>
        <v>31.25</v>
      </c>
      <c r="F53" s="193">
        <f>'Direct cost summary '!I51</f>
        <v>16.119435230769184</v>
      </c>
      <c r="G53" s="166">
        <f>'Weekly Progress Report'!M69</f>
        <v>0</v>
      </c>
      <c r="H53" s="167">
        <f t="shared" si="13"/>
        <v>0</v>
      </c>
      <c r="I53" s="168">
        <f>'Weekly Progress Report'!O68</f>
        <v>0</v>
      </c>
      <c r="J53" s="167">
        <f t="shared" si="14"/>
        <v>0</v>
      </c>
      <c r="K53" s="168">
        <f t="shared" si="12"/>
        <v>0</v>
      </c>
      <c r="L53" s="169">
        <f t="shared" si="15"/>
        <v>0</v>
      </c>
    </row>
    <row r="54" spans="1:12" ht="17.100000000000001" customHeight="1">
      <c r="A54" s="163">
        <v>7</v>
      </c>
      <c r="B54" s="1876" t="str">
        <f>'Direct cost summary '!B58</f>
        <v>R.C. pipe(dia.36")</v>
      </c>
      <c r="C54" s="1876"/>
      <c r="D54" s="170" t="str">
        <f>'Direct cost summary '!C67</f>
        <v>Pcs</v>
      </c>
      <c r="E54" s="193">
        <f>'Direct cost summary '!J59</f>
        <v>4005</v>
      </c>
      <c r="F54" s="193">
        <f>'Direct cost summary '!I59</f>
        <v>807.49234710985024</v>
      </c>
      <c r="G54" s="166">
        <f>'Weekly Progress Report'!M70</f>
        <v>0</v>
      </c>
      <c r="H54" s="167">
        <f t="shared" si="13"/>
        <v>0</v>
      </c>
      <c r="I54" s="168">
        <f>'Weekly Progress Report'!O69</f>
        <v>0</v>
      </c>
      <c r="J54" s="167">
        <f t="shared" si="14"/>
        <v>0</v>
      </c>
      <c r="K54" s="168">
        <f t="shared" si="12"/>
        <v>0</v>
      </c>
      <c r="L54" s="169">
        <f t="shared" si="15"/>
        <v>0</v>
      </c>
    </row>
    <row r="55" spans="1:12" ht="17.100000000000001" customHeight="1">
      <c r="A55" s="163">
        <v>8</v>
      </c>
      <c r="B55" s="1876" t="str">
        <f>'Direct cost summary '!B66</f>
        <v>R.C. pipe(dia.48")</v>
      </c>
      <c r="C55" s="1876"/>
      <c r="D55" s="170" t="str">
        <f>'Direct cost summary '!C67</f>
        <v>Pcs</v>
      </c>
      <c r="E55" s="193">
        <f>'Direct cost summary '!J67</f>
        <v>5280</v>
      </c>
      <c r="F55" s="193">
        <f>'Direct cost summary '!I67</f>
        <v>809.17426295600421</v>
      </c>
      <c r="G55" s="166">
        <f>'Weekly Progress Report'!M72</f>
        <v>0</v>
      </c>
      <c r="H55" s="167">
        <f t="shared" si="13"/>
        <v>0</v>
      </c>
      <c r="I55" s="168">
        <f>'Weekly Progress Report'!O70</f>
        <v>0</v>
      </c>
      <c r="J55" s="167">
        <f t="shared" si="14"/>
        <v>0</v>
      </c>
      <c r="K55" s="168">
        <f t="shared" si="12"/>
        <v>0</v>
      </c>
      <c r="L55" s="169">
        <f t="shared" si="15"/>
        <v>0</v>
      </c>
    </row>
    <row r="56" spans="1:12" ht="17.100000000000001" customHeight="1">
      <c r="A56" s="163"/>
      <c r="B56" s="1882" t="s">
        <v>248</v>
      </c>
      <c r="C56" s="1882"/>
      <c r="D56" s="170"/>
      <c r="E56" s="193"/>
      <c r="F56" s="193"/>
      <c r="G56" s="166"/>
      <c r="H56" s="167"/>
      <c r="I56" s="168"/>
      <c r="J56" s="167"/>
      <c r="K56" s="168"/>
      <c r="L56" s="169"/>
    </row>
    <row r="57" spans="1:12" ht="17.100000000000001" customHeight="1">
      <c r="A57" s="163">
        <v>9</v>
      </c>
      <c r="B57" s="1876" t="str">
        <f>'Direct cost summary '!B71</f>
        <v>Sand production</v>
      </c>
      <c r="C57" s="1876"/>
      <c r="D57" s="170" t="s">
        <v>239</v>
      </c>
      <c r="E57" s="193">
        <f>'Direct cost summary '!J71</f>
        <v>16.78125611849239</v>
      </c>
      <c r="F57" s="193">
        <f>'Direct cost summary '!I71</f>
        <v>6.503517447963806</v>
      </c>
      <c r="G57" s="166">
        <f>'Weekly Progress Report'!M74</f>
        <v>0</v>
      </c>
      <c r="H57" s="167">
        <f>G57*E57</f>
        <v>0</v>
      </c>
      <c r="I57" s="168">
        <f>'Weekly Progress Report'!O73</f>
        <v>0</v>
      </c>
      <c r="J57" s="167">
        <f>I57*E57</f>
        <v>0</v>
      </c>
      <c r="K57" s="168">
        <f>G57*F57</f>
        <v>0</v>
      </c>
      <c r="L57" s="169">
        <f>I57*F57</f>
        <v>0</v>
      </c>
    </row>
    <row r="58" spans="1:12" ht="17.100000000000001" customHeight="1">
      <c r="A58" s="163">
        <v>10</v>
      </c>
      <c r="B58" s="1876" t="str">
        <f>'Direct cost summary '!B73</f>
        <v>Stone Production ( For Aggregate  by Quarryman )</v>
      </c>
      <c r="C58" s="1876"/>
      <c r="D58" s="170" t="s">
        <v>239</v>
      </c>
      <c r="E58" s="193">
        <f>'Direct cost summary '!J73</f>
        <v>75.05302406412082</v>
      </c>
      <c r="F58" s="193">
        <f>'Direct cost summary '!I73</f>
        <v>29.086538461538499</v>
      </c>
      <c r="G58" s="166">
        <f>'Weekly Progress Report'!M75</f>
        <v>0</v>
      </c>
      <c r="H58" s="167">
        <f>G58*E58</f>
        <v>0</v>
      </c>
      <c r="I58" s="168">
        <f>'Weekly Progress Report'!O74</f>
        <v>0</v>
      </c>
      <c r="J58" s="167">
        <f>I58*E58</f>
        <v>0</v>
      </c>
      <c r="K58" s="168">
        <f>G58*F58</f>
        <v>0</v>
      </c>
      <c r="L58" s="169">
        <f>I58*F58</f>
        <v>0</v>
      </c>
    </row>
    <row r="59" spans="1:12" ht="17.100000000000001" customHeight="1">
      <c r="A59" s="163">
        <v>11</v>
      </c>
      <c r="B59" s="1876" t="str">
        <f>'Direct cost summary '!B74</f>
        <v>Stone Production</v>
      </c>
      <c r="C59" s="1876"/>
      <c r="D59" s="170" t="s">
        <v>239</v>
      </c>
      <c r="E59" s="193">
        <f>'Direct cost summary '!J74</f>
        <v>47.607783089855246</v>
      </c>
      <c r="F59" s="193">
        <f>'Direct cost summary '!I74</f>
        <v>18.450230769230735</v>
      </c>
      <c r="G59" s="166">
        <f>'Weekly Progress Report'!M76</f>
        <v>0</v>
      </c>
      <c r="H59" s="167">
        <f>G59*E59</f>
        <v>0</v>
      </c>
      <c r="I59" s="168">
        <f>'Weekly Progress Report'!O75</f>
        <v>0</v>
      </c>
      <c r="J59" s="167">
        <f>I59*E59</f>
        <v>0</v>
      </c>
      <c r="K59" s="168">
        <f>G59*F59</f>
        <v>0</v>
      </c>
      <c r="L59" s="169">
        <f>I59*F59</f>
        <v>0</v>
      </c>
    </row>
    <row r="60" spans="1:12" ht="17.100000000000001" customHeight="1">
      <c r="A60" s="163">
        <v>12</v>
      </c>
      <c r="B60" s="1876" t="str">
        <f>'Direct cost summary '!B76</f>
        <v>C.agg. production</v>
      </c>
      <c r="C60" s="1876"/>
      <c r="D60" s="170" t="str">
        <f>'Direct cost summary '!C76</f>
        <v>M3</v>
      </c>
      <c r="E60" s="193">
        <f>'Direct cost summary '!J76</f>
        <v>229.79201671723325</v>
      </c>
      <c r="F60" s="193">
        <f>'Direct cost summary '!I76</f>
        <v>89.055096923076903</v>
      </c>
      <c r="G60" s="166">
        <f>'Weekly Progress Report'!M77</f>
        <v>31.12</v>
      </c>
      <c r="H60" s="167">
        <f>G60*E60</f>
        <v>7151.1275602402993</v>
      </c>
      <c r="I60" s="168">
        <f>'Weekly Progress Report'!O76</f>
        <v>0</v>
      </c>
      <c r="J60" s="167">
        <f>I60*E60</f>
        <v>0</v>
      </c>
      <c r="K60" s="168">
        <f>G60*F60</f>
        <v>2771.3946162461534</v>
      </c>
      <c r="L60" s="169">
        <f>I60*F60</f>
        <v>0</v>
      </c>
    </row>
    <row r="61" spans="1:12" ht="17.100000000000001" customHeight="1">
      <c r="A61" s="163"/>
      <c r="B61" s="1882" t="s">
        <v>249</v>
      </c>
      <c r="C61" s="1882"/>
      <c r="D61" s="170"/>
      <c r="E61" s="193"/>
      <c r="F61" s="193"/>
      <c r="G61" s="166"/>
      <c r="H61" s="167"/>
      <c r="I61" s="168"/>
      <c r="J61" s="167"/>
      <c r="K61" s="168"/>
      <c r="L61" s="169"/>
    </row>
    <row r="62" spans="1:12" ht="29.25" customHeight="1">
      <c r="A62" s="163">
        <v>13</v>
      </c>
      <c r="B62" s="1883" t="str">
        <f>'Direct cost summary '!B95</f>
        <v>Stone Production by Excavator ( For Masonary  )</v>
      </c>
      <c r="C62" s="1883"/>
      <c r="D62" s="170" t="s">
        <v>239</v>
      </c>
      <c r="E62" s="193">
        <f>'Direct cost summary '!J95</f>
        <v>59.822381054430402</v>
      </c>
      <c r="F62" s="193">
        <f>'Direct cost summary '!I95</f>
        <v>16.291684453846131</v>
      </c>
      <c r="G62" s="166">
        <f>'Weekly Progress Report'!M109</f>
        <v>0</v>
      </c>
      <c r="H62" s="167">
        <f t="shared" ref="H62:H68" si="16">G62*E62</f>
        <v>0</v>
      </c>
      <c r="I62" s="168">
        <f>'Weekly Progress Report'!O108</f>
        <v>0</v>
      </c>
      <c r="J62" s="167">
        <f t="shared" ref="J62:J68" si="17">I62*E62</f>
        <v>0</v>
      </c>
      <c r="K62" s="168">
        <f t="shared" ref="K62:K68" si="18">G62*F62</f>
        <v>0</v>
      </c>
      <c r="L62" s="169">
        <f t="shared" ref="L62:L68" si="19">I62*F62</f>
        <v>0</v>
      </c>
    </row>
    <row r="63" spans="1:12" ht="17.100000000000001" customHeight="1">
      <c r="A63" s="163">
        <v>14</v>
      </c>
      <c r="B63" s="1876" t="str">
        <f>'Direct cost summary '!B96</f>
        <v>Stone prodn. (Q.man)</v>
      </c>
      <c r="C63" s="1876"/>
      <c r="D63" s="170" t="s">
        <v>239</v>
      </c>
      <c r="E63" s="193">
        <f>'Direct cost summary '!J96</f>
        <v>120.39785363503751</v>
      </c>
      <c r="F63" s="193">
        <f>'Direct cost summary '!I96</f>
        <v>32.788461538461554</v>
      </c>
      <c r="G63" s="166">
        <f>'Weekly Progress Report'!M110</f>
        <v>26.36</v>
      </c>
      <c r="H63" s="167">
        <f t="shared" si="16"/>
        <v>3173.6874218195885</v>
      </c>
      <c r="I63" s="168">
        <f>'Weekly Progress Report'!O109</f>
        <v>0</v>
      </c>
      <c r="J63" s="167">
        <f t="shared" si="17"/>
        <v>0</v>
      </c>
      <c r="K63" s="168">
        <f t="shared" si="18"/>
        <v>864.30384615384651</v>
      </c>
      <c r="L63" s="169">
        <f t="shared" si="19"/>
        <v>0</v>
      </c>
    </row>
    <row r="64" spans="1:12" ht="17.100000000000001" customHeight="1">
      <c r="A64" s="163">
        <v>15</v>
      </c>
      <c r="B64" s="1876" t="str">
        <f>'Direct cost summary '!B98</f>
        <v>Sand production</v>
      </c>
      <c r="C64" s="1876"/>
      <c r="D64" s="170" t="s">
        <v>239</v>
      </c>
      <c r="E64" s="193">
        <f>'Direct cost summary '!J98</f>
        <v>23.880642917459596</v>
      </c>
      <c r="F64" s="193">
        <f>'Direct cost summary '!I98</f>
        <v>6.5035174479637998</v>
      </c>
      <c r="G64" s="166">
        <f>'Weekly Progress Report'!M111</f>
        <v>0</v>
      </c>
      <c r="H64" s="167">
        <f t="shared" si="16"/>
        <v>0</v>
      </c>
      <c r="I64" s="168">
        <f>'Weekly Progress Report'!O110</f>
        <v>22.97</v>
      </c>
      <c r="J64" s="167">
        <f t="shared" si="17"/>
        <v>548.53836781404686</v>
      </c>
      <c r="K64" s="168">
        <f t="shared" si="18"/>
        <v>0</v>
      </c>
      <c r="L64" s="169">
        <f t="shared" si="19"/>
        <v>149.38579577972848</v>
      </c>
    </row>
    <row r="65" spans="1:12" ht="17.100000000000001" customHeight="1">
      <c r="A65" s="163"/>
      <c r="B65" s="1882" t="str">
        <f>'Direct cost summary '!B101</f>
        <v>G.R. paved water way(Paved Ditch)</v>
      </c>
      <c r="C65" s="1882"/>
      <c r="D65" s="170"/>
      <c r="E65" s="193"/>
      <c r="F65" s="193"/>
      <c r="G65" s="166">
        <f>'Weekly Progress Report'!M112</f>
        <v>0</v>
      </c>
      <c r="H65" s="167">
        <f t="shared" si="16"/>
        <v>0</v>
      </c>
      <c r="I65" s="168"/>
      <c r="J65" s="167">
        <f t="shared" si="17"/>
        <v>0</v>
      </c>
      <c r="K65" s="168">
        <f t="shared" si="18"/>
        <v>0</v>
      </c>
      <c r="L65" s="169">
        <f t="shared" si="19"/>
        <v>0</v>
      </c>
    </row>
    <row r="66" spans="1:12" ht="29.25" customHeight="1">
      <c r="A66" s="163">
        <v>16</v>
      </c>
      <c r="B66" s="1883" t="str">
        <f>'Direct cost summary '!B102</f>
        <v>Stone Production by Excavator ( For Masonary  )</v>
      </c>
      <c r="C66" s="1883"/>
      <c r="D66" s="170" t="s">
        <v>239</v>
      </c>
      <c r="E66" s="193">
        <f>'Direct cost summary '!J102</f>
        <v>15.103244268152077</v>
      </c>
      <c r="F66" s="193">
        <f>'Direct cost summary '!I102</f>
        <v>16.291684453846202</v>
      </c>
      <c r="G66" s="166">
        <f>'Weekly Progress Report'!M113</f>
        <v>0</v>
      </c>
      <c r="H66" s="167">
        <f t="shared" si="16"/>
        <v>0</v>
      </c>
      <c r="I66" s="168">
        <f>'Weekly Progress Report'!O112</f>
        <v>0</v>
      </c>
      <c r="J66" s="167">
        <f t="shared" si="17"/>
        <v>0</v>
      </c>
      <c r="K66" s="168">
        <f t="shared" si="18"/>
        <v>0</v>
      </c>
      <c r="L66" s="169">
        <f t="shared" si="19"/>
        <v>0</v>
      </c>
    </row>
    <row r="67" spans="1:12" ht="17.100000000000001" customHeight="1">
      <c r="A67" s="163">
        <v>17</v>
      </c>
      <c r="B67" s="1876" t="str">
        <f>'Direct cost summary '!B103</f>
        <v>Stone prodn. (Q.man)</v>
      </c>
      <c r="C67" s="1876"/>
      <c r="D67" s="170" t="s">
        <v>239</v>
      </c>
      <c r="E67" s="193">
        <f>'Direct cost summary '!J103</f>
        <v>30.396620140490256</v>
      </c>
      <c r="F67" s="193">
        <f>'Direct cost summary '!I103</f>
        <v>32.788461538461497</v>
      </c>
      <c r="G67" s="166">
        <f>'Weekly Progress Report'!M114</f>
        <v>20.988000000000003</v>
      </c>
      <c r="H67" s="167">
        <f t="shared" si="16"/>
        <v>637.96426350860963</v>
      </c>
      <c r="I67" s="168">
        <f>'Weekly Progress Report'!O113</f>
        <v>0</v>
      </c>
      <c r="J67" s="167">
        <f t="shared" si="17"/>
        <v>0</v>
      </c>
      <c r="K67" s="168">
        <f t="shared" si="18"/>
        <v>688.16423076923002</v>
      </c>
      <c r="L67" s="169">
        <f t="shared" si="19"/>
        <v>0</v>
      </c>
    </row>
    <row r="68" spans="1:12" ht="17.100000000000001" customHeight="1">
      <c r="A68" s="198">
        <v>18</v>
      </c>
      <c r="B68" s="1876" t="str">
        <f>'Direct cost summary '!B105</f>
        <v>Sand production</v>
      </c>
      <c r="C68" s="1876"/>
      <c r="D68" s="199" t="s">
        <v>239</v>
      </c>
      <c r="E68" s="200">
        <f>'Direct cost summary '!J105</f>
        <v>6.029101097375916</v>
      </c>
      <c r="F68" s="200">
        <f>'Direct cost summary '!I105</f>
        <v>6.5035174479637998</v>
      </c>
      <c r="G68" s="166">
        <f>'Weekly Progress Report'!M115</f>
        <v>0</v>
      </c>
      <c r="H68" s="201">
        <f t="shared" si="16"/>
        <v>0</v>
      </c>
      <c r="I68" s="168">
        <f>'Weekly Progress Report'!O114</f>
        <v>19.080000000000002</v>
      </c>
      <c r="J68" s="201">
        <f t="shared" si="17"/>
        <v>115.03524893793249</v>
      </c>
      <c r="K68" s="168">
        <f t="shared" si="18"/>
        <v>0</v>
      </c>
      <c r="L68" s="202">
        <f t="shared" si="19"/>
        <v>124.08711290714932</v>
      </c>
    </row>
    <row r="69" spans="1:12" ht="17.100000000000001" customHeight="1">
      <c r="A69" s="198"/>
      <c r="B69" s="1882" t="s">
        <v>250</v>
      </c>
      <c r="C69" s="1882"/>
      <c r="D69" s="199"/>
      <c r="E69" s="200"/>
      <c r="F69" s="200"/>
      <c r="G69" s="166"/>
      <c r="H69" s="201"/>
      <c r="I69" s="168"/>
      <c r="J69" s="201"/>
      <c r="K69" s="168"/>
      <c r="L69" s="202"/>
    </row>
    <row r="70" spans="1:12" ht="18.75">
      <c r="A70" s="198">
        <v>19</v>
      </c>
      <c r="B70" s="1884" t="str">
        <f>'Direct cost summary '!B129</f>
        <v>Granular material production (Natural)</v>
      </c>
      <c r="C70" s="1884"/>
      <c r="D70" s="199" t="s">
        <v>239</v>
      </c>
      <c r="E70" s="200">
        <v>22.3</v>
      </c>
      <c r="F70" s="200">
        <v>24.64</v>
      </c>
      <c r="G70" s="166">
        <f>'Weekly Progress Report'!M117</f>
        <v>0</v>
      </c>
      <c r="H70" s="201">
        <f>G70*E70</f>
        <v>0</v>
      </c>
      <c r="I70" s="168">
        <f>'Weekly Progress Report'!O116</f>
        <v>0</v>
      </c>
      <c r="J70" s="201">
        <f>I70*E70</f>
        <v>0</v>
      </c>
      <c r="K70" s="168">
        <f>G70*F70</f>
        <v>0</v>
      </c>
      <c r="L70" s="202">
        <f>I70*F70</f>
        <v>0</v>
      </c>
    </row>
    <row r="71" spans="1:12" ht="17.100000000000001" customHeight="1">
      <c r="A71" s="163"/>
      <c r="B71" s="1885" t="s">
        <v>193</v>
      </c>
      <c r="C71" s="1885"/>
      <c r="D71" s="170"/>
      <c r="E71" s="193"/>
      <c r="F71" s="193"/>
      <c r="G71" s="166"/>
      <c r="H71" s="178">
        <f>SUM(H50:H70)</f>
        <v>41850.779245568498</v>
      </c>
      <c r="I71" s="168"/>
      <c r="J71" s="178" t="e">
        <f>SUM(J50:J70)</f>
        <v>#REF!</v>
      </c>
      <c r="K71" s="179">
        <f>SUM(K50:K70)</f>
        <v>16839.362617151128</v>
      </c>
      <c r="L71" s="178" t="e">
        <f>SUM(L50:L70)</f>
        <v>#REF!</v>
      </c>
    </row>
    <row r="72" spans="1:12" ht="17.100000000000001" customHeight="1">
      <c r="A72" s="1878" t="s">
        <v>251</v>
      </c>
      <c r="B72" s="1878"/>
      <c r="C72" s="1878"/>
      <c r="D72" s="203"/>
      <c r="E72" s="193"/>
      <c r="F72" s="193"/>
      <c r="G72" s="166"/>
      <c r="H72" s="167"/>
      <c r="I72" s="168"/>
      <c r="J72" s="167"/>
      <c r="K72" s="168"/>
      <c r="L72" s="169"/>
    </row>
    <row r="73" spans="1:12" ht="17.100000000000001" customHeight="1">
      <c r="A73" s="163">
        <v>1</v>
      </c>
      <c r="B73" s="1876" t="str">
        <f>'Direct cost summary '!B16</f>
        <v>Embankment/borrow Hauling</v>
      </c>
      <c r="C73" s="1876"/>
      <c r="D73" s="170" t="s">
        <v>239</v>
      </c>
      <c r="E73" s="204">
        <f>'Direct cost summary '!J16</f>
        <v>18.689999999999998</v>
      </c>
      <c r="F73" s="193">
        <f>'Direct cost summary '!I16</f>
        <v>12.090083615384616</v>
      </c>
      <c r="G73" s="166">
        <f>'Weekly Progress Report'!M122</f>
        <v>1090.1999999999998</v>
      </c>
      <c r="H73" s="167">
        <f t="shared" ref="H73:H78" si="20">G73*E73</f>
        <v>20375.837999999992</v>
      </c>
      <c r="I73" s="168">
        <f>'Weekly Progress Report'!O122</f>
        <v>948</v>
      </c>
      <c r="J73" s="167">
        <f t="shared" ref="J73:J78" si="21">I73*E73</f>
        <v>17718.12</v>
      </c>
      <c r="K73" s="168">
        <f t="shared" ref="K73:K78" si="22">G73*F73</f>
        <v>13180.609157492307</v>
      </c>
      <c r="L73" s="169">
        <f t="shared" ref="L73:L78" si="23">I73*F73</f>
        <v>11461.399267384617</v>
      </c>
    </row>
    <row r="74" spans="1:12" ht="17.100000000000001" customHeight="1">
      <c r="A74" s="163">
        <v>2</v>
      </c>
      <c r="B74" s="1876" t="str">
        <f>'Direct cost summary '!B28</f>
        <v>Capping Hauling-Capping(G20)</v>
      </c>
      <c r="C74" s="1876"/>
      <c r="D74" s="170" t="s">
        <v>239</v>
      </c>
      <c r="E74" s="193">
        <f>'Direct cost summary '!J28</f>
        <v>35.1</v>
      </c>
      <c r="F74" s="193">
        <f>'Direct cost summary '!I28</f>
        <v>14.386523741814596</v>
      </c>
      <c r="G74" s="166">
        <f>'Weekly Progress Report'!M123</f>
        <v>528</v>
      </c>
      <c r="H74" s="167">
        <f t="shared" si="20"/>
        <v>18532.8</v>
      </c>
      <c r="I74" s="168">
        <f>'Weekly Progress Report'!O123</f>
        <v>480</v>
      </c>
      <c r="J74" s="167">
        <f t="shared" si="21"/>
        <v>16848</v>
      </c>
      <c r="K74" s="168">
        <f t="shared" si="22"/>
        <v>7596.0845356781065</v>
      </c>
      <c r="L74" s="169">
        <f t="shared" si="23"/>
        <v>6905.5313960710064</v>
      </c>
    </row>
    <row r="75" spans="1:12" ht="17.100000000000001" customHeight="1">
      <c r="A75" s="163">
        <v>3</v>
      </c>
      <c r="B75" s="1876" t="str">
        <f>'Direct cost summary '!B39</f>
        <v>Subbase Hauling</v>
      </c>
      <c r="C75" s="1876"/>
      <c r="D75" s="170" t="s">
        <v>239</v>
      </c>
      <c r="E75" s="193">
        <f>'Direct cost summary '!J39</f>
        <v>49.000000000000007</v>
      </c>
      <c r="F75" s="193">
        <f>'Direct cost summary '!I39</f>
        <v>22.828731113609471</v>
      </c>
      <c r="G75" s="166">
        <f>'Weekly Progress Report'!M125</f>
        <v>0</v>
      </c>
      <c r="H75" s="167">
        <f t="shared" si="20"/>
        <v>0</v>
      </c>
      <c r="I75" s="168">
        <f>'Weekly Progress Report'!O125</f>
        <v>0</v>
      </c>
      <c r="J75" s="167">
        <f t="shared" si="21"/>
        <v>0</v>
      </c>
      <c r="K75" s="168">
        <f t="shared" si="22"/>
        <v>0</v>
      </c>
      <c r="L75" s="169">
        <f t="shared" si="23"/>
        <v>0</v>
      </c>
    </row>
    <row r="76" spans="1:12" ht="17.100000000000001" customHeight="1">
      <c r="A76" s="163">
        <v>4</v>
      </c>
      <c r="B76" s="1886" t="str">
        <f>'Direct cost summary '!B52</f>
        <v>Backfill material Hauling(Minor)</v>
      </c>
      <c r="C76" s="1886"/>
      <c r="D76" s="170" t="s">
        <v>239</v>
      </c>
      <c r="E76" s="193">
        <f>'Direct cost summary '!J52</f>
        <v>46.25</v>
      </c>
      <c r="F76" s="193">
        <f>'Direct cost summary '!I52</f>
        <v>23.586628915384622</v>
      </c>
      <c r="G76" s="166">
        <f>'Weekly Progress Report'!M126</f>
        <v>0</v>
      </c>
      <c r="H76" s="167">
        <f t="shared" si="20"/>
        <v>0</v>
      </c>
      <c r="I76" s="168">
        <f>'Weekly Progress Report'!O126</f>
        <v>0</v>
      </c>
      <c r="J76" s="167">
        <f t="shared" si="21"/>
        <v>0</v>
      </c>
      <c r="K76" s="168">
        <f t="shared" si="22"/>
        <v>0</v>
      </c>
      <c r="L76" s="169">
        <f t="shared" si="23"/>
        <v>0</v>
      </c>
    </row>
    <row r="77" spans="1:12" ht="17.100000000000001" customHeight="1">
      <c r="A77" s="163">
        <v>5</v>
      </c>
      <c r="B77" s="1876" t="str">
        <f>'Direct cost summary '!B58</f>
        <v>R.C. pipe(dia.36")</v>
      </c>
      <c r="C77" s="1876"/>
      <c r="D77" s="170" t="s">
        <v>252</v>
      </c>
      <c r="E77" s="193">
        <f>'Direct cost summary '!J60</f>
        <v>360</v>
      </c>
      <c r="F77" s="193">
        <f>'Direct cost summary '!I60</f>
        <v>71.763371394230774</v>
      </c>
      <c r="G77" s="166">
        <f>'Weekly Progress Report'!M127</f>
        <v>0</v>
      </c>
      <c r="H77" s="167">
        <f t="shared" si="20"/>
        <v>0</v>
      </c>
      <c r="I77" s="168">
        <f>'Weekly Progress Report'!O127</f>
        <v>0</v>
      </c>
      <c r="J77" s="167">
        <f t="shared" si="21"/>
        <v>0</v>
      </c>
      <c r="K77" s="168">
        <f t="shared" si="22"/>
        <v>0</v>
      </c>
      <c r="L77" s="169">
        <f t="shared" si="23"/>
        <v>0</v>
      </c>
    </row>
    <row r="78" spans="1:12" ht="17.100000000000001" customHeight="1">
      <c r="A78" s="163">
        <v>6</v>
      </c>
      <c r="B78" s="1876" t="str">
        <f>'Direct cost summary '!B66</f>
        <v>R.C. pipe(dia.48")</v>
      </c>
      <c r="C78" s="1876"/>
      <c r="D78" s="170" t="s">
        <v>252</v>
      </c>
      <c r="E78" s="193">
        <f>'Direct cost summary '!J68</f>
        <v>480</v>
      </c>
      <c r="F78" s="193">
        <f>'Direct cost summary '!I68</f>
        <v>72.646033653846146</v>
      </c>
      <c r="G78" s="166">
        <f>'Weekly Progress Report'!M129</f>
        <v>0</v>
      </c>
      <c r="H78" s="167">
        <f t="shared" si="20"/>
        <v>0</v>
      </c>
      <c r="I78" s="168">
        <f>'Weekly Progress Report'!O129</f>
        <v>0</v>
      </c>
      <c r="J78" s="167">
        <f t="shared" si="21"/>
        <v>0</v>
      </c>
      <c r="K78" s="168">
        <f t="shared" si="22"/>
        <v>0</v>
      </c>
      <c r="L78" s="169">
        <f t="shared" si="23"/>
        <v>0</v>
      </c>
    </row>
    <row r="79" spans="1:12" ht="17.100000000000001" customHeight="1">
      <c r="A79" s="163"/>
      <c r="B79" s="1882" t="str">
        <f>B56</f>
        <v>Class "A" Concrete</v>
      </c>
      <c r="C79" s="1882"/>
      <c r="D79" s="170"/>
      <c r="E79" s="193"/>
      <c r="F79" s="193"/>
      <c r="G79" s="166"/>
      <c r="H79" s="167"/>
      <c r="I79" s="168"/>
      <c r="J79" s="167"/>
      <c r="K79" s="168"/>
      <c r="L79" s="169"/>
    </row>
    <row r="80" spans="1:12" ht="17.100000000000001" customHeight="1">
      <c r="A80" s="163">
        <v>7</v>
      </c>
      <c r="B80" s="1876" t="str">
        <f>'Direct cost summary '!B72</f>
        <v>Sand hauling</v>
      </c>
      <c r="C80" s="1876"/>
      <c r="D80" s="170" t="s">
        <v>239</v>
      </c>
      <c r="E80" s="193">
        <f>'Direct cost summary '!J72</f>
        <v>74.034095094277006</v>
      </c>
      <c r="F80" s="193">
        <f>'Direct cost summary '!I72</f>
        <v>28.69165608284024</v>
      </c>
      <c r="G80" s="166">
        <f>'Weekly Progress Report'!M131</f>
        <v>0</v>
      </c>
      <c r="H80" s="167">
        <f t="shared" ref="H80:H85" si="24">G80*E80</f>
        <v>0</v>
      </c>
      <c r="I80" s="168">
        <f>'Weekly Progress Report'!O131</f>
        <v>0</v>
      </c>
      <c r="J80" s="167">
        <f t="shared" ref="J80:J85" si="25">I80*E80</f>
        <v>0</v>
      </c>
      <c r="K80" s="168">
        <f t="shared" ref="K80:K85" si="26">G80*F80</f>
        <v>0</v>
      </c>
      <c r="L80" s="169">
        <f t="shared" ref="L80:L85" si="27">I80*F80</f>
        <v>0</v>
      </c>
    </row>
    <row r="81" spans="1:12" ht="17.100000000000001" customHeight="1">
      <c r="A81" s="163">
        <v>8</v>
      </c>
      <c r="B81" s="1876" t="str">
        <f>'Direct cost summary '!B75</f>
        <v>Stone hauling to crusher</v>
      </c>
      <c r="C81" s="1876"/>
      <c r="D81" s="170" t="s">
        <v>239</v>
      </c>
      <c r="E81" s="193">
        <f>'Direct cost summary '!J75</f>
        <v>86.554124660789554</v>
      </c>
      <c r="F81" s="193">
        <f>'Direct cost summary '!I75</f>
        <v>33.543750000000003</v>
      </c>
      <c r="G81" s="166">
        <f>'Weekly Progress Report'!M132</f>
        <v>0</v>
      </c>
      <c r="H81" s="167">
        <f t="shared" si="24"/>
        <v>0</v>
      </c>
      <c r="I81" s="168">
        <f>'Weekly Progress Report'!O132</f>
        <v>0</v>
      </c>
      <c r="J81" s="167">
        <f t="shared" si="25"/>
        <v>0</v>
      </c>
      <c r="K81" s="168">
        <f t="shared" si="26"/>
        <v>0</v>
      </c>
      <c r="L81" s="169">
        <f t="shared" si="27"/>
        <v>0</v>
      </c>
    </row>
    <row r="82" spans="1:12" ht="17.100000000000001" customHeight="1">
      <c r="A82" s="163">
        <v>9</v>
      </c>
      <c r="B82" s="1876" t="str">
        <f>'Direct cost summary '!B77</f>
        <v>C. agg. Hualing</v>
      </c>
      <c r="C82" s="1876"/>
      <c r="D82" s="170" t="s">
        <v>239</v>
      </c>
      <c r="E82" s="193">
        <f>'Direct cost summary '!J77</f>
        <v>316.33285126144165</v>
      </c>
      <c r="F82" s="193">
        <f>'Direct cost summary '!I77</f>
        <v>122.59369638461538</v>
      </c>
      <c r="G82" s="166">
        <f>'Weekly Progress Report'!M133</f>
        <v>0</v>
      </c>
      <c r="H82" s="167">
        <f t="shared" si="24"/>
        <v>0</v>
      </c>
      <c r="I82" s="168">
        <f>'Weekly Progress Report'!O133</f>
        <v>0</v>
      </c>
      <c r="J82" s="167">
        <f t="shared" si="25"/>
        <v>0</v>
      </c>
      <c r="K82" s="168">
        <f t="shared" si="26"/>
        <v>0</v>
      </c>
      <c r="L82" s="169">
        <f t="shared" si="27"/>
        <v>0</v>
      </c>
    </row>
    <row r="83" spans="1:12" ht="17.100000000000001" customHeight="1">
      <c r="A83" s="163"/>
      <c r="B83" s="1882" t="str">
        <f>B61</f>
        <v>Class "B" Masonry</v>
      </c>
      <c r="C83" s="1882"/>
      <c r="D83" s="170"/>
      <c r="E83" s="193"/>
      <c r="F83" s="193"/>
      <c r="G83" s="166"/>
      <c r="H83" s="167">
        <f t="shared" si="24"/>
        <v>0</v>
      </c>
      <c r="I83" s="168"/>
      <c r="J83" s="167">
        <f t="shared" si="25"/>
        <v>0</v>
      </c>
      <c r="K83" s="168">
        <f t="shared" si="26"/>
        <v>0</v>
      </c>
      <c r="L83" s="169">
        <f t="shared" si="27"/>
        <v>0</v>
      </c>
    </row>
    <row r="84" spans="1:12" ht="17.100000000000001" customHeight="1">
      <c r="A84" s="163">
        <v>10</v>
      </c>
      <c r="B84" s="1876" t="str">
        <f>'Direct cost summary '!B97</f>
        <v>Stone hauling</v>
      </c>
      <c r="C84" s="1876"/>
      <c r="D84" s="170" t="s">
        <v>239</v>
      </c>
      <c r="E84" s="193">
        <f>'Direct cost summary '!J97</f>
        <v>522.8861623801522</v>
      </c>
      <c r="F84" s="193">
        <f>'Direct cost summary '!I97</f>
        <v>142.39982114769234</v>
      </c>
      <c r="G84" s="166">
        <f>'Weekly Progress Report'!M159</f>
        <v>0</v>
      </c>
      <c r="H84" s="167">
        <f t="shared" si="24"/>
        <v>0</v>
      </c>
      <c r="I84" s="168">
        <f>'Weekly Progress Report'!O159</f>
        <v>0</v>
      </c>
      <c r="J84" s="167">
        <f t="shared" si="25"/>
        <v>0</v>
      </c>
      <c r="K84" s="168">
        <f t="shared" si="26"/>
        <v>0</v>
      </c>
      <c r="L84" s="169">
        <f t="shared" si="27"/>
        <v>0</v>
      </c>
    </row>
    <row r="85" spans="1:12" ht="17.100000000000001" customHeight="1">
      <c r="A85" s="163">
        <v>11</v>
      </c>
      <c r="B85" s="1876" t="str">
        <f>'Direct cost summary '!B99</f>
        <v>Sand hauling</v>
      </c>
      <c r="C85" s="1876"/>
      <c r="D85" s="170" t="s">
        <v>239</v>
      </c>
      <c r="E85" s="193">
        <f>'Direct cost summary '!J99</f>
        <v>105.35455607017514</v>
      </c>
      <c r="F85" s="193">
        <f>'Direct cost summary '!I99</f>
        <v>28.691656082840201</v>
      </c>
      <c r="G85" s="166">
        <f>'Weekly Progress Report'!M160</f>
        <v>0</v>
      </c>
      <c r="H85" s="167">
        <f t="shared" si="24"/>
        <v>0</v>
      </c>
      <c r="I85" s="168">
        <f>'Weekly Progress Report'!O160</f>
        <v>0</v>
      </c>
      <c r="J85" s="167">
        <f t="shared" si="25"/>
        <v>0</v>
      </c>
      <c r="K85" s="168">
        <f t="shared" si="26"/>
        <v>0</v>
      </c>
      <c r="L85" s="169">
        <f t="shared" si="27"/>
        <v>0</v>
      </c>
    </row>
    <row r="86" spans="1:12" ht="17.100000000000001" customHeight="1">
      <c r="A86" s="163"/>
      <c r="B86" s="1882" t="str">
        <f>B65</f>
        <v>G.R. paved water way(Paved Ditch)</v>
      </c>
      <c r="C86" s="1882"/>
      <c r="D86" s="170"/>
      <c r="E86" s="193"/>
      <c r="F86" s="193"/>
      <c r="G86" s="166"/>
      <c r="H86" s="167"/>
      <c r="I86" s="168">
        <f>'Weekly Progress Report'!O161</f>
        <v>0</v>
      </c>
      <c r="J86" s="167"/>
      <c r="K86" s="168"/>
      <c r="L86" s="169"/>
    </row>
    <row r="87" spans="1:12" ht="17.100000000000001" customHeight="1">
      <c r="A87" s="163">
        <v>12</v>
      </c>
      <c r="B87" s="1876" t="str">
        <f>'Direct cost summary '!B104</f>
        <v>Stone hauling</v>
      </c>
      <c r="C87" s="1876"/>
      <c r="D87" s="170" t="s">
        <v>239</v>
      </c>
      <c r="E87" s="193">
        <f>'Direct cost summary '!J104</f>
        <v>132.01208804575239</v>
      </c>
      <c r="F87" s="193">
        <f>'Direct cost summary '!I104</f>
        <v>142.39982114769199</v>
      </c>
      <c r="G87" s="166">
        <f>'Weekly Progress Report'!M162</f>
        <v>96</v>
      </c>
      <c r="H87" s="167">
        <f>G87*E87</f>
        <v>12673.160452392229</v>
      </c>
      <c r="I87" s="168">
        <f>'Weekly Progress Report'!O162</f>
        <v>96</v>
      </c>
      <c r="J87" s="167">
        <f>I87*E87</f>
        <v>12673.160452392229</v>
      </c>
      <c r="K87" s="168">
        <f>G87*F87</f>
        <v>13670.382830178431</v>
      </c>
      <c r="L87" s="169">
        <f>I87*F87</f>
        <v>13670.382830178431</v>
      </c>
    </row>
    <row r="88" spans="1:12" ht="17.100000000000001" customHeight="1">
      <c r="A88" s="163">
        <v>13</v>
      </c>
      <c r="B88" s="1876" t="str">
        <f>'Direct cost summary '!B106</f>
        <v>Sand hauling</v>
      </c>
      <c r="C88" s="1876"/>
      <c r="D88" s="170" t="s">
        <v>239</v>
      </c>
      <c r="E88" s="193">
        <f>'Direct cost summary '!J106</f>
        <v>26.598667038057144</v>
      </c>
      <c r="F88" s="193">
        <f>'Direct cost summary '!I106</f>
        <v>28.691656082840201</v>
      </c>
      <c r="G88" s="166">
        <f>'Weekly Progress Report'!M163</f>
        <v>12</v>
      </c>
      <c r="H88" s="167">
        <f>G88*E88</f>
        <v>319.18400445668573</v>
      </c>
      <c r="I88" s="168">
        <f>'Weekly Progress Report'!O163</f>
        <v>12</v>
      </c>
      <c r="J88" s="167">
        <f>I88*E88</f>
        <v>319.18400445668573</v>
      </c>
      <c r="K88" s="168">
        <f>G88*F88</f>
        <v>344.29987299408242</v>
      </c>
      <c r="L88" s="169">
        <f>I88*F88</f>
        <v>344.29987299408242</v>
      </c>
    </row>
    <row r="89" spans="1:12" ht="17.100000000000001" customHeight="1">
      <c r="A89" s="163"/>
      <c r="B89" s="1882" t="s">
        <v>253</v>
      </c>
      <c r="C89" s="1882"/>
      <c r="D89" s="170"/>
      <c r="E89" s="193"/>
      <c r="F89" s="193"/>
      <c r="G89" s="166"/>
      <c r="H89" s="167"/>
      <c r="I89" s="168"/>
      <c r="J89" s="167"/>
      <c r="K89" s="168"/>
      <c r="L89" s="169"/>
    </row>
    <row r="90" spans="1:12" ht="17.100000000000001" customHeight="1">
      <c r="A90" s="163">
        <v>14</v>
      </c>
      <c r="B90" s="1876" t="str">
        <f>'Direct cost summary '!B130</f>
        <v>Granular material Hauling</v>
      </c>
      <c r="C90" s="1876"/>
      <c r="D90" s="170" t="s">
        <v>239</v>
      </c>
      <c r="E90" s="193">
        <f>'Direct cost summary '!J130</f>
        <v>53.2</v>
      </c>
      <c r="F90" s="193">
        <f>'Direct cost summary '!I130</f>
        <v>27.917497844378701</v>
      </c>
      <c r="G90" s="166">
        <f>'Weekly Progress Report'!M165</f>
        <v>144</v>
      </c>
      <c r="H90" s="167">
        <f>G90*E90</f>
        <v>7660.8</v>
      </c>
      <c r="I90" s="168">
        <f>'Weekly Progress Report'!O165</f>
        <v>144</v>
      </c>
      <c r="J90" s="167">
        <f>I90*E90</f>
        <v>7660.8</v>
      </c>
      <c r="K90" s="168">
        <f>G90*F90</f>
        <v>4020.1196895905332</v>
      </c>
      <c r="L90" s="169">
        <f>I90*F90</f>
        <v>4020.1196895905332</v>
      </c>
    </row>
    <row r="91" spans="1:12" ht="17.100000000000001" customHeight="1">
      <c r="A91" s="163"/>
      <c r="B91" s="1885" t="s">
        <v>193</v>
      </c>
      <c r="C91" s="1885"/>
      <c r="D91" s="170"/>
      <c r="E91" s="193"/>
      <c r="F91" s="193"/>
      <c r="G91" s="166"/>
      <c r="H91" s="178">
        <f>SUM(H73:H90)</f>
        <v>59561.782456848909</v>
      </c>
      <c r="I91" s="168"/>
      <c r="J91" s="178">
        <f>SUM(J73:J90)</f>
        <v>55219.264456848912</v>
      </c>
      <c r="K91" s="179">
        <f>SUM(K73:K90)</f>
        <v>38811.496085933453</v>
      </c>
      <c r="L91" s="205">
        <f>SUM(L73:L90)</f>
        <v>36401.733056218669</v>
      </c>
    </row>
    <row r="92" spans="1:12" ht="17.100000000000001" customHeight="1">
      <c r="A92" s="163"/>
      <c r="B92" s="1890" t="s">
        <v>65</v>
      </c>
      <c r="C92" s="1890"/>
      <c r="D92" s="206"/>
      <c r="E92" s="193"/>
      <c r="F92" s="193"/>
      <c r="G92" s="166"/>
      <c r="H92" s="167"/>
      <c r="I92" s="168"/>
      <c r="J92" s="167"/>
      <c r="K92" s="207"/>
      <c r="L92" s="169"/>
    </row>
    <row r="93" spans="1:12" ht="15.75">
      <c r="A93" s="1888" t="s">
        <v>254</v>
      </c>
      <c r="B93" s="1888"/>
      <c r="C93" s="1888"/>
      <c r="D93" s="170" t="s">
        <v>255</v>
      </c>
      <c r="E93" s="188">
        <f>'Direct cost summary '!J78</f>
        <v>598.0036549527822</v>
      </c>
      <c r="F93" s="188">
        <f>'Direct cost summary '!I78</f>
        <v>231.75423677884621</v>
      </c>
      <c r="G93" s="166">
        <f>'Weekly Progress Report'!M169</f>
        <v>0</v>
      </c>
      <c r="H93" s="167">
        <f>G93*E93</f>
        <v>0</v>
      </c>
      <c r="I93" s="168">
        <f>'Weekly Progress Report'!O169</f>
        <v>0</v>
      </c>
      <c r="J93" s="167">
        <f>I93*E93</f>
        <v>0</v>
      </c>
      <c r="K93" s="168">
        <f>G93*F93</f>
        <v>0</v>
      </c>
      <c r="L93" s="169">
        <f>I93*F93</f>
        <v>0</v>
      </c>
    </row>
    <row r="94" spans="1:12" ht="15.75">
      <c r="A94" s="1888" t="s">
        <v>256</v>
      </c>
      <c r="B94" s="1888"/>
      <c r="C94" s="1888"/>
      <c r="D94" s="170" t="s">
        <v>255</v>
      </c>
      <c r="E94" s="188" t="e">
        <f>'Direct cost summary '!#REF!</f>
        <v>#REF!</v>
      </c>
      <c r="F94" s="188" t="e">
        <f>'Direct cost summary '!#REF!</f>
        <v>#REF!</v>
      </c>
      <c r="G94" s="166">
        <f>'Weekly Progress Report'!M170</f>
        <v>0</v>
      </c>
      <c r="H94" s="167" t="e">
        <f>G94*E94</f>
        <v>#REF!</v>
      </c>
      <c r="I94" s="168">
        <f>'Weekly Progress Report'!O170</f>
        <v>0</v>
      </c>
      <c r="J94" s="167" t="e">
        <f>I94*E94</f>
        <v>#REF!</v>
      </c>
      <c r="K94" s="168" t="e">
        <f>G94*F94</f>
        <v>#REF!</v>
      </c>
      <c r="L94" s="169" t="e">
        <f>I94*F94</f>
        <v>#REF!</v>
      </c>
    </row>
    <row r="95" spans="1:12" ht="15.75">
      <c r="A95" s="1888" t="s">
        <v>257</v>
      </c>
      <c r="B95" s="1888"/>
      <c r="C95" s="1888"/>
      <c r="D95" s="170" t="s">
        <v>255</v>
      </c>
      <c r="E95" s="188">
        <f>'Direct cost summary '!J140</f>
        <v>126.16564843828195</v>
      </c>
      <c r="F95" s="188">
        <f>'Direct cost summary '!I140</f>
        <v>39.727534615384599</v>
      </c>
      <c r="G95" s="166">
        <f>'Weekly Progress Report'!M171</f>
        <v>0</v>
      </c>
      <c r="H95" s="167">
        <f>G95*E95</f>
        <v>0</v>
      </c>
      <c r="I95" s="168">
        <f>'Weekly Progress Report'!O171</f>
        <v>0</v>
      </c>
      <c r="J95" s="167">
        <f>I95*E95</f>
        <v>0</v>
      </c>
      <c r="K95" s="168">
        <f>G95*F95</f>
        <v>0</v>
      </c>
      <c r="L95" s="169">
        <f>I95*F95</f>
        <v>0</v>
      </c>
    </row>
    <row r="96" spans="1:12" ht="18.75">
      <c r="A96" s="208"/>
      <c r="B96" s="1885" t="s">
        <v>193</v>
      </c>
      <c r="C96" s="1885"/>
      <c r="D96" s="170"/>
      <c r="E96" s="188"/>
      <c r="F96" s="188"/>
      <c r="G96" s="166"/>
      <c r="H96" s="167" t="e">
        <f>H93+H94+H95</f>
        <v>#REF!</v>
      </c>
      <c r="I96" s="168"/>
      <c r="J96" s="167" t="e">
        <f>J93+J94+J95</f>
        <v>#REF!</v>
      </c>
      <c r="K96" s="207" t="e">
        <f>K93+K94+K95</f>
        <v>#REF!</v>
      </c>
      <c r="L96" s="169" t="e">
        <f>L93+L94+L95</f>
        <v>#REF!</v>
      </c>
    </row>
    <row r="97" spans="1:12" ht="20.25">
      <c r="A97" s="1891" t="s">
        <v>224</v>
      </c>
      <c r="B97" s="1891"/>
      <c r="C97" s="1891"/>
      <c r="D97" s="176"/>
      <c r="E97" s="177"/>
      <c r="F97" s="177"/>
      <c r="G97" s="166"/>
      <c r="H97" s="178" t="e">
        <f>H71+H48+H91+H96</f>
        <v>#REF!</v>
      </c>
      <c r="I97" s="168"/>
      <c r="J97" s="178" t="e">
        <f>J71+J48+J91+J96</f>
        <v>#REF!</v>
      </c>
      <c r="K97" s="179" t="e">
        <f>K71+K48+K91+K96</f>
        <v>#REF!</v>
      </c>
      <c r="L97" s="205" t="e">
        <f>L71+L48+L91+L96</f>
        <v>#REF!</v>
      </c>
    </row>
    <row r="98" spans="1:12" ht="18.75">
      <c r="A98" s="1877" t="s">
        <v>258</v>
      </c>
      <c r="B98" s="1877"/>
      <c r="C98" s="1877"/>
      <c r="D98" s="176"/>
      <c r="E98" s="177"/>
      <c r="F98" s="177"/>
      <c r="G98" s="166"/>
      <c r="H98" s="167"/>
      <c r="I98" s="168"/>
      <c r="J98" s="167"/>
      <c r="K98" s="168"/>
      <c r="L98" s="169"/>
    </row>
    <row r="99" spans="1:12" ht="15.75">
      <c r="A99" s="1887" t="s">
        <v>259</v>
      </c>
      <c r="B99" s="1887"/>
      <c r="C99" s="1887"/>
      <c r="D99" s="170" t="s">
        <v>255</v>
      </c>
      <c r="E99" s="177"/>
      <c r="F99" s="177"/>
      <c r="G99" s="166">
        <f>'Weekly Progress Report'!M175</f>
        <v>0</v>
      </c>
      <c r="H99" s="167">
        <f>G99*E99</f>
        <v>0</v>
      </c>
      <c r="I99" s="168">
        <f>'Weekly Progress Report'!O175</f>
        <v>0</v>
      </c>
      <c r="J99" s="167">
        <f>I99*E99</f>
        <v>0</v>
      </c>
      <c r="K99" s="168">
        <f>G99*F99</f>
        <v>0</v>
      </c>
      <c r="L99" s="169">
        <f>I99*F99</f>
        <v>0</v>
      </c>
    </row>
    <row r="100" spans="1:12" ht="15.75">
      <c r="A100" s="1888" t="s">
        <v>260</v>
      </c>
      <c r="B100" s="1888"/>
      <c r="C100" s="1888"/>
      <c r="D100" s="170" t="s">
        <v>261</v>
      </c>
      <c r="E100" s="177"/>
      <c r="F100" s="177"/>
      <c r="G100" s="166">
        <f>'Weekly Progress Report'!M176</f>
        <v>0</v>
      </c>
      <c r="H100" s="167">
        <f>G100*E100</f>
        <v>0</v>
      </c>
      <c r="I100" s="168">
        <f>'Weekly Progress Report'!O176</f>
        <v>0</v>
      </c>
      <c r="J100" s="167">
        <f>I100*E100</f>
        <v>0</v>
      </c>
      <c r="K100" s="168">
        <f>G100*F100</f>
        <v>0</v>
      </c>
      <c r="L100" s="169">
        <f>I100*F100</f>
        <v>0</v>
      </c>
    </row>
    <row r="101" spans="1:12" ht="15.75">
      <c r="A101" s="1888" t="s">
        <v>262</v>
      </c>
      <c r="B101" s="1888"/>
      <c r="C101" s="1888"/>
      <c r="D101" s="170" t="s">
        <v>263</v>
      </c>
      <c r="E101" s="177"/>
      <c r="F101" s="177"/>
      <c r="G101" s="166">
        <f>'Weekly Progress Report'!M177</f>
        <v>0</v>
      </c>
      <c r="H101" s="167">
        <f>G101*E101</f>
        <v>0</v>
      </c>
      <c r="I101" s="168">
        <f>'Weekly Progress Report'!O177</f>
        <v>0</v>
      </c>
      <c r="J101" s="167">
        <f>I101*E101</f>
        <v>0</v>
      </c>
      <c r="K101" s="168">
        <f>G101*F101</f>
        <v>0</v>
      </c>
      <c r="L101" s="169">
        <f>I101*F101</f>
        <v>0</v>
      </c>
    </row>
    <row r="102" spans="1:12" ht="15.75">
      <c r="A102" s="1888"/>
      <c r="B102" s="1888"/>
      <c r="C102" s="1888"/>
      <c r="D102" s="170"/>
      <c r="E102" s="188"/>
      <c r="F102" s="188"/>
      <c r="G102" s="166"/>
      <c r="H102" s="167">
        <f>G102*E102</f>
        <v>0</v>
      </c>
      <c r="I102" s="168"/>
      <c r="J102" s="167">
        <f>I102*E102</f>
        <v>0</v>
      </c>
      <c r="K102" s="168">
        <f>G102*F102</f>
        <v>0</v>
      </c>
      <c r="L102" s="169">
        <f>I102*F102</f>
        <v>0</v>
      </c>
    </row>
    <row r="103" spans="1:12" ht="15.75">
      <c r="A103" s="1888"/>
      <c r="B103" s="1888"/>
      <c r="C103" s="1888"/>
      <c r="D103" s="170"/>
      <c r="E103" s="188"/>
      <c r="F103" s="188"/>
      <c r="G103" s="166"/>
      <c r="H103" s="167">
        <f>G103*E103</f>
        <v>0</v>
      </c>
      <c r="I103" s="168"/>
      <c r="J103" s="167">
        <f>I103*E103</f>
        <v>0</v>
      </c>
      <c r="K103" s="168">
        <f>G103*F103</f>
        <v>0</v>
      </c>
      <c r="L103" s="169">
        <f>I103*F103</f>
        <v>0</v>
      </c>
    </row>
    <row r="104" spans="1:12" ht="15.75">
      <c r="A104" s="1889"/>
      <c r="B104" s="1889"/>
      <c r="C104" s="1889"/>
      <c r="D104" s="209"/>
      <c r="E104" s="210"/>
      <c r="F104" s="211"/>
      <c r="G104" s="212"/>
      <c r="H104" s="213"/>
      <c r="I104" s="214"/>
      <c r="J104" s="215"/>
      <c r="K104" s="214"/>
      <c r="L104" s="216"/>
    </row>
  </sheetData>
  <mergeCells count="108">
    <mergeCell ref="A98:C98"/>
    <mergeCell ref="A99:C99"/>
    <mergeCell ref="A100:C100"/>
    <mergeCell ref="A101:C101"/>
    <mergeCell ref="A102:C102"/>
    <mergeCell ref="A103:C103"/>
    <mergeCell ref="A104:C104"/>
    <mergeCell ref="B89:C89"/>
    <mergeCell ref="B90:C90"/>
    <mergeCell ref="B91:C91"/>
    <mergeCell ref="B92:C92"/>
    <mergeCell ref="A93:C93"/>
    <mergeCell ref="A94:C94"/>
    <mergeCell ref="A95:C95"/>
    <mergeCell ref="B96:C96"/>
    <mergeCell ref="A97:C97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71:C71"/>
    <mergeCell ref="A72:C72"/>
    <mergeCell ref="B73:C73"/>
    <mergeCell ref="B74:C74"/>
    <mergeCell ref="B75:C75"/>
    <mergeCell ref="B76:C76"/>
    <mergeCell ref="B77:C77"/>
    <mergeCell ref="B78:C78"/>
    <mergeCell ref="B79:C79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44:C44"/>
    <mergeCell ref="B45:C45"/>
    <mergeCell ref="B46:C46"/>
    <mergeCell ref="A47:C47"/>
    <mergeCell ref="A48:C48"/>
    <mergeCell ref="A49:C49"/>
    <mergeCell ref="B50:C50"/>
    <mergeCell ref="B51:C51"/>
    <mergeCell ref="B52:C52"/>
    <mergeCell ref="B35:C35"/>
    <mergeCell ref="B36:C36"/>
    <mergeCell ref="B37:C37"/>
    <mergeCell ref="B38:C38"/>
    <mergeCell ref="B39:C39"/>
    <mergeCell ref="B40:C40"/>
    <mergeCell ref="B41:C41"/>
    <mergeCell ref="A42:C42"/>
    <mergeCell ref="A43:C43"/>
    <mergeCell ref="B26:C26"/>
    <mergeCell ref="B27:C27"/>
    <mergeCell ref="B28:C28"/>
    <mergeCell ref="B29:C29"/>
    <mergeCell ref="B30:C30"/>
    <mergeCell ref="B31:C31"/>
    <mergeCell ref="A32:C32"/>
    <mergeCell ref="A33:C33"/>
    <mergeCell ref="B34:C34"/>
    <mergeCell ref="A17:C17"/>
    <mergeCell ref="A18:C18"/>
    <mergeCell ref="B19:C19"/>
    <mergeCell ref="A20:C20"/>
    <mergeCell ref="A21:C21"/>
    <mergeCell ref="B22:C22"/>
    <mergeCell ref="B23:C23"/>
    <mergeCell ref="B24:C24"/>
    <mergeCell ref="B25:C25"/>
    <mergeCell ref="A8:C8"/>
    <mergeCell ref="B9:C9"/>
    <mergeCell ref="B10:C10"/>
    <mergeCell ref="B11:C11"/>
    <mergeCell ref="B12:C12"/>
    <mergeCell ref="B13:C13"/>
    <mergeCell ref="B14:C14"/>
    <mergeCell ref="B15:C15"/>
    <mergeCell ref="B16:C16"/>
    <mergeCell ref="A1:O1"/>
    <mergeCell ref="A2:O2"/>
    <mergeCell ref="A3:O3"/>
    <mergeCell ref="B6:C7"/>
    <mergeCell ref="D6:D7"/>
    <mergeCell ref="E6:E7"/>
    <mergeCell ref="F6:F7"/>
    <mergeCell ref="G6:H6"/>
    <mergeCell ref="I6:J6"/>
    <mergeCell ref="K6:L6"/>
    <mergeCell ref="J4:M4"/>
  </mergeCells>
  <pageMargins left="0.99027777777777803" right="0.22013888888888899" top="0.57013888888888897" bottom="0.24027777777777801" header="0.51180555555555496" footer="0.51180555555555496"/>
  <pageSetup paperSize="9" firstPageNumber="0" orientation="portrait" r:id="rId1"/>
  <rowBreaks count="2" manualBreakCount="2">
    <brk id="86" max="16383" man="1"/>
    <brk id="127" max="16383" man="1"/>
  </rowBreaks>
  <colBreaks count="1" manualBreakCount="1">
    <brk id="23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20"/>
  <sheetViews>
    <sheetView topLeftCell="A7" zoomScalePageLayoutView="60" workbookViewId="0">
      <selection activeCell="D19" sqref="D19"/>
    </sheetView>
  </sheetViews>
  <sheetFormatPr defaultRowHeight="15"/>
  <cols>
    <col min="1" max="1" width="9" style="1"/>
    <col min="2" max="2" width="37.7109375" style="2"/>
    <col min="3" max="3" width="5.7109375" style="1"/>
    <col min="4" max="4" width="9.140625" style="3"/>
    <col min="5" max="5" width="11.7109375" style="3"/>
    <col min="6" max="6" width="12.28515625" style="4"/>
    <col min="7" max="7" width="11.28515625" style="4"/>
    <col min="8" max="8" width="11.7109375" style="4"/>
    <col min="9" max="9" width="16.42578125" style="4"/>
    <col min="10" max="10" width="20.42578125" style="4"/>
    <col min="11" max="11" width="12.140625" style="2" customWidth="1"/>
    <col min="12" max="12" width="10.140625" style="2"/>
    <col min="13" max="14" width="8.5703125" style="2"/>
    <col min="15" max="15" width="6.28515625" style="2"/>
    <col min="16" max="16" width="18.140625" style="2" customWidth="1"/>
    <col min="17" max="19" width="8.5703125" style="2"/>
    <col min="20" max="20" width="8.7109375" style="2"/>
    <col min="21" max="1025" width="8.5703125" style="2"/>
  </cols>
  <sheetData>
    <row r="1" spans="1:16" s="5" customFormat="1" ht="26.25" customHeight="1">
      <c r="A1" s="4" t="s">
        <v>614</v>
      </c>
      <c r="B1" s="4"/>
      <c r="C1" s="4"/>
      <c r="D1" s="4"/>
      <c r="E1" s="4"/>
      <c r="F1" s="4"/>
      <c r="G1" s="4"/>
      <c r="H1" s="4"/>
      <c r="I1" s="4"/>
      <c r="J1" s="4"/>
      <c r="O1" s="6"/>
    </row>
    <row r="2" spans="1:16" s="5" customFormat="1" ht="24.75" customHeight="1">
      <c r="A2" s="4" t="s">
        <v>679</v>
      </c>
      <c r="B2" s="4"/>
      <c r="C2" s="4"/>
      <c r="D2" s="4"/>
      <c r="E2" s="4"/>
      <c r="F2" s="4"/>
      <c r="G2" s="4"/>
      <c r="H2" s="4"/>
      <c r="I2" s="4"/>
      <c r="J2" s="4"/>
      <c r="O2" s="6"/>
    </row>
    <row r="3" spans="1:16" s="5" customFormat="1">
      <c r="A3" s="4" t="s">
        <v>0</v>
      </c>
      <c r="B3" s="4"/>
      <c r="C3" s="4"/>
      <c r="D3" s="4"/>
      <c r="E3" s="4"/>
      <c r="F3" s="4"/>
      <c r="G3" s="4"/>
      <c r="H3" s="4"/>
      <c r="I3" s="4"/>
      <c r="J3" s="4"/>
      <c r="O3" s="6"/>
    </row>
    <row r="4" spans="1:16" ht="15.75" customHeight="1">
      <c r="A4" s="7"/>
      <c r="B4" s="7"/>
      <c r="C4" s="7"/>
      <c r="D4" s="8"/>
      <c r="E4" s="8"/>
      <c r="F4" s="1892"/>
      <c r="G4" s="1892"/>
      <c r="H4" s="9"/>
      <c r="I4" s="10" t="s">
        <v>1</v>
      </c>
      <c r="J4" s="10" t="s">
        <v>660</v>
      </c>
      <c r="K4" s="11"/>
      <c r="L4" s="12"/>
      <c r="M4" s="13"/>
    </row>
    <row r="5" spans="1:16" ht="18.75" customHeight="1">
      <c r="A5" s="1893"/>
      <c r="B5" s="1893"/>
      <c r="C5" s="7"/>
      <c r="D5" s="8"/>
      <c r="E5" s="8"/>
      <c r="F5" s="1892"/>
      <c r="G5" s="1892"/>
      <c r="H5" s="14"/>
      <c r="I5" s="15" t="s">
        <v>2</v>
      </c>
      <c r="J5" s="599">
        <v>2007</v>
      </c>
      <c r="M5" s="12"/>
    </row>
    <row r="6" spans="1:16" s="5" customFormat="1" ht="14.25" customHeight="1">
      <c r="A6" s="16"/>
      <c r="B6" s="16"/>
      <c r="C6" s="1899"/>
      <c r="D6" s="1899"/>
      <c r="E6" s="1899"/>
      <c r="F6" s="1899"/>
      <c r="G6" s="17"/>
      <c r="H6" s="18"/>
      <c r="I6" s="18"/>
      <c r="J6" s="18"/>
      <c r="K6" s="19"/>
    </row>
    <row r="7" spans="1:16" ht="24.75" customHeight="1">
      <c r="A7" s="1894" t="s">
        <v>3</v>
      </c>
      <c r="B7" s="1895" t="s">
        <v>4</v>
      </c>
      <c r="C7" s="1895" t="s">
        <v>5</v>
      </c>
      <c r="D7" s="1896" t="s">
        <v>6</v>
      </c>
      <c r="E7" s="1896"/>
      <c r="F7" s="1897" t="s">
        <v>7</v>
      </c>
      <c r="G7" s="1897"/>
      <c r="H7" s="1897"/>
      <c r="I7" s="1897"/>
      <c r="J7" s="4" t="s">
        <v>8</v>
      </c>
    </row>
    <row r="8" spans="1:16" ht="20.25" customHeight="1">
      <c r="A8" s="1894"/>
      <c r="B8" s="1895"/>
      <c r="C8" s="1895"/>
      <c r="D8" s="20" t="s">
        <v>9</v>
      </c>
      <c r="E8" s="20" t="s">
        <v>10</v>
      </c>
      <c r="F8" s="21" t="s">
        <v>11</v>
      </c>
      <c r="G8" s="21" t="s">
        <v>12</v>
      </c>
      <c r="H8" s="21" t="s">
        <v>13</v>
      </c>
      <c r="I8" s="22" t="s">
        <v>14</v>
      </c>
      <c r="J8" s="4"/>
    </row>
    <row r="9" spans="1:16" ht="24.75" customHeight="1">
      <c r="A9" s="23"/>
      <c r="B9" s="24" t="s">
        <v>15</v>
      </c>
      <c r="C9" s="25"/>
      <c r="D9" s="26"/>
      <c r="E9" s="26"/>
      <c r="F9" s="27"/>
      <c r="G9" s="27"/>
      <c r="H9" s="27"/>
      <c r="I9" s="28"/>
      <c r="J9" s="29"/>
    </row>
    <row r="10" spans="1:16" ht="24.75" customHeight="1">
      <c r="A10" s="30">
        <v>1200</v>
      </c>
      <c r="B10" s="31" t="s">
        <v>16</v>
      </c>
      <c r="C10" s="32" t="s">
        <v>17</v>
      </c>
      <c r="D10" s="33">
        <v>0.43</v>
      </c>
      <c r="E10" s="33">
        <f>D10*8</f>
        <v>3.44</v>
      </c>
      <c r="F10" s="34">
        <v>0</v>
      </c>
      <c r="G10" s="34">
        <v>0</v>
      </c>
      <c r="H10" s="34">
        <v>0</v>
      </c>
      <c r="I10" s="35">
        <f>F10+G10+H10</f>
        <v>0</v>
      </c>
      <c r="J10" s="36">
        <v>23000</v>
      </c>
    </row>
    <row r="11" spans="1:16" ht="24.75" customHeight="1">
      <c r="A11" s="23"/>
      <c r="B11" s="24" t="s">
        <v>18</v>
      </c>
      <c r="C11" s="25"/>
      <c r="D11" s="26"/>
      <c r="E11" s="26"/>
      <c r="F11" s="27"/>
      <c r="G11" s="27"/>
      <c r="H11" s="27"/>
      <c r="I11" s="28"/>
      <c r="J11" s="29"/>
    </row>
    <row r="12" spans="1:16" ht="24.75" customHeight="1">
      <c r="A12" s="30">
        <v>21.01</v>
      </c>
      <c r="B12" s="31" t="s">
        <v>19</v>
      </c>
      <c r="C12" s="32" t="s">
        <v>20</v>
      </c>
      <c r="D12" s="33">
        <v>0.1275</v>
      </c>
      <c r="E12" s="33">
        <f>D12*8</f>
        <v>1.02</v>
      </c>
      <c r="F12" s="34">
        <v>0</v>
      </c>
      <c r="G12" s="34">
        <v>0</v>
      </c>
      <c r="H12" s="34">
        <v>0</v>
      </c>
      <c r="I12" s="35">
        <f>F12+G12+H12</f>
        <v>0</v>
      </c>
      <c r="J12" s="36">
        <v>35000</v>
      </c>
      <c r="K12" s="596">
        <v>35000</v>
      </c>
    </row>
    <row r="13" spans="1:16" ht="24.75" customHeight="1">
      <c r="A13" s="23"/>
      <c r="B13" s="24" t="s">
        <v>21</v>
      </c>
      <c r="C13" s="25"/>
      <c r="D13" s="26"/>
      <c r="E13" s="26"/>
      <c r="F13" s="27"/>
      <c r="G13" s="27"/>
      <c r="H13" s="27"/>
      <c r="I13" s="28"/>
      <c r="J13" s="29"/>
    </row>
    <row r="14" spans="1:16" ht="24.75" customHeight="1">
      <c r="A14" s="37">
        <v>42.01</v>
      </c>
      <c r="B14" s="38" t="s">
        <v>22</v>
      </c>
      <c r="C14" s="39"/>
      <c r="D14" s="40"/>
      <c r="E14" s="40"/>
      <c r="F14" s="41">
        <f>SUM(F15:F18)</f>
        <v>16.088455664860039</v>
      </c>
      <c r="G14" s="41">
        <f>SUM(G15:G18)</f>
        <v>2.676166800707243</v>
      </c>
      <c r="H14" s="41">
        <f>SUM(H15:H18)</f>
        <v>37.539580279286099</v>
      </c>
      <c r="I14" s="42">
        <f>SUM(I15:I18)</f>
        <v>56.304202744853391</v>
      </c>
      <c r="J14" s="43">
        <v>89</v>
      </c>
      <c r="K14" s="2">
        <v>89</v>
      </c>
      <c r="L14" s="44">
        <f>SUM(L15:L18)</f>
        <v>16.088455664860039</v>
      </c>
      <c r="M14" s="44">
        <f>SUM(M15:M18)</f>
        <v>2.676166800707243</v>
      </c>
      <c r="N14" s="44">
        <f>SUM(N15:N18)</f>
        <v>37.539580279286099</v>
      </c>
    </row>
    <row r="15" spans="1:16" ht="24.75" customHeight="1">
      <c r="A15" s="45" t="s">
        <v>23</v>
      </c>
      <c r="B15" s="46" t="s">
        <v>24</v>
      </c>
      <c r="C15" s="46" t="s">
        <v>25</v>
      </c>
      <c r="D15" s="47">
        <v>85</v>
      </c>
      <c r="E15" s="47">
        <f>D15*8</f>
        <v>680</v>
      </c>
      <c r="F15" s="47">
        <v>3.7691047058823499</v>
      </c>
      <c r="G15" s="47">
        <v>0.37118212669683298</v>
      </c>
      <c r="H15" s="47">
        <v>10.088235294117601</v>
      </c>
      <c r="I15" s="48">
        <f>F15+G15+H15</f>
        <v>14.228522126696785</v>
      </c>
      <c r="J15" s="49">
        <f>0.25*J14</f>
        <v>22.25</v>
      </c>
      <c r="L15" s="47">
        <v>3.7691047058823499</v>
      </c>
      <c r="M15" s="47">
        <v>0.37118212669683298</v>
      </c>
      <c r="N15" s="47">
        <v>10.088235294117601</v>
      </c>
      <c r="O15" s="50">
        <f>L15/L$14</f>
        <v>0.23427386595686275</v>
      </c>
      <c r="P15" s="51">
        <f>M15/M14</f>
        <v>0.1386991747295942</v>
      </c>
    </row>
    <row r="16" spans="1:16" ht="24.75" customHeight="1">
      <c r="A16" s="45" t="s">
        <v>23</v>
      </c>
      <c r="B16" s="46" t="s">
        <v>26</v>
      </c>
      <c r="C16" s="46" t="s">
        <v>25</v>
      </c>
      <c r="D16" s="47">
        <v>100</v>
      </c>
      <c r="E16" s="47">
        <f>D16*8</f>
        <v>800</v>
      </c>
      <c r="F16" s="47">
        <v>3.7231364999999998</v>
      </c>
      <c r="G16" s="47">
        <v>0.59194711538461597</v>
      </c>
      <c r="H16" s="47">
        <v>7.7750000000000004</v>
      </c>
      <c r="I16" s="48">
        <f>F16+G16+H16</f>
        <v>12.090083615384616</v>
      </c>
      <c r="J16" s="49">
        <f>0.21*J14</f>
        <v>18.689999999999998</v>
      </c>
      <c r="L16" s="47">
        <v>3.7231364999999998</v>
      </c>
      <c r="M16" s="47">
        <v>0.59194711538461597</v>
      </c>
      <c r="N16" s="47">
        <v>7.7750000000000004</v>
      </c>
      <c r="O16" s="50">
        <f>L16/L$14</f>
        <v>0.23141664915247098</v>
      </c>
    </row>
    <row r="17" spans="1:1025" ht="33" customHeight="1">
      <c r="A17" s="45" t="s">
        <v>23</v>
      </c>
      <c r="B17" s="52" t="s">
        <v>27</v>
      </c>
      <c r="C17" s="46" t="s">
        <v>25</v>
      </c>
      <c r="D17" s="53">
        <v>68</v>
      </c>
      <c r="E17" s="47">
        <f>D17*8</f>
        <v>544</v>
      </c>
      <c r="F17" s="47">
        <v>5.3236093137254903</v>
      </c>
      <c r="G17" s="47">
        <v>1.4847285067873299</v>
      </c>
      <c r="H17" s="47">
        <v>15.328431372549</v>
      </c>
      <c r="I17" s="48">
        <f>F17+G17+H17</f>
        <v>22.13676919306182</v>
      </c>
      <c r="J17" s="54">
        <f>0.39*J14</f>
        <v>34.71</v>
      </c>
      <c r="L17" s="47">
        <v>5.3236093137254903</v>
      </c>
      <c r="M17" s="47">
        <v>1.4847285067873299</v>
      </c>
      <c r="N17" s="47">
        <v>15.328431372549</v>
      </c>
      <c r="O17" s="50">
        <f>L17/L$14</f>
        <v>0.33089622923554873</v>
      </c>
    </row>
    <row r="18" spans="1:1025" ht="33" customHeight="1">
      <c r="A18" s="45" t="s">
        <v>23</v>
      </c>
      <c r="B18" s="52" t="s">
        <v>28</v>
      </c>
      <c r="C18" s="46" t="s">
        <v>25</v>
      </c>
      <c r="D18" s="53">
        <v>484.33</v>
      </c>
      <c r="E18" s="47">
        <f>D18*8</f>
        <v>3874.64</v>
      </c>
      <c r="F18" s="47">
        <v>3.2726051452522</v>
      </c>
      <c r="G18" s="47">
        <v>0.22830905183846401</v>
      </c>
      <c r="H18" s="47">
        <v>4.3479136126195002</v>
      </c>
      <c r="I18" s="48">
        <f>F18+G18+H18</f>
        <v>7.8488278097101638</v>
      </c>
      <c r="J18" s="49">
        <f>0.15*J14</f>
        <v>13.35</v>
      </c>
      <c r="L18" s="47">
        <v>3.2726051452522</v>
      </c>
      <c r="M18" s="47">
        <v>0.22830905183846401</v>
      </c>
      <c r="N18" s="47">
        <v>4.3479136126195002</v>
      </c>
      <c r="O18" s="50">
        <f>L18/L$14</f>
        <v>0.20341325565511759</v>
      </c>
    </row>
    <row r="19" spans="1:1025" s="85" customFormat="1" ht="33" customHeight="1">
      <c r="A19" s="45"/>
      <c r="B19" s="52" t="s">
        <v>757</v>
      </c>
      <c r="C19" s="46" t="s">
        <v>78</v>
      </c>
      <c r="D19" s="53"/>
      <c r="E19" s="47"/>
      <c r="F19" s="47"/>
      <c r="G19" s="47"/>
      <c r="H19" s="47"/>
      <c r="I19" s="48"/>
      <c r="J19" s="49">
        <v>20</v>
      </c>
      <c r="K19" s="2"/>
      <c r="L19" s="761"/>
      <c r="M19" s="761"/>
      <c r="N19" s="761"/>
      <c r="O19" s="50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</row>
    <row r="20" spans="1:1025" ht="24.75" customHeight="1">
      <c r="A20" s="37" t="s">
        <v>29</v>
      </c>
      <c r="B20" s="38" t="s">
        <v>30</v>
      </c>
      <c r="C20" s="46"/>
      <c r="D20" s="47"/>
      <c r="E20" s="47"/>
      <c r="F20" s="55">
        <f>SUM(F21:F21)</f>
        <v>4.8048244705882404</v>
      </c>
      <c r="G20" s="55">
        <f>SUM(G21:G21)</f>
        <v>0.671191553544495</v>
      </c>
      <c r="H20" s="55">
        <f>SUM(H21:H21)</f>
        <v>13.4509803921569</v>
      </c>
      <c r="I20" s="56">
        <f>SUM(I21:I21)</f>
        <v>18.926996416289636</v>
      </c>
      <c r="J20" s="57"/>
    </row>
    <row r="21" spans="1:1025" ht="34.5" customHeight="1">
      <c r="A21" s="45" t="s">
        <v>29</v>
      </c>
      <c r="B21" s="52" t="s">
        <v>552</v>
      </c>
      <c r="C21" s="46" t="s">
        <v>25</v>
      </c>
      <c r="D21" s="47">
        <v>102</v>
      </c>
      <c r="E21" s="47">
        <f>D21*8</f>
        <v>816</v>
      </c>
      <c r="F21" s="47">
        <v>4.8048244705882404</v>
      </c>
      <c r="G21" s="47">
        <v>0.671191553544495</v>
      </c>
      <c r="H21" s="47">
        <v>13.4509803921569</v>
      </c>
      <c r="I21" s="48">
        <f>F21+G21+H21</f>
        <v>18.926996416289636</v>
      </c>
      <c r="J21" s="49">
        <v>88</v>
      </c>
      <c r="K21" s="2">
        <v>88</v>
      </c>
    </row>
    <row r="22" spans="1:1025" s="85" customFormat="1" ht="24.75" hidden="1" customHeight="1">
      <c r="A22" s="37" t="s">
        <v>29</v>
      </c>
      <c r="B22" s="38" t="s">
        <v>30</v>
      </c>
      <c r="C22" s="46"/>
      <c r="D22" s="47"/>
      <c r="E22" s="47"/>
      <c r="F22" s="55">
        <f>SUM(F23:F23)</f>
        <v>4.8048244705882404</v>
      </c>
      <c r="G22" s="55">
        <f>SUM(G23:G23)</f>
        <v>0.671191553544495</v>
      </c>
      <c r="H22" s="55">
        <f>SUM(H23:H23)</f>
        <v>13.4509803921569</v>
      </c>
      <c r="I22" s="56">
        <f>SUM(I23:I23)</f>
        <v>18.926996416289636</v>
      </c>
      <c r="J22" s="57">
        <v>35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</row>
    <row r="23" spans="1:1025" s="85" customFormat="1" ht="47.25" customHeight="1">
      <c r="A23" s="45" t="s">
        <v>29</v>
      </c>
      <c r="B23" s="52" t="s">
        <v>553</v>
      </c>
      <c r="C23" s="46" t="s">
        <v>25</v>
      </c>
      <c r="D23" s="47">
        <v>102</v>
      </c>
      <c r="E23" s="47">
        <f>D23*8</f>
        <v>816</v>
      </c>
      <c r="F23" s="47">
        <v>4.8048244705882404</v>
      </c>
      <c r="G23" s="47">
        <v>0.671191553544495</v>
      </c>
      <c r="H23" s="47">
        <v>13.4509803921569</v>
      </c>
      <c r="I23" s="48">
        <f>F23+G23+H23</f>
        <v>18.926996416289636</v>
      </c>
      <c r="J23" s="49">
        <v>99</v>
      </c>
      <c r="K23" s="2">
        <v>88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</row>
    <row r="24" spans="1:1025" ht="24.75" customHeight="1">
      <c r="A24" s="37" t="s">
        <v>31</v>
      </c>
      <c r="B24" s="38" t="s">
        <v>32</v>
      </c>
      <c r="C24" s="46"/>
      <c r="D24" s="47"/>
      <c r="E24" s="47"/>
      <c r="F24" s="55">
        <f>SUM(F25:F25)</f>
        <v>6.2533134453781498</v>
      </c>
      <c r="G24" s="55">
        <f>SUM(G25:G25)</f>
        <v>1.46250808015514</v>
      </c>
      <c r="H24" s="55">
        <f>SUM(H25:H25)</f>
        <v>17.8571428571429</v>
      </c>
      <c r="I24" s="56">
        <f>SUM(I25:I25)</f>
        <v>25.57296438267619</v>
      </c>
      <c r="J24" s="57">
        <v>119</v>
      </c>
      <c r="K24" s="2">
        <v>99</v>
      </c>
    </row>
    <row r="25" spans="1:1025" ht="42" customHeight="1">
      <c r="A25" s="45" t="s">
        <v>31</v>
      </c>
      <c r="B25" s="597" t="s">
        <v>554</v>
      </c>
      <c r="C25" s="46" t="s">
        <v>25</v>
      </c>
      <c r="D25" s="53">
        <v>59.5</v>
      </c>
      <c r="E25" s="47">
        <f>D25*8</f>
        <v>476</v>
      </c>
      <c r="F25" s="47">
        <v>6.2533134453781498</v>
      </c>
      <c r="G25" s="47">
        <v>1.46250808015514</v>
      </c>
      <c r="H25" s="47">
        <v>17.8571428571429</v>
      </c>
      <c r="I25" s="48">
        <f>F25+G25+H25</f>
        <v>25.57296438267619</v>
      </c>
      <c r="J25" s="49">
        <f>J24</f>
        <v>119</v>
      </c>
      <c r="K25" s="2">
        <v>119</v>
      </c>
      <c r="L25" s="50">
        <f>I25/I$24</f>
        <v>1</v>
      </c>
    </row>
    <row r="26" spans="1:1025" ht="24.75" customHeight="1">
      <c r="A26" s="37" t="s">
        <v>33</v>
      </c>
      <c r="B26" s="38" t="s">
        <v>583</v>
      </c>
      <c r="C26" s="39"/>
      <c r="D26" s="40"/>
      <c r="E26" s="40"/>
      <c r="F26" s="41">
        <f>SUM(F27:F30)</f>
        <v>13.30339495505612</v>
      </c>
      <c r="G26" s="41">
        <f>SUM(G27:G30)</f>
        <v>2.7056157289471821</v>
      </c>
      <c r="H26" s="41">
        <f>SUM(H27:H30)</f>
        <v>32.241344985168503</v>
      </c>
      <c r="I26" s="42">
        <f>SUM(I27:I30)</f>
        <v>48.250355669171803</v>
      </c>
      <c r="J26" s="43">
        <v>117</v>
      </c>
      <c r="K26" s="2">
        <v>117</v>
      </c>
      <c r="L26" s="2" t="s">
        <v>550</v>
      </c>
      <c r="M26" s="2">
        <v>77</v>
      </c>
    </row>
    <row r="27" spans="1:1025" ht="24.75" customHeight="1">
      <c r="A27" s="45" t="s">
        <v>33</v>
      </c>
      <c r="B27" s="46" t="s">
        <v>594</v>
      </c>
      <c r="C27" s="46" t="s">
        <v>25</v>
      </c>
      <c r="D27" s="47">
        <v>102</v>
      </c>
      <c r="E27" s="47">
        <f>D27*8</f>
        <v>816</v>
      </c>
      <c r="F27" s="47">
        <v>3.1409205882352902</v>
      </c>
      <c r="G27" s="47">
        <v>0.30401583710407198</v>
      </c>
      <c r="H27" s="47">
        <v>8.4068627450980404</v>
      </c>
      <c r="I27" s="48">
        <f>F27+G27+H27</f>
        <v>11.851799170437403</v>
      </c>
      <c r="J27" s="49">
        <f>0.25*J26</f>
        <v>29.25</v>
      </c>
      <c r="K27" s="2" t="s">
        <v>551</v>
      </c>
      <c r="L27" s="58">
        <f>I27/I$26</f>
        <v>0.24563133278641869</v>
      </c>
      <c r="M27" s="58">
        <f>L27*M26</f>
        <v>18.91361262455424</v>
      </c>
    </row>
    <row r="28" spans="1:1025" ht="24.75" customHeight="1">
      <c r="A28" s="45" t="s">
        <v>33</v>
      </c>
      <c r="B28" s="46" t="s">
        <v>608</v>
      </c>
      <c r="C28" s="46" t="s">
        <v>25</v>
      </c>
      <c r="D28" s="47">
        <v>100</v>
      </c>
      <c r="E28" s="47">
        <f>D28*8</f>
        <v>800</v>
      </c>
      <c r="F28" s="47">
        <v>4.6773053000000004</v>
      </c>
      <c r="G28" s="47">
        <v>0.69421844181459602</v>
      </c>
      <c r="H28" s="47">
        <v>9.0150000000000006</v>
      </c>
      <c r="I28" s="48">
        <f>F28+G28+H28</f>
        <v>14.386523741814596</v>
      </c>
      <c r="J28" s="49">
        <f>0.3*J26</f>
        <v>35.1</v>
      </c>
      <c r="L28" s="58">
        <f>I28/I$26</f>
        <v>0.298164097285742</v>
      </c>
      <c r="M28" s="58">
        <f>L28*M$26</f>
        <v>22.958635491002134</v>
      </c>
    </row>
    <row r="29" spans="1:1025" ht="33" customHeight="1">
      <c r="A29" s="45" t="s">
        <v>33</v>
      </c>
      <c r="B29" s="52" t="s">
        <v>610</v>
      </c>
      <c r="C29" s="46" t="s">
        <v>25</v>
      </c>
      <c r="D29" s="53">
        <v>85</v>
      </c>
      <c r="E29" s="47">
        <f>D29*8</f>
        <v>680</v>
      </c>
      <c r="F29" s="47">
        <v>4.8383972549019596</v>
      </c>
      <c r="G29" s="47">
        <v>1.47907239819005</v>
      </c>
      <c r="H29" s="47">
        <v>12.7549019607843</v>
      </c>
      <c r="I29" s="48">
        <f>F29+G29+H29</f>
        <v>19.07237161387631</v>
      </c>
      <c r="J29" s="49">
        <f>0.4*J26</f>
        <v>46.800000000000004</v>
      </c>
      <c r="L29" s="58">
        <f>I29/I$26</f>
        <v>0.39527939948558888</v>
      </c>
      <c r="M29" s="58">
        <f>L29*M$26</f>
        <v>30.436513760390344</v>
      </c>
    </row>
    <row r="30" spans="1:1025" ht="33" customHeight="1">
      <c r="A30" s="45" t="s">
        <v>33</v>
      </c>
      <c r="B30" s="52" t="s">
        <v>586</v>
      </c>
      <c r="C30" s="46" t="s">
        <v>25</v>
      </c>
      <c r="D30" s="53">
        <v>484.33</v>
      </c>
      <c r="E30" s="47">
        <f>D30*8</f>
        <v>3874.64</v>
      </c>
      <c r="F30" s="47">
        <v>0.64677181191887101</v>
      </c>
      <c r="G30" s="47">
        <v>0.22830905183846401</v>
      </c>
      <c r="H30" s="47">
        <v>2.0645802792861598</v>
      </c>
      <c r="I30" s="48">
        <f>F30+G30+H30</f>
        <v>2.9396611430434949</v>
      </c>
      <c r="J30" s="49">
        <f>0.05*J26</f>
        <v>5.8500000000000005</v>
      </c>
      <c r="L30" s="58">
        <f>I30/I$26</f>
        <v>6.0925170442250397E-2</v>
      </c>
      <c r="M30" s="58">
        <f>L30*M$26</f>
        <v>4.6912381240532808</v>
      </c>
    </row>
    <row r="31" spans="1:1025" s="85" customFormat="1" ht="24.75" customHeight="1">
      <c r="A31" s="37" t="s">
        <v>33</v>
      </c>
      <c r="B31" s="38" t="s">
        <v>584</v>
      </c>
      <c r="C31" s="39"/>
      <c r="D31" s="40"/>
      <c r="E31" s="40"/>
      <c r="F31" s="41">
        <f>SUM(F32:F35)</f>
        <v>13.30339495505612</v>
      </c>
      <c r="G31" s="41">
        <f>SUM(G32:G35)</f>
        <v>2.7056157289471821</v>
      </c>
      <c r="H31" s="41">
        <f>SUM(H32:H35)</f>
        <v>32.241344985168503</v>
      </c>
      <c r="I31" s="42">
        <f>SUM(I32:I35)</f>
        <v>48.250355669171803</v>
      </c>
      <c r="J31" s="43">
        <v>115</v>
      </c>
      <c r="K31" s="2">
        <v>117</v>
      </c>
      <c r="L31" s="2" t="s">
        <v>550</v>
      </c>
      <c r="M31" s="2">
        <v>77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</row>
    <row r="32" spans="1:1025" s="85" customFormat="1" ht="24.75" customHeight="1">
      <c r="A32" s="45" t="s">
        <v>33</v>
      </c>
      <c r="B32" s="46" t="s">
        <v>595</v>
      </c>
      <c r="C32" s="46" t="s">
        <v>25</v>
      </c>
      <c r="D32" s="47">
        <v>102</v>
      </c>
      <c r="E32" s="47">
        <f>D32*8</f>
        <v>816</v>
      </c>
      <c r="F32" s="47">
        <v>3.1409205882352902</v>
      </c>
      <c r="G32" s="47">
        <v>0.30401583710407198</v>
      </c>
      <c r="H32" s="47">
        <v>8.4068627450980404</v>
      </c>
      <c r="I32" s="48">
        <f>F32+G32+H32</f>
        <v>11.851799170437403</v>
      </c>
      <c r="J32" s="49">
        <f>0.25*J31</f>
        <v>28.75</v>
      </c>
      <c r="K32" s="2" t="s">
        <v>551</v>
      </c>
      <c r="L32" s="58">
        <f>I32/I$26</f>
        <v>0.24563133278641869</v>
      </c>
      <c r="M32" s="58">
        <f>L32*M31</f>
        <v>18.91361262455424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</row>
    <row r="33" spans="1:1025" s="85" customFormat="1" ht="24.75" customHeight="1">
      <c r="A33" s="45" t="s">
        <v>33</v>
      </c>
      <c r="B33" s="46" t="s">
        <v>609</v>
      </c>
      <c r="C33" s="46" t="s">
        <v>25</v>
      </c>
      <c r="D33" s="47">
        <v>100</v>
      </c>
      <c r="E33" s="47">
        <f>D33*8</f>
        <v>800</v>
      </c>
      <c r="F33" s="47">
        <v>4.6773053000000004</v>
      </c>
      <c r="G33" s="47">
        <v>0.69421844181459602</v>
      </c>
      <c r="H33" s="47">
        <v>9.0150000000000006</v>
      </c>
      <c r="I33" s="48">
        <f>F33+G33+H33</f>
        <v>14.386523741814596</v>
      </c>
      <c r="J33" s="49">
        <f>0.3*J31</f>
        <v>34.5</v>
      </c>
      <c r="K33" s="2"/>
      <c r="L33" s="58">
        <f>I33/I$26</f>
        <v>0.298164097285742</v>
      </c>
      <c r="M33" s="58">
        <f>L33*M$26</f>
        <v>22.958635491002134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</row>
    <row r="34" spans="1:1025" s="85" customFormat="1" ht="33" customHeight="1">
      <c r="A34" s="45" t="s">
        <v>33</v>
      </c>
      <c r="B34" s="52" t="s">
        <v>611</v>
      </c>
      <c r="C34" s="46" t="s">
        <v>25</v>
      </c>
      <c r="D34" s="53">
        <v>85</v>
      </c>
      <c r="E34" s="47">
        <f>D34*8</f>
        <v>680</v>
      </c>
      <c r="F34" s="47">
        <v>4.8383972549019596</v>
      </c>
      <c r="G34" s="47">
        <v>1.47907239819005</v>
      </c>
      <c r="H34" s="47">
        <v>12.7549019607843</v>
      </c>
      <c r="I34" s="48">
        <f>F34+G34+H34</f>
        <v>19.07237161387631</v>
      </c>
      <c r="J34" s="49">
        <f>0.4*J31</f>
        <v>46</v>
      </c>
      <c r="K34" s="2"/>
      <c r="L34" s="58">
        <f>I34/I$26</f>
        <v>0.39527939948558888</v>
      </c>
      <c r="M34" s="58">
        <f>L34*M$26</f>
        <v>30.436513760390344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</row>
    <row r="35" spans="1:1025" s="85" customFormat="1" ht="33" customHeight="1">
      <c r="A35" s="45" t="s">
        <v>33</v>
      </c>
      <c r="B35" s="52" t="s">
        <v>587</v>
      </c>
      <c r="C35" s="46" t="s">
        <v>25</v>
      </c>
      <c r="D35" s="53">
        <v>484.33</v>
      </c>
      <c r="E35" s="47">
        <f>D35*8</f>
        <v>3874.64</v>
      </c>
      <c r="F35" s="47">
        <v>0.64677181191887101</v>
      </c>
      <c r="G35" s="47">
        <v>0.22830905183846401</v>
      </c>
      <c r="H35" s="47">
        <v>2.0645802792861598</v>
      </c>
      <c r="I35" s="48">
        <f>F35+G35+H35</f>
        <v>2.9396611430434949</v>
      </c>
      <c r="J35" s="49">
        <f>0.05*J31</f>
        <v>5.75</v>
      </c>
      <c r="K35" s="2"/>
      <c r="L35" s="58">
        <f>I35/I$26</f>
        <v>6.0925170442250397E-2</v>
      </c>
      <c r="M35" s="58">
        <f>L35*M$26</f>
        <v>4.6912381240532808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</row>
    <row r="36" spans="1:1025" ht="24.75" customHeight="1">
      <c r="A36" s="59"/>
      <c r="B36" s="24" t="s">
        <v>34</v>
      </c>
      <c r="C36" s="25"/>
      <c r="D36" s="60"/>
      <c r="E36" s="60"/>
      <c r="F36" s="60"/>
      <c r="G36" s="60"/>
      <c r="H36" s="60"/>
      <c r="I36" s="61"/>
      <c r="J36" s="62"/>
    </row>
    <row r="37" spans="1:1025" ht="24.75" customHeight="1">
      <c r="A37" s="37" t="s">
        <v>35</v>
      </c>
      <c r="B37" s="38" t="s">
        <v>36</v>
      </c>
      <c r="C37" s="46"/>
      <c r="D37" s="47"/>
      <c r="E37" s="47"/>
      <c r="F37" s="55">
        <f>SUM(F38:F40)</f>
        <v>21.482615407843141</v>
      </c>
      <c r="G37" s="55">
        <f>SUM(G38:G40)</f>
        <v>4.7136886529759856</v>
      </c>
      <c r="H37" s="55">
        <f>SUM(H38:H40)</f>
        <v>54.132647058823601</v>
      </c>
      <c r="I37" s="56">
        <f>SUM(I38:I40)</f>
        <v>80.328951119642738</v>
      </c>
      <c r="J37" s="57">
        <v>175</v>
      </c>
      <c r="K37" s="2">
        <v>175</v>
      </c>
    </row>
    <row r="38" spans="1:1025" ht="24.75" customHeight="1">
      <c r="A38" s="45" t="s">
        <v>35</v>
      </c>
      <c r="B38" s="46" t="s">
        <v>37</v>
      </c>
      <c r="C38" s="46" t="s">
        <v>25</v>
      </c>
      <c r="D38" s="47">
        <v>63.75</v>
      </c>
      <c r="E38" s="47">
        <f>D38*8</f>
        <v>510</v>
      </c>
      <c r="F38" s="47">
        <v>5.0254729411764698</v>
      </c>
      <c r="G38" s="47">
        <v>0.486425339366516</v>
      </c>
      <c r="H38" s="47">
        <v>13.4509803921569</v>
      </c>
      <c r="I38" s="48">
        <f>F38+G38+H38</f>
        <v>18.962878672699887</v>
      </c>
      <c r="J38" s="49">
        <f>0.24*J37</f>
        <v>42</v>
      </c>
      <c r="L38" s="50">
        <f>I38/I$37</f>
        <v>0.23606530906218839</v>
      </c>
    </row>
    <row r="39" spans="1:1025" ht="24.75" customHeight="1">
      <c r="A39" s="45" t="s">
        <v>35</v>
      </c>
      <c r="B39" s="46" t="s">
        <v>38</v>
      </c>
      <c r="C39" s="46" t="s">
        <v>25</v>
      </c>
      <c r="D39" s="53">
        <v>100</v>
      </c>
      <c r="E39" s="47">
        <f>D39*8</f>
        <v>800</v>
      </c>
      <c r="F39" s="47">
        <v>7.7739678000000003</v>
      </c>
      <c r="G39" s="47">
        <v>1.0397633136094699</v>
      </c>
      <c r="H39" s="47">
        <v>14.015000000000001</v>
      </c>
      <c r="I39" s="48">
        <f>F39+G39+H39</f>
        <v>22.828731113609471</v>
      </c>
      <c r="J39" s="49">
        <f>0.28*J37</f>
        <v>49.000000000000007</v>
      </c>
      <c r="L39" s="50">
        <f>I39/I$37</f>
        <v>0.28419057880648951</v>
      </c>
    </row>
    <row r="40" spans="1:1025" ht="24.75" customHeight="1">
      <c r="A40" s="63" t="s">
        <v>35</v>
      </c>
      <c r="B40" s="64" t="s">
        <v>39</v>
      </c>
      <c r="C40" s="64" t="s">
        <v>25</v>
      </c>
      <c r="D40" s="65">
        <v>50</v>
      </c>
      <c r="E40" s="65">
        <f>D40*8</f>
        <v>400</v>
      </c>
      <c r="F40" s="65">
        <v>8.6831746666666696</v>
      </c>
      <c r="G40" s="65">
        <v>3.1875</v>
      </c>
      <c r="H40" s="65">
        <v>26.6666666666667</v>
      </c>
      <c r="I40" s="66">
        <f>F40+G40+H40</f>
        <v>38.537341333333373</v>
      </c>
      <c r="J40" s="67">
        <f>0.48*J37</f>
        <v>84</v>
      </c>
      <c r="L40" s="50">
        <f>I40/I$37</f>
        <v>0.47974411213132206</v>
      </c>
    </row>
    <row r="41" spans="1:1025" ht="24.75" customHeight="1">
      <c r="A41" s="59"/>
      <c r="B41" s="24" t="s">
        <v>40</v>
      </c>
      <c r="C41" s="25"/>
      <c r="D41" s="60"/>
      <c r="E41" s="60"/>
      <c r="F41" s="60"/>
      <c r="G41" s="60"/>
      <c r="H41" s="60"/>
      <c r="I41" s="61"/>
      <c r="J41" s="62"/>
    </row>
    <row r="42" spans="1:1025" ht="24.75" customHeight="1">
      <c r="A42" s="37">
        <v>32.01</v>
      </c>
      <c r="B42" s="38" t="s">
        <v>588</v>
      </c>
      <c r="C42" s="46"/>
      <c r="D42" s="47"/>
      <c r="E42" s="47"/>
      <c r="F42" s="55">
        <f>SUM(F43)</f>
        <v>3.2796562499999999</v>
      </c>
      <c r="G42" s="55">
        <f>SUM(G43)</f>
        <v>1.2439903846153799</v>
      </c>
      <c r="H42" s="55">
        <f>SUM(H43)</f>
        <v>10.1875</v>
      </c>
      <c r="I42" s="56">
        <f>SUM(I43:I43)</f>
        <v>14.71114663461538</v>
      </c>
      <c r="J42" s="57">
        <v>75</v>
      </c>
      <c r="K42" s="2">
        <v>75</v>
      </c>
    </row>
    <row r="43" spans="1:1025" ht="24.75" customHeight="1">
      <c r="A43" s="45" t="s">
        <v>42</v>
      </c>
      <c r="B43" s="46" t="s">
        <v>43</v>
      </c>
      <c r="C43" s="46" t="s">
        <v>25</v>
      </c>
      <c r="D43" s="47">
        <v>40</v>
      </c>
      <c r="E43" s="47">
        <f>D43*8</f>
        <v>320</v>
      </c>
      <c r="F43" s="47">
        <v>3.2796562499999999</v>
      </c>
      <c r="G43" s="47">
        <v>1.2439903846153799</v>
      </c>
      <c r="H43" s="47">
        <v>10.1875</v>
      </c>
      <c r="I43" s="48">
        <f>F43+G43+H43</f>
        <v>14.71114663461538</v>
      </c>
      <c r="J43" s="49">
        <f>J42</f>
        <v>75</v>
      </c>
      <c r="K43" s="2">
        <v>80</v>
      </c>
    </row>
    <row r="44" spans="1:1025" s="85" customFormat="1" ht="24.75" customHeight="1">
      <c r="A44" s="37">
        <v>32.01</v>
      </c>
      <c r="B44" s="38" t="s">
        <v>555</v>
      </c>
      <c r="C44" s="46"/>
      <c r="D44" s="47"/>
      <c r="E44" s="47"/>
      <c r="F44" s="55">
        <f>SUM(F45)</f>
        <v>3.2796562499999999</v>
      </c>
      <c r="G44" s="55">
        <f>SUM(G45)</f>
        <v>1.2439903846153799</v>
      </c>
      <c r="H44" s="55">
        <f>SUM(H45)</f>
        <v>10.1875</v>
      </c>
      <c r="I44" s="56">
        <f>SUM(I45:I45)</f>
        <v>14.71114663461538</v>
      </c>
      <c r="J44" s="57">
        <v>80</v>
      </c>
      <c r="K44" s="2">
        <v>75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</row>
    <row r="45" spans="1:1025" s="85" customFormat="1" ht="24.75" customHeight="1">
      <c r="A45" s="45" t="s">
        <v>42</v>
      </c>
      <c r="B45" s="46" t="s">
        <v>43</v>
      </c>
      <c r="C45" s="46" t="s">
        <v>25</v>
      </c>
      <c r="D45" s="47">
        <v>40</v>
      </c>
      <c r="E45" s="47">
        <f>D45*8</f>
        <v>320</v>
      </c>
      <c r="F45" s="47">
        <v>3.2796562499999999</v>
      </c>
      <c r="G45" s="47">
        <v>1.2439903846153799</v>
      </c>
      <c r="H45" s="47">
        <v>10.1875</v>
      </c>
      <c r="I45" s="48">
        <f>F45+G45+H45</f>
        <v>14.71114663461538</v>
      </c>
      <c r="J45" s="49">
        <f>J44</f>
        <v>80</v>
      </c>
      <c r="K45" s="2">
        <v>80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</row>
    <row r="46" spans="1:1025" ht="24.75" customHeight="1">
      <c r="A46" s="37" t="s">
        <v>44</v>
      </c>
      <c r="B46" s="38" t="s">
        <v>556</v>
      </c>
      <c r="C46" s="46"/>
      <c r="D46" s="47"/>
      <c r="E46" s="47"/>
      <c r="F46" s="55">
        <f>SUM(F47)</f>
        <v>3.2796562499999999</v>
      </c>
      <c r="G46" s="55">
        <f>SUM(G47)</f>
        <v>1.2439903846153799</v>
      </c>
      <c r="H46" s="55">
        <f>SUM(H47)</f>
        <v>10.1875</v>
      </c>
      <c r="I46" s="56">
        <f>SUM(I47:I47)</f>
        <v>14.71114663461538</v>
      </c>
      <c r="J46" s="57">
        <v>115</v>
      </c>
      <c r="K46" s="2">
        <v>115</v>
      </c>
    </row>
    <row r="47" spans="1:1025" ht="20.25">
      <c r="A47" s="45" t="s">
        <v>44</v>
      </c>
      <c r="B47" s="52" t="s">
        <v>45</v>
      </c>
      <c r="C47" s="46" t="s">
        <v>25</v>
      </c>
      <c r="D47" s="47">
        <v>40</v>
      </c>
      <c r="E47" s="47">
        <f>D47*8</f>
        <v>320</v>
      </c>
      <c r="F47" s="47">
        <v>3.2796562499999999</v>
      </c>
      <c r="G47" s="47">
        <v>1.2439903846153799</v>
      </c>
      <c r="H47" s="47">
        <v>10.1875</v>
      </c>
      <c r="I47" s="48">
        <f>F47+G47+H47</f>
        <v>14.71114663461538</v>
      </c>
      <c r="J47" s="49">
        <f>J46</f>
        <v>115</v>
      </c>
    </row>
    <row r="48" spans="1:1025" ht="24.75" customHeight="1">
      <c r="A48" s="37" t="s">
        <v>46</v>
      </c>
      <c r="B48" s="38" t="s">
        <v>47</v>
      </c>
      <c r="C48" s="46"/>
      <c r="D48" s="47"/>
      <c r="E48" s="47"/>
      <c r="F48" s="55">
        <f>SUM(F49:F49)</f>
        <v>5.1957831325301198</v>
      </c>
      <c r="G48" s="55">
        <f>SUM(G49:G49)</f>
        <v>14.6258109360519</v>
      </c>
      <c r="H48" s="55">
        <f>SUM(H49:H49)</f>
        <v>4.5180722891566303</v>
      </c>
      <c r="I48" s="56">
        <f>SUM(I49:I49)</f>
        <v>24.339666357738651</v>
      </c>
      <c r="J48" s="57">
        <v>100</v>
      </c>
      <c r="K48" s="2">
        <v>100</v>
      </c>
    </row>
    <row r="49" spans="1:1025" ht="20.25">
      <c r="A49" s="45" t="s">
        <v>46</v>
      </c>
      <c r="B49" s="52" t="s">
        <v>48</v>
      </c>
      <c r="C49" s="46" t="s">
        <v>25</v>
      </c>
      <c r="D49" s="47">
        <v>3.32</v>
      </c>
      <c r="E49" s="47">
        <f>D49*8</f>
        <v>26.56</v>
      </c>
      <c r="F49" s="47">
        <v>5.1957831325301198</v>
      </c>
      <c r="G49" s="47">
        <v>14.6258109360519</v>
      </c>
      <c r="H49" s="47">
        <v>4.5180722891566303</v>
      </c>
      <c r="I49" s="48">
        <f>F49+G49+H49</f>
        <v>24.339666357738651</v>
      </c>
      <c r="J49" s="49">
        <f>J48</f>
        <v>100</v>
      </c>
    </row>
    <row r="50" spans="1:1025" ht="24.75" customHeight="1">
      <c r="A50" s="37" t="s">
        <v>49</v>
      </c>
      <c r="B50" s="38" t="s">
        <v>50</v>
      </c>
      <c r="C50" s="46"/>
      <c r="D50" s="47"/>
      <c r="E50" s="47"/>
      <c r="F50" s="55">
        <f>SUM(F51:F53)</f>
        <v>17.406229146815832</v>
      </c>
      <c r="G50" s="55">
        <f>SUM(G51:G53)</f>
        <v>16.526071925062894</v>
      </c>
      <c r="H50" s="55">
        <f>SUM(H51:H53)</f>
        <v>30.113429432013731</v>
      </c>
      <c r="I50" s="56">
        <f>SUM(I51:I53)</f>
        <v>64.045730503892457</v>
      </c>
      <c r="J50" s="57">
        <v>125</v>
      </c>
      <c r="K50" s="2">
        <v>125</v>
      </c>
    </row>
    <row r="51" spans="1:1025" ht="42" customHeight="1">
      <c r="A51" s="45" t="s">
        <v>49</v>
      </c>
      <c r="B51" s="46" t="s">
        <v>596</v>
      </c>
      <c r="C51" s="46" t="s">
        <v>25</v>
      </c>
      <c r="D51" s="47">
        <v>35</v>
      </c>
      <c r="E51" s="47">
        <f>D51*8</f>
        <v>280</v>
      </c>
      <c r="F51" s="47">
        <v>3.7279517142857101</v>
      </c>
      <c r="G51" s="47">
        <v>0.74862637362637396</v>
      </c>
      <c r="H51" s="47">
        <v>11.6428571428571</v>
      </c>
      <c r="I51" s="48">
        <f>F51+G51+H51</f>
        <v>16.119435230769184</v>
      </c>
      <c r="J51" s="49">
        <f>0.25*J50</f>
        <v>31.25</v>
      </c>
      <c r="L51" s="50">
        <f>I51/I$50</f>
        <v>0.25168633574707228</v>
      </c>
    </row>
    <row r="52" spans="1:1025" ht="24.75" customHeight="1">
      <c r="A52" s="45" t="s">
        <v>49</v>
      </c>
      <c r="B52" s="68" t="s">
        <v>612</v>
      </c>
      <c r="C52" s="46" t="s">
        <v>25</v>
      </c>
      <c r="D52" s="53">
        <v>100</v>
      </c>
      <c r="E52" s="47">
        <f>D52*8</f>
        <v>800</v>
      </c>
      <c r="F52" s="47">
        <v>8.4824943000000008</v>
      </c>
      <c r="G52" s="47">
        <v>1.15163461538462</v>
      </c>
      <c r="H52" s="47">
        <v>13.952500000000001</v>
      </c>
      <c r="I52" s="48">
        <f>F52+G52+H52</f>
        <v>23.586628915384622</v>
      </c>
      <c r="J52" s="49">
        <f>0.37*J50</f>
        <v>46.25</v>
      </c>
      <c r="L52" s="50">
        <f>I52/I$50</f>
        <v>0.36827792781520569</v>
      </c>
    </row>
    <row r="53" spans="1:1025" ht="24.75" customHeight="1">
      <c r="A53" s="45" t="s">
        <v>49</v>
      </c>
      <c r="B53" s="46" t="s">
        <v>613</v>
      </c>
      <c r="C53" s="46" t="s">
        <v>25</v>
      </c>
      <c r="D53" s="47">
        <v>3.32</v>
      </c>
      <c r="E53" s="47">
        <f>D53*8</f>
        <v>26.56</v>
      </c>
      <c r="F53" s="47">
        <v>5.1957831325301198</v>
      </c>
      <c r="G53" s="47">
        <v>14.6258109360519</v>
      </c>
      <c r="H53" s="47">
        <v>4.5180722891566303</v>
      </c>
      <c r="I53" s="48">
        <f>F53+G53+H53</f>
        <v>24.339666357738651</v>
      </c>
      <c r="J53" s="49">
        <f>0.38*J50</f>
        <v>47.5</v>
      </c>
      <c r="L53" s="50">
        <f>I53/I$50</f>
        <v>0.38003573643772209</v>
      </c>
    </row>
    <row r="54" spans="1:1025" s="85" customFormat="1" ht="24.75" customHeight="1">
      <c r="A54" s="37" t="s">
        <v>86</v>
      </c>
      <c r="B54" s="38" t="s">
        <v>560</v>
      </c>
      <c r="C54" s="46"/>
      <c r="D54" s="47"/>
      <c r="E54" s="47"/>
      <c r="F54" s="55">
        <f>SUM(F55:F57)</f>
        <v>17.406229146815832</v>
      </c>
      <c r="G54" s="55">
        <f>SUM(G55:G57)</f>
        <v>16.526071925062894</v>
      </c>
      <c r="H54" s="55">
        <f>SUM(H55:H57)</f>
        <v>30.113429432013731</v>
      </c>
      <c r="I54" s="56">
        <f>SUM(I55:I57)</f>
        <v>64.045730503892457</v>
      </c>
      <c r="J54" s="57">
        <v>200</v>
      </c>
      <c r="K54" s="2">
        <v>300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</row>
    <row r="55" spans="1:1025" s="85" customFormat="1" ht="24.75" customHeight="1">
      <c r="A55" s="45" t="s">
        <v>86</v>
      </c>
      <c r="B55" s="46" t="s">
        <v>88</v>
      </c>
      <c r="C55" s="46" t="s">
        <v>25</v>
      </c>
      <c r="D55" s="47">
        <v>35</v>
      </c>
      <c r="E55" s="47">
        <f>D55*8</f>
        <v>280</v>
      </c>
      <c r="F55" s="47">
        <v>3.7279517142857101</v>
      </c>
      <c r="G55" s="47">
        <v>0.74862637362637396</v>
      </c>
      <c r="H55" s="47">
        <v>11.6428571428571</v>
      </c>
      <c r="I55" s="48">
        <f>F55+G55+H55</f>
        <v>16.119435230769184</v>
      </c>
      <c r="J55" s="49">
        <f>0.25*J54</f>
        <v>50</v>
      </c>
      <c r="K55" s="2"/>
      <c r="L55" s="50">
        <f>I55/I$124</f>
        <v>0.25168633574707228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</row>
    <row r="56" spans="1:1025" s="85" customFormat="1" ht="24.75" customHeight="1">
      <c r="A56" s="45" t="s">
        <v>86</v>
      </c>
      <c r="B56" s="68" t="s">
        <v>89</v>
      </c>
      <c r="C56" s="46" t="s">
        <v>25</v>
      </c>
      <c r="D56" s="53">
        <v>100</v>
      </c>
      <c r="E56" s="47">
        <f>D56*8</f>
        <v>800</v>
      </c>
      <c r="F56" s="47">
        <v>8.4824943000000008</v>
      </c>
      <c r="G56" s="47">
        <v>1.15163461538462</v>
      </c>
      <c r="H56" s="47">
        <v>13.952500000000001</v>
      </c>
      <c r="I56" s="48">
        <f>F56+G56+H56</f>
        <v>23.586628915384622</v>
      </c>
      <c r="J56" s="49">
        <f>0.37*J54</f>
        <v>74</v>
      </c>
      <c r="K56" s="2"/>
      <c r="L56" s="50">
        <f>I56/I$124</f>
        <v>0.36827792781520569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</row>
    <row r="57" spans="1:1025" s="85" customFormat="1" ht="24.75" customHeight="1">
      <c r="A57" s="45" t="s">
        <v>86</v>
      </c>
      <c r="B57" s="46" t="s">
        <v>90</v>
      </c>
      <c r="C57" s="46" t="s">
        <v>25</v>
      </c>
      <c r="D57" s="47">
        <v>3.32</v>
      </c>
      <c r="E57" s="47">
        <f>D57*8</f>
        <v>26.56</v>
      </c>
      <c r="F57" s="47">
        <v>5.1957831325301198</v>
      </c>
      <c r="G57" s="47">
        <v>14.6258109360519</v>
      </c>
      <c r="H57" s="47">
        <v>4.5180722891566303</v>
      </c>
      <c r="I57" s="48">
        <f>F57+G57+H57</f>
        <v>24.339666357738651</v>
      </c>
      <c r="J57" s="49">
        <f>0.38*J54</f>
        <v>76</v>
      </c>
      <c r="K57" s="2"/>
      <c r="L57" s="50">
        <f>I57/I$124</f>
        <v>0.38003573643772209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</row>
    <row r="58" spans="1:1025" ht="24.75" customHeight="1">
      <c r="A58" s="37" t="s">
        <v>51</v>
      </c>
      <c r="B58" s="38" t="s">
        <v>557</v>
      </c>
      <c r="C58" s="46"/>
      <c r="D58" s="47"/>
      <c r="E58" s="47"/>
      <c r="F58" s="55">
        <f>SUM(F59:F61)</f>
        <v>825.36017198532693</v>
      </c>
      <c r="G58" s="55">
        <f>SUM(G59:G61)</f>
        <v>38.823810954670371</v>
      </c>
      <c r="H58" s="55">
        <f>SUM(H59:H61)</f>
        <v>46.480000000000004</v>
      </c>
      <c r="I58" s="56">
        <f>SUM(I59:I61)</f>
        <v>910.66398293999725</v>
      </c>
      <c r="J58" s="57">
        <v>4500</v>
      </c>
      <c r="K58" s="2">
        <v>4500</v>
      </c>
    </row>
    <row r="59" spans="1:1025" ht="24.75" customHeight="1">
      <c r="A59" s="45" t="s">
        <v>51</v>
      </c>
      <c r="B59" s="46" t="s">
        <v>597</v>
      </c>
      <c r="C59" s="46" t="s">
        <v>53</v>
      </c>
      <c r="D59" s="47">
        <v>1.25</v>
      </c>
      <c r="E59" s="47">
        <f t="shared" ref="E59:E69" si="0">D59*8</f>
        <v>10</v>
      </c>
      <c r="F59" s="47">
        <v>771.70465480215796</v>
      </c>
      <c r="G59" s="47">
        <v>19.307692307692299</v>
      </c>
      <c r="H59" s="47">
        <v>16.48</v>
      </c>
      <c r="I59" s="48">
        <f>F59+G59+H59</f>
        <v>807.49234710985024</v>
      </c>
      <c r="J59" s="49">
        <f>0.89*J58</f>
        <v>4005</v>
      </c>
      <c r="L59" s="12">
        <f>I59/I$58</f>
        <v>0.88670724025225356</v>
      </c>
    </row>
    <row r="60" spans="1:1025" ht="24.75" customHeight="1">
      <c r="A60" s="45" t="s">
        <v>51</v>
      </c>
      <c r="B60" s="46" t="s">
        <v>598</v>
      </c>
      <c r="C60" s="46" t="s">
        <v>53</v>
      </c>
      <c r="D60" s="47">
        <v>2</v>
      </c>
      <c r="E60" s="47">
        <f t="shared" si="0"/>
        <v>16</v>
      </c>
      <c r="F60" s="47">
        <v>34.5</v>
      </c>
      <c r="G60" s="47">
        <v>7.2633713942307701</v>
      </c>
      <c r="H60" s="47">
        <v>30</v>
      </c>
      <c r="I60" s="48">
        <f>F60+G60+H60</f>
        <v>71.763371394230774</v>
      </c>
      <c r="J60" s="49">
        <f>0.08*J58</f>
        <v>360</v>
      </c>
      <c r="L60" s="12">
        <f>I60/I$58</f>
        <v>7.8803348697890907E-2</v>
      </c>
    </row>
    <row r="61" spans="1:1025" ht="24.75" customHeight="1">
      <c r="A61" s="45" t="s">
        <v>51</v>
      </c>
      <c r="B61" s="46" t="s">
        <v>599</v>
      </c>
      <c r="C61" s="46" t="s">
        <v>53</v>
      </c>
      <c r="D61" s="47">
        <v>3.75</v>
      </c>
      <c r="E61" s="47">
        <f t="shared" si="0"/>
        <v>30</v>
      </c>
      <c r="F61" s="47">
        <v>19.155517183169</v>
      </c>
      <c r="G61" s="47">
        <v>12.2527472527473</v>
      </c>
      <c r="H61" s="47">
        <v>0</v>
      </c>
      <c r="I61" s="48">
        <f>F61+G61+H61</f>
        <v>31.408264435916301</v>
      </c>
      <c r="J61" s="49">
        <f>0.03*J58</f>
        <v>135</v>
      </c>
      <c r="L61" s="12">
        <f>I61/I$58</f>
        <v>3.4489411049855652E-2</v>
      </c>
    </row>
    <row r="62" spans="1:1025" s="85" customFormat="1" ht="24.75" customHeight="1">
      <c r="A62" s="37" t="s">
        <v>51</v>
      </c>
      <c r="B62" s="38" t="s">
        <v>52</v>
      </c>
      <c r="C62" s="46"/>
      <c r="D62" s="47"/>
      <c r="E62" s="47"/>
      <c r="F62" s="55">
        <f>SUM(F63:F65)</f>
        <v>825.36017198532693</v>
      </c>
      <c r="G62" s="55">
        <f>SUM(G63:G65)</f>
        <v>38.823810954670371</v>
      </c>
      <c r="H62" s="55">
        <f>SUM(H63:H65)</f>
        <v>46.480000000000004</v>
      </c>
      <c r="I62" s="56">
        <f>SUM(I63:I65)</f>
        <v>910.66398293999725</v>
      </c>
      <c r="J62" s="57">
        <v>5400</v>
      </c>
      <c r="K62" s="2">
        <v>4500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</row>
    <row r="63" spans="1:1025" s="85" customFormat="1" ht="24.75" customHeight="1">
      <c r="A63" s="45" t="s">
        <v>51</v>
      </c>
      <c r="B63" s="46" t="s">
        <v>600</v>
      </c>
      <c r="C63" s="46" t="s">
        <v>53</v>
      </c>
      <c r="D63" s="47">
        <v>1.25</v>
      </c>
      <c r="E63" s="47">
        <f t="shared" ref="E63:E65" si="1">D63*8</f>
        <v>10</v>
      </c>
      <c r="F63" s="47">
        <v>771.70465480215796</v>
      </c>
      <c r="G63" s="47">
        <v>19.307692307692299</v>
      </c>
      <c r="H63" s="47">
        <v>16.48</v>
      </c>
      <c r="I63" s="48">
        <f>F63+G63+H63</f>
        <v>807.49234710985024</v>
      </c>
      <c r="J63" s="49">
        <f>0.89*J62</f>
        <v>4806</v>
      </c>
      <c r="K63" s="2"/>
      <c r="L63" s="12">
        <f>I63/I$58</f>
        <v>0.88670724025225356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</row>
    <row r="64" spans="1:1025" s="85" customFormat="1" ht="24.75" customHeight="1">
      <c r="A64" s="45" t="s">
        <v>51</v>
      </c>
      <c r="B64" s="46" t="s">
        <v>601</v>
      </c>
      <c r="C64" s="46" t="s">
        <v>53</v>
      </c>
      <c r="D64" s="47">
        <v>2</v>
      </c>
      <c r="E64" s="47">
        <f t="shared" si="1"/>
        <v>16</v>
      </c>
      <c r="F64" s="47">
        <v>34.5</v>
      </c>
      <c r="G64" s="47">
        <v>7.2633713942307701</v>
      </c>
      <c r="H64" s="47">
        <v>30</v>
      </c>
      <c r="I64" s="48">
        <f>F64+G64+H64</f>
        <v>71.763371394230774</v>
      </c>
      <c r="J64" s="49">
        <f>0.08*J62</f>
        <v>432</v>
      </c>
      <c r="K64" s="2"/>
      <c r="L64" s="12">
        <f>I64/I$58</f>
        <v>7.8803348697890907E-2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</row>
    <row r="65" spans="1:1025" s="85" customFormat="1" ht="24.75" customHeight="1">
      <c r="A65" s="45" t="s">
        <v>51</v>
      </c>
      <c r="B65" s="46" t="s">
        <v>602</v>
      </c>
      <c r="C65" s="46" t="s">
        <v>53</v>
      </c>
      <c r="D65" s="47">
        <v>3.75</v>
      </c>
      <c r="E65" s="47">
        <f t="shared" si="1"/>
        <v>30</v>
      </c>
      <c r="F65" s="47">
        <v>19.155517183169</v>
      </c>
      <c r="G65" s="47">
        <v>12.2527472527473</v>
      </c>
      <c r="H65" s="47">
        <v>0</v>
      </c>
      <c r="I65" s="48">
        <f>F65+G65+H65</f>
        <v>31.408264435916301</v>
      </c>
      <c r="J65" s="49">
        <f>0.03*J62</f>
        <v>162</v>
      </c>
      <c r="K65" s="2"/>
      <c r="L65" s="12">
        <f>I65/I$58</f>
        <v>3.4489411049855652E-2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</row>
    <row r="66" spans="1:1025" ht="24.75" customHeight="1">
      <c r="A66" s="37" t="s">
        <v>54</v>
      </c>
      <c r="B66" s="38" t="s">
        <v>55</v>
      </c>
      <c r="C66" s="46"/>
      <c r="D66" s="47"/>
      <c r="E66" s="47">
        <f t="shared" si="0"/>
        <v>0</v>
      </c>
      <c r="F66" s="55">
        <f>SUM(F67:F69)</f>
        <v>830.33981328111918</v>
      </c>
      <c r="G66" s="55">
        <f>SUM(G67:G69)</f>
        <v>43.574147206959751</v>
      </c>
      <c r="H66" s="55">
        <f>SUM(H67:H69)</f>
        <v>47.1666666666667</v>
      </c>
      <c r="I66" s="56">
        <f>SUM(I67:I69)</f>
        <v>921.08062715474568</v>
      </c>
      <c r="J66" s="57">
        <v>6000</v>
      </c>
      <c r="K66" s="2">
        <v>5400</v>
      </c>
    </row>
    <row r="67" spans="1:1025" ht="24.75" customHeight="1">
      <c r="A67" s="45" t="s">
        <v>54</v>
      </c>
      <c r="B67" s="46" t="s">
        <v>603</v>
      </c>
      <c r="C67" s="46" t="s">
        <v>53</v>
      </c>
      <c r="D67" s="47">
        <v>1.2</v>
      </c>
      <c r="E67" s="47">
        <f t="shared" si="0"/>
        <v>9.6</v>
      </c>
      <c r="F67" s="47">
        <v>771.89541680215802</v>
      </c>
      <c r="G67" s="47">
        <v>20.1121794871795</v>
      </c>
      <c r="H67" s="47">
        <v>17.1666666666667</v>
      </c>
      <c r="I67" s="48">
        <f>F67+G67+H67</f>
        <v>809.17426295600421</v>
      </c>
      <c r="J67" s="49">
        <f>0.88*J66</f>
        <v>5280</v>
      </c>
      <c r="K67" s="2">
        <v>6000</v>
      </c>
      <c r="L67" s="50">
        <f>I67/I$66</f>
        <v>0.87850535458071177</v>
      </c>
    </row>
    <row r="68" spans="1:1025" ht="24.75" customHeight="1">
      <c r="A68" s="45" t="s">
        <v>54</v>
      </c>
      <c r="B68" s="46" t="s">
        <v>604</v>
      </c>
      <c r="C68" s="46" t="s">
        <v>53</v>
      </c>
      <c r="D68" s="47">
        <v>1.5</v>
      </c>
      <c r="E68" s="47">
        <f t="shared" si="0"/>
        <v>12</v>
      </c>
      <c r="F68" s="47">
        <v>34.5</v>
      </c>
      <c r="G68" s="47">
        <v>8.1460336538461497</v>
      </c>
      <c r="H68" s="47">
        <v>30</v>
      </c>
      <c r="I68" s="48">
        <f>F68+G68+H68</f>
        <v>72.646033653846146</v>
      </c>
      <c r="J68" s="49">
        <f>0.08*J66</f>
        <v>480</v>
      </c>
      <c r="L68" s="50">
        <f>I68/I$66</f>
        <v>7.887043925595591E-2</v>
      </c>
    </row>
    <row r="69" spans="1:1025" ht="24.75" customHeight="1">
      <c r="A69" s="45" t="s">
        <v>54</v>
      </c>
      <c r="B69" s="46" t="s">
        <v>605</v>
      </c>
      <c r="C69" s="46" t="s">
        <v>53</v>
      </c>
      <c r="D69" s="47">
        <v>3</v>
      </c>
      <c r="E69" s="47">
        <f t="shared" si="0"/>
        <v>24</v>
      </c>
      <c r="F69" s="47">
        <v>23.944396478961199</v>
      </c>
      <c r="G69" s="47">
        <v>15.315934065934099</v>
      </c>
      <c r="H69" s="47">
        <v>0</v>
      </c>
      <c r="I69" s="48">
        <f>F69+G69+H69</f>
        <v>39.260330544895297</v>
      </c>
      <c r="J69" s="49">
        <f>0.04*J66</f>
        <v>240</v>
      </c>
      <c r="L69" s="50">
        <f>I69/I$66</f>
        <v>4.2624206163332304E-2</v>
      </c>
    </row>
    <row r="70" spans="1:1025" ht="24.75" customHeight="1">
      <c r="A70" s="37" t="s">
        <v>56</v>
      </c>
      <c r="B70" s="38" t="s">
        <v>606</v>
      </c>
      <c r="C70" s="46"/>
      <c r="D70" s="47"/>
      <c r="E70" s="47"/>
      <c r="F70" s="55">
        <f>SUM(F71:F80)</f>
        <v>1363.8348606784521</v>
      </c>
      <c r="G70" s="55">
        <f>SUM(G71:G80)</f>
        <v>205.01614394278428</v>
      </c>
      <c r="H70" s="55">
        <f>SUM(H71:H80)</f>
        <v>232.98885854341736</v>
      </c>
      <c r="I70" s="56">
        <f>SUM(I71:I80)</f>
        <v>1898.9779590996177</v>
      </c>
      <c r="J70" s="57">
        <v>4900</v>
      </c>
      <c r="K70" s="2">
        <v>4900</v>
      </c>
    </row>
    <row r="71" spans="1:1025" ht="24.75" customHeight="1">
      <c r="A71" s="69" t="s">
        <v>56</v>
      </c>
      <c r="B71" s="70" t="s">
        <v>58</v>
      </c>
      <c r="C71" s="70" t="s">
        <v>25</v>
      </c>
      <c r="D71" s="71">
        <v>85</v>
      </c>
      <c r="E71" s="71">
        <f t="shared" ref="E71:E80" si="2">D71*8</f>
        <v>680</v>
      </c>
      <c r="F71" s="71">
        <v>1.4893771764705901</v>
      </c>
      <c r="G71" s="71">
        <v>0.30825791855203599</v>
      </c>
      <c r="H71" s="71">
        <v>4.7058823529411802</v>
      </c>
      <c r="I71" s="72">
        <f t="shared" ref="I71:I78" si="3">(F71+G71+H71)</f>
        <v>6.503517447963806</v>
      </c>
      <c r="J71" s="49">
        <f t="shared" ref="J71:J80" si="4">L71*J$70</f>
        <v>16.78125611849239</v>
      </c>
      <c r="L71" s="50">
        <f t="shared" ref="L71:L79" si="5">I71/I$70</f>
        <v>3.4247461466310998E-3</v>
      </c>
    </row>
    <row r="72" spans="1:1025" ht="24.75" customHeight="1">
      <c r="A72" s="59" t="s">
        <v>56</v>
      </c>
      <c r="B72" s="25" t="s">
        <v>59</v>
      </c>
      <c r="C72" s="25" t="s">
        <v>25</v>
      </c>
      <c r="D72" s="60">
        <v>100</v>
      </c>
      <c r="E72" s="60">
        <f t="shared" si="2"/>
        <v>800</v>
      </c>
      <c r="F72" s="60">
        <v>9.7426619999999993</v>
      </c>
      <c r="G72" s="60">
        <v>1.35899408284024</v>
      </c>
      <c r="H72" s="60">
        <v>17.59</v>
      </c>
      <c r="I72" s="61">
        <f t="shared" si="3"/>
        <v>28.69165608284024</v>
      </c>
      <c r="J72" s="49">
        <f t="shared" si="4"/>
        <v>74.034095094277006</v>
      </c>
      <c r="L72" s="50">
        <f t="shared" si="5"/>
        <v>1.5108998998832043E-2</v>
      </c>
    </row>
    <row r="73" spans="1:1025" ht="30">
      <c r="A73" s="45" t="s">
        <v>56</v>
      </c>
      <c r="B73" s="52" t="s">
        <v>60</v>
      </c>
      <c r="C73" s="46" t="s">
        <v>25</v>
      </c>
      <c r="D73" s="47">
        <v>2</v>
      </c>
      <c r="E73" s="47">
        <f t="shared" si="2"/>
        <v>16</v>
      </c>
      <c r="F73" s="47">
        <v>0</v>
      </c>
      <c r="G73" s="47">
        <v>29.086538461538499</v>
      </c>
      <c r="H73" s="47">
        <v>0</v>
      </c>
      <c r="I73" s="48">
        <f t="shared" si="3"/>
        <v>29.086538461538499</v>
      </c>
      <c r="J73" s="49">
        <f t="shared" si="4"/>
        <v>75.05302406412082</v>
      </c>
      <c r="L73" s="50">
        <f t="shared" si="5"/>
        <v>1.5316943686555269E-2</v>
      </c>
    </row>
    <row r="74" spans="1:1025" ht="30">
      <c r="A74" s="45" t="s">
        <v>56</v>
      </c>
      <c r="B74" s="52" t="s">
        <v>61</v>
      </c>
      <c r="C74" s="46" t="s">
        <v>25</v>
      </c>
      <c r="D74" s="47">
        <v>30</v>
      </c>
      <c r="E74" s="47">
        <f t="shared" si="2"/>
        <v>240</v>
      </c>
      <c r="F74" s="47">
        <v>4.2435</v>
      </c>
      <c r="G74" s="47">
        <v>0.87339743589743601</v>
      </c>
      <c r="H74" s="47">
        <v>13.3333333333333</v>
      </c>
      <c r="I74" s="48">
        <f t="shared" si="3"/>
        <v>18.450230769230735</v>
      </c>
      <c r="J74" s="49">
        <f t="shared" si="4"/>
        <v>47.607783089855246</v>
      </c>
      <c r="L74" s="50">
        <f t="shared" si="5"/>
        <v>9.7158740999704583E-3</v>
      </c>
    </row>
    <row r="75" spans="1:1025" ht="24.75" customHeight="1">
      <c r="A75" s="45" t="s">
        <v>56</v>
      </c>
      <c r="B75" s="46" t="s">
        <v>62</v>
      </c>
      <c r="C75" s="46" t="s">
        <v>25</v>
      </c>
      <c r="D75" s="47">
        <v>5</v>
      </c>
      <c r="E75" s="47">
        <f t="shared" si="2"/>
        <v>40</v>
      </c>
      <c r="F75" s="47">
        <v>9.9187499999999993</v>
      </c>
      <c r="G75" s="47">
        <v>6.375</v>
      </c>
      <c r="H75" s="47">
        <v>17.25</v>
      </c>
      <c r="I75" s="48">
        <f t="shared" si="3"/>
        <v>33.543750000000003</v>
      </c>
      <c r="J75" s="49">
        <f>L75*J$70</f>
        <v>86.554124660789554</v>
      </c>
      <c r="L75" s="50">
        <f t="shared" si="5"/>
        <v>1.766410707363052E-2</v>
      </c>
    </row>
    <row r="76" spans="1:1025" ht="24.75" customHeight="1">
      <c r="A76" s="45" t="s">
        <v>56</v>
      </c>
      <c r="B76" s="52" t="s">
        <v>63</v>
      </c>
      <c r="C76" s="46" t="s">
        <v>25</v>
      </c>
      <c r="D76" s="47">
        <v>2.5</v>
      </c>
      <c r="E76" s="47">
        <f t="shared" si="2"/>
        <v>20</v>
      </c>
      <c r="F76" s="47">
        <v>20.257020000000001</v>
      </c>
      <c r="G76" s="47">
        <v>18.798076923076898</v>
      </c>
      <c r="H76" s="47">
        <v>50</v>
      </c>
      <c r="I76" s="48">
        <f t="shared" si="3"/>
        <v>89.055096923076903</v>
      </c>
      <c r="J76" s="49">
        <f>L76*J$70</f>
        <v>229.79201671723325</v>
      </c>
      <c r="L76" s="50">
        <f t="shared" si="5"/>
        <v>4.6896329942292501E-2</v>
      </c>
    </row>
    <row r="77" spans="1:1025" ht="24.75" customHeight="1">
      <c r="A77" s="45" t="s">
        <v>56</v>
      </c>
      <c r="B77" s="46" t="s">
        <v>64</v>
      </c>
      <c r="C77" s="46" t="s">
        <v>25</v>
      </c>
      <c r="D77" s="47">
        <v>100</v>
      </c>
      <c r="E77" s="47">
        <f t="shared" si="2"/>
        <v>800</v>
      </c>
      <c r="F77" s="47">
        <v>42.545330999999997</v>
      </c>
      <c r="G77" s="47">
        <v>5.7333653846153902</v>
      </c>
      <c r="H77" s="47">
        <v>74.314999999999998</v>
      </c>
      <c r="I77" s="48">
        <f t="shared" si="3"/>
        <v>122.59369638461538</v>
      </c>
      <c r="J77" s="49">
        <f t="shared" si="4"/>
        <v>316.33285126144165</v>
      </c>
      <c r="L77" s="50">
        <f t="shared" si="5"/>
        <v>6.4557724747232995E-2</v>
      </c>
    </row>
    <row r="78" spans="1:1025" ht="24.75" customHeight="1">
      <c r="A78" s="45" t="s">
        <v>56</v>
      </c>
      <c r="B78" s="46" t="s">
        <v>65</v>
      </c>
      <c r="C78" s="46" t="s">
        <v>66</v>
      </c>
      <c r="D78" s="47">
        <v>2</v>
      </c>
      <c r="E78" s="47">
        <f t="shared" si="2"/>
        <v>16</v>
      </c>
      <c r="F78" s="47">
        <v>187.400390625</v>
      </c>
      <c r="G78" s="47">
        <v>43.416346153846199</v>
      </c>
      <c r="H78" s="47">
        <v>0.9375</v>
      </c>
      <c r="I78" s="48">
        <f t="shared" si="3"/>
        <v>231.75423677884621</v>
      </c>
      <c r="J78" s="49">
        <f t="shared" si="4"/>
        <v>598.0036549527822</v>
      </c>
      <c r="L78" s="50">
        <f t="shared" si="5"/>
        <v>0.12204156223526168</v>
      </c>
    </row>
    <row r="79" spans="1:1025" ht="30">
      <c r="A79" s="45" t="s">
        <v>56</v>
      </c>
      <c r="B79" s="52" t="s">
        <v>67</v>
      </c>
      <c r="C79" s="46" t="s">
        <v>25</v>
      </c>
      <c r="D79" s="47">
        <v>3.5</v>
      </c>
      <c r="E79" s="47">
        <f t="shared" si="2"/>
        <v>28</v>
      </c>
      <c r="F79" s="47">
        <v>13.362971428571401</v>
      </c>
      <c r="G79" s="47">
        <v>22.0305631868132</v>
      </c>
      <c r="H79" s="47">
        <v>0</v>
      </c>
      <c r="I79" s="48">
        <v>361.021628100074</v>
      </c>
      <c r="J79" s="49">
        <f t="shared" si="4"/>
        <v>931.55687732632759</v>
      </c>
      <c r="L79" s="50">
        <f t="shared" si="5"/>
        <v>0.1901136484339444</v>
      </c>
    </row>
    <row r="80" spans="1:1025" ht="30">
      <c r="A80" s="45" t="s">
        <v>56</v>
      </c>
      <c r="B80" s="52" t="s">
        <v>68</v>
      </c>
      <c r="C80" s="46" t="s">
        <v>25</v>
      </c>
      <c r="D80" s="47">
        <v>3.28125</v>
      </c>
      <c r="E80" s="47">
        <f t="shared" si="2"/>
        <v>26.25</v>
      </c>
      <c r="F80" s="47">
        <v>1074.8748584484099</v>
      </c>
      <c r="G80" s="47">
        <v>77.035604395604395</v>
      </c>
      <c r="H80" s="47">
        <v>54.857142857142897</v>
      </c>
      <c r="I80" s="48">
        <v>978.27760815143199</v>
      </c>
      <c r="J80" s="73">
        <f t="shared" si="4"/>
        <v>2524.2843167146807</v>
      </c>
      <c r="L80" s="50">
        <f>I80/I$70</f>
        <v>0.51516006463564912</v>
      </c>
    </row>
    <row r="81" spans="1:1025" s="85" customFormat="1" ht="24.75" customHeight="1">
      <c r="A81" s="37" t="s">
        <v>56</v>
      </c>
      <c r="B81" s="38" t="s">
        <v>607</v>
      </c>
      <c r="C81" s="46"/>
      <c r="D81" s="47"/>
      <c r="E81" s="47"/>
      <c r="F81" s="55">
        <f>SUM(F82:F91)</f>
        <v>1363.8348606784521</v>
      </c>
      <c r="G81" s="55">
        <f>SUM(G82:G91)</f>
        <v>205.01614394278428</v>
      </c>
      <c r="H81" s="55">
        <f>SUM(H82:H91)</f>
        <v>232.98885854341736</v>
      </c>
      <c r="I81" s="56">
        <f>SUM(I82:I91)</f>
        <v>1898.9779590996177</v>
      </c>
      <c r="J81" s="57">
        <v>4700</v>
      </c>
      <c r="K81" s="2">
        <v>4900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</row>
    <row r="82" spans="1:1025" s="85" customFormat="1" ht="24.75" customHeight="1">
      <c r="A82" s="69" t="s">
        <v>56</v>
      </c>
      <c r="B82" s="70" t="s">
        <v>58</v>
      </c>
      <c r="C82" s="70" t="s">
        <v>25</v>
      </c>
      <c r="D82" s="71">
        <v>85</v>
      </c>
      <c r="E82" s="71">
        <f t="shared" ref="E82:E91" si="6">D82*8</f>
        <v>680</v>
      </c>
      <c r="F82" s="71">
        <v>1.4893771764705901</v>
      </c>
      <c r="G82" s="71">
        <v>0.30825791855203599</v>
      </c>
      <c r="H82" s="71">
        <v>4.7058823529411802</v>
      </c>
      <c r="I82" s="72">
        <f t="shared" ref="I82:I89" si="7">(F82+G82+H82)</f>
        <v>6.503517447963806</v>
      </c>
      <c r="J82" s="49">
        <f>L82*J$81</f>
        <v>16.096306889166168</v>
      </c>
      <c r="K82" s="2"/>
      <c r="L82" s="50">
        <f t="shared" ref="L82:L91" si="8">I82/I$70</f>
        <v>3.4247461466310998E-3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</row>
    <row r="83" spans="1:1025" s="85" customFormat="1" ht="24.75" customHeight="1">
      <c r="A83" s="59" t="s">
        <v>56</v>
      </c>
      <c r="B83" s="25" t="s">
        <v>59</v>
      </c>
      <c r="C83" s="25" t="s">
        <v>25</v>
      </c>
      <c r="D83" s="60">
        <v>100</v>
      </c>
      <c r="E83" s="60">
        <f t="shared" si="6"/>
        <v>800</v>
      </c>
      <c r="F83" s="60">
        <v>9.7426619999999993</v>
      </c>
      <c r="G83" s="60">
        <v>1.35899408284024</v>
      </c>
      <c r="H83" s="60">
        <v>17.59</v>
      </c>
      <c r="I83" s="61">
        <f t="shared" si="7"/>
        <v>28.69165608284024</v>
      </c>
      <c r="J83" s="49">
        <f t="shared" ref="J83:J91" si="9">L83*J$81</f>
        <v>71.012295294510608</v>
      </c>
      <c r="K83" s="2"/>
      <c r="L83" s="50">
        <f t="shared" si="8"/>
        <v>1.5108998998832043E-2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</row>
    <row r="84" spans="1:1025" s="85" customFormat="1" ht="30">
      <c r="A84" s="45" t="s">
        <v>56</v>
      </c>
      <c r="B84" s="52" t="s">
        <v>60</v>
      </c>
      <c r="C84" s="46" t="s">
        <v>25</v>
      </c>
      <c r="D84" s="47">
        <v>2</v>
      </c>
      <c r="E84" s="47">
        <f t="shared" si="6"/>
        <v>16</v>
      </c>
      <c r="F84" s="47">
        <v>0</v>
      </c>
      <c r="G84" s="47">
        <v>29.086538461538499</v>
      </c>
      <c r="H84" s="47">
        <v>0</v>
      </c>
      <c r="I84" s="48">
        <f t="shared" si="7"/>
        <v>29.086538461538499</v>
      </c>
      <c r="J84" s="49">
        <f t="shared" si="9"/>
        <v>71.989635326809761</v>
      </c>
      <c r="K84" s="2"/>
      <c r="L84" s="50">
        <f t="shared" si="8"/>
        <v>1.5316943686555269E-2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</row>
    <row r="85" spans="1:1025" s="85" customFormat="1" ht="30">
      <c r="A85" s="45" t="s">
        <v>56</v>
      </c>
      <c r="B85" s="52" t="s">
        <v>61</v>
      </c>
      <c r="C85" s="46" t="s">
        <v>25</v>
      </c>
      <c r="D85" s="47">
        <v>30</v>
      </c>
      <c r="E85" s="47">
        <f t="shared" si="6"/>
        <v>240</v>
      </c>
      <c r="F85" s="47">
        <v>4.2435</v>
      </c>
      <c r="G85" s="47">
        <v>0.87339743589743601</v>
      </c>
      <c r="H85" s="47">
        <v>13.3333333333333</v>
      </c>
      <c r="I85" s="48">
        <f t="shared" si="7"/>
        <v>18.450230769230735</v>
      </c>
      <c r="J85" s="49">
        <f t="shared" si="9"/>
        <v>45.664608269861155</v>
      </c>
      <c r="K85" s="2"/>
      <c r="L85" s="50">
        <f t="shared" si="8"/>
        <v>9.7158740999704583E-3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</row>
    <row r="86" spans="1:1025" s="85" customFormat="1" ht="24.75" customHeight="1">
      <c r="A86" s="45" t="s">
        <v>56</v>
      </c>
      <c r="B86" s="46" t="s">
        <v>62</v>
      </c>
      <c r="C86" s="46" t="s">
        <v>25</v>
      </c>
      <c r="D86" s="47">
        <v>5</v>
      </c>
      <c r="E86" s="47">
        <f t="shared" si="6"/>
        <v>40</v>
      </c>
      <c r="F86" s="47">
        <v>9.9187499999999993</v>
      </c>
      <c r="G86" s="47">
        <v>6.375</v>
      </c>
      <c r="H86" s="47">
        <v>17.25</v>
      </c>
      <c r="I86" s="48">
        <f t="shared" si="7"/>
        <v>33.543750000000003</v>
      </c>
      <c r="J86" s="49">
        <f t="shared" si="9"/>
        <v>83.021303246063439</v>
      </c>
      <c r="K86" s="2"/>
      <c r="L86" s="50">
        <f t="shared" si="8"/>
        <v>1.766410707363052E-2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</row>
    <row r="87" spans="1:1025" s="85" customFormat="1" ht="24.75" customHeight="1">
      <c r="A87" s="45" t="s">
        <v>56</v>
      </c>
      <c r="B87" s="52" t="s">
        <v>63</v>
      </c>
      <c r="C87" s="46" t="s">
        <v>25</v>
      </c>
      <c r="D87" s="47">
        <v>2.5</v>
      </c>
      <c r="E87" s="47">
        <f t="shared" si="6"/>
        <v>20</v>
      </c>
      <c r="F87" s="47">
        <v>20.257020000000001</v>
      </c>
      <c r="G87" s="47">
        <v>18.798076923076898</v>
      </c>
      <c r="H87" s="47">
        <v>50</v>
      </c>
      <c r="I87" s="48">
        <f t="shared" si="7"/>
        <v>89.055096923076903</v>
      </c>
      <c r="J87" s="49">
        <f t="shared" si="9"/>
        <v>220.41275072877477</v>
      </c>
      <c r="K87" s="2"/>
      <c r="L87" s="50">
        <f t="shared" si="8"/>
        <v>4.6896329942292501E-2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</row>
    <row r="88" spans="1:1025" s="85" customFormat="1" ht="24.75" customHeight="1">
      <c r="A88" s="45" t="s">
        <v>56</v>
      </c>
      <c r="B88" s="46" t="s">
        <v>64</v>
      </c>
      <c r="C88" s="46" t="s">
        <v>25</v>
      </c>
      <c r="D88" s="47">
        <v>100</v>
      </c>
      <c r="E88" s="47">
        <f t="shared" si="6"/>
        <v>800</v>
      </c>
      <c r="F88" s="47">
        <v>42.545330999999997</v>
      </c>
      <c r="G88" s="47">
        <v>5.7333653846153902</v>
      </c>
      <c r="H88" s="47">
        <v>74.314999999999998</v>
      </c>
      <c r="I88" s="48">
        <f t="shared" si="7"/>
        <v>122.59369638461538</v>
      </c>
      <c r="J88" s="49">
        <f t="shared" si="9"/>
        <v>303.42130631199507</v>
      </c>
      <c r="K88" s="2"/>
      <c r="L88" s="50">
        <f t="shared" si="8"/>
        <v>6.4557724747232995E-2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</row>
    <row r="89" spans="1:1025" s="85" customFormat="1" ht="24.75" customHeight="1">
      <c r="A89" s="45" t="s">
        <v>56</v>
      </c>
      <c r="B89" s="46" t="s">
        <v>65</v>
      </c>
      <c r="C89" s="46" t="s">
        <v>66</v>
      </c>
      <c r="D89" s="47">
        <v>2</v>
      </c>
      <c r="E89" s="47">
        <f t="shared" si="6"/>
        <v>16</v>
      </c>
      <c r="F89" s="47">
        <v>187.400390625</v>
      </c>
      <c r="G89" s="47">
        <v>43.416346153846199</v>
      </c>
      <c r="H89" s="47">
        <v>0.9375</v>
      </c>
      <c r="I89" s="48">
        <f t="shared" si="7"/>
        <v>231.75423677884621</v>
      </c>
      <c r="J89" s="49">
        <f t="shared" si="9"/>
        <v>573.59534250572983</v>
      </c>
      <c r="K89" s="2"/>
      <c r="L89" s="50">
        <f t="shared" si="8"/>
        <v>0.12204156223526168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</row>
    <row r="90" spans="1:1025" s="85" customFormat="1" ht="30">
      <c r="A90" s="45" t="s">
        <v>56</v>
      </c>
      <c r="B90" s="52" t="s">
        <v>67</v>
      </c>
      <c r="C90" s="46" t="s">
        <v>25</v>
      </c>
      <c r="D90" s="47">
        <v>3.5</v>
      </c>
      <c r="E90" s="47">
        <f t="shared" si="6"/>
        <v>28</v>
      </c>
      <c r="F90" s="47">
        <v>13.362971428571401</v>
      </c>
      <c r="G90" s="47">
        <v>22.0305631868132</v>
      </c>
      <c r="H90" s="47">
        <v>0</v>
      </c>
      <c r="I90" s="48">
        <v>361.021628100074</v>
      </c>
      <c r="J90" s="49">
        <f t="shared" si="9"/>
        <v>893.53414763953867</v>
      </c>
      <c r="K90" s="2"/>
      <c r="L90" s="50">
        <f t="shared" si="8"/>
        <v>0.1901136484339444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</row>
    <row r="91" spans="1:1025" s="85" customFormat="1" ht="30">
      <c r="A91" s="45" t="s">
        <v>56</v>
      </c>
      <c r="B91" s="52" t="s">
        <v>68</v>
      </c>
      <c r="C91" s="46" t="s">
        <v>25</v>
      </c>
      <c r="D91" s="47">
        <v>3.28125</v>
      </c>
      <c r="E91" s="47">
        <f t="shared" si="6"/>
        <v>26.25</v>
      </c>
      <c r="F91" s="47">
        <v>1074.8748584484099</v>
      </c>
      <c r="G91" s="47">
        <v>77.035604395604395</v>
      </c>
      <c r="H91" s="47">
        <v>54.857142857142897</v>
      </c>
      <c r="I91" s="48">
        <v>978.27760815143199</v>
      </c>
      <c r="J91" s="49">
        <f t="shared" si="9"/>
        <v>2421.2523037875508</v>
      </c>
      <c r="K91" s="2"/>
      <c r="L91" s="50">
        <f t="shared" si="8"/>
        <v>0.51516006463564912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</row>
    <row r="92" spans="1:1025" ht="24.75" customHeight="1">
      <c r="A92" s="37" t="s">
        <v>69</v>
      </c>
      <c r="B92" s="38" t="s">
        <v>70</v>
      </c>
      <c r="C92" s="46"/>
      <c r="D92" s="47"/>
      <c r="E92" s="47"/>
      <c r="F92" s="55">
        <f>F93</f>
        <v>13.335625</v>
      </c>
      <c r="G92" s="55">
        <f>G93</f>
        <v>0.66473858173076905</v>
      </c>
      <c r="H92" s="55">
        <f>H93</f>
        <v>0.37812499999999999</v>
      </c>
      <c r="I92" s="56">
        <f>I93</f>
        <v>14.378488581730769</v>
      </c>
      <c r="J92" s="57">
        <v>49</v>
      </c>
      <c r="K92" s="2">
        <v>49</v>
      </c>
    </row>
    <row r="93" spans="1:1025" ht="24.75" customHeight="1">
      <c r="A93" s="45" t="s">
        <v>69</v>
      </c>
      <c r="B93" s="46" t="s">
        <v>71</v>
      </c>
      <c r="C93" s="52" t="s">
        <v>72</v>
      </c>
      <c r="D93" s="47">
        <v>80</v>
      </c>
      <c r="E93" s="47">
        <f>D93*8</f>
        <v>640</v>
      </c>
      <c r="F93" s="53">
        <v>13.335625</v>
      </c>
      <c r="G93" s="53">
        <v>0.66473858173076905</v>
      </c>
      <c r="H93" s="53">
        <v>0.37812499999999999</v>
      </c>
      <c r="I93" s="48">
        <f>F93+G93+H93</f>
        <v>14.378488581730769</v>
      </c>
      <c r="J93" s="49">
        <f>J92</f>
        <v>49</v>
      </c>
    </row>
    <row r="94" spans="1:1025" ht="24.75" customHeight="1">
      <c r="A94" s="37" t="s">
        <v>73</v>
      </c>
      <c r="B94" s="38" t="s">
        <v>74</v>
      </c>
      <c r="C94" s="46"/>
      <c r="D94" s="47"/>
      <c r="E94" s="47"/>
      <c r="F94" s="55">
        <f>SUM(F95:F100)</f>
        <v>498.59594847397358</v>
      </c>
      <c r="G94" s="55">
        <f>SUM(G95:G100)</f>
        <v>120.87079672056203</v>
      </c>
      <c r="H94" s="55">
        <f>SUM(H95:H100)</f>
        <v>177.04588235294119</v>
      </c>
      <c r="I94" s="56">
        <f>SUM(I95:I100)</f>
        <v>490.20168538997399</v>
      </c>
      <c r="J94" s="57">
        <v>1800</v>
      </c>
      <c r="K94" s="2">
        <v>1800</v>
      </c>
    </row>
    <row r="95" spans="1:1025" ht="36" customHeight="1">
      <c r="A95" s="45" t="s">
        <v>73</v>
      </c>
      <c r="B95" s="52" t="s">
        <v>75</v>
      </c>
      <c r="C95" s="46" t="s">
        <v>25</v>
      </c>
      <c r="D95" s="47">
        <v>30</v>
      </c>
      <c r="E95" s="47">
        <f>D95*8</f>
        <v>240</v>
      </c>
      <c r="F95" s="47">
        <v>10.549754999999999</v>
      </c>
      <c r="G95" s="47">
        <v>0.80128205128205099</v>
      </c>
      <c r="H95" s="47">
        <v>13.3333333333333</v>
      </c>
      <c r="I95" s="48">
        <f>(F95+G95+H95)*0.66</f>
        <v>16.291684453846131</v>
      </c>
      <c r="J95" s="49">
        <f t="shared" ref="J95:J100" si="10">L95*J$94</f>
        <v>59.822381054430402</v>
      </c>
      <c r="L95" s="50">
        <f t="shared" ref="L95:L100" si="11">I95/I$94</f>
        <v>3.3234656141350225E-2</v>
      </c>
    </row>
    <row r="96" spans="1:1025" ht="24.75" customHeight="1">
      <c r="A96" s="45" t="s">
        <v>73</v>
      </c>
      <c r="B96" s="46" t="s">
        <v>76</v>
      </c>
      <c r="C96" s="46" t="s">
        <v>25</v>
      </c>
      <c r="D96" s="47">
        <v>0.9</v>
      </c>
      <c r="E96" s="47">
        <f>D96*8</f>
        <v>7.2</v>
      </c>
      <c r="F96" s="47">
        <v>0</v>
      </c>
      <c r="G96" s="47">
        <v>49.679487179487197</v>
      </c>
      <c r="H96" s="47">
        <v>0</v>
      </c>
      <c r="I96" s="48">
        <f>(F96+G96+H96)*0.66</f>
        <v>32.788461538461554</v>
      </c>
      <c r="J96" s="49">
        <f t="shared" si="10"/>
        <v>120.39785363503751</v>
      </c>
      <c r="L96" s="50">
        <f t="shared" si="11"/>
        <v>6.6887696463909727E-2</v>
      </c>
    </row>
    <row r="97" spans="1:1025" ht="24.75" customHeight="1">
      <c r="A97" s="45" t="s">
        <v>73</v>
      </c>
      <c r="B97" s="46" t="s">
        <v>77</v>
      </c>
      <c r="C97" s="46" t="s">
        <v>25</v>
      </c>
      <c r="D97" s="47">
        <v>100</v>
      </c>
      <c r="E97" s="47">
        <f>D97*8</f>
        <v>800</v>
      </c>
      <c r="F97" s="47">
        <v>74.581823999999997</v>
      </c>
      <c r="G97" s="47">
        <v>10.1754807692308</v>
      </c>
      <c r="H97" s="47">
        <v>131</v>
      </c>
      <c r="I97" s="48">
        <f>(F97+G97+H97)*0.66</f>
        <v>142.39982114769234</v>
      </c>
      <c r="J97" s="49">
        <f t="shared" si="10"/>
        <v>522.8861623801522</v>
      </c>
      <c r="L97" s="50">
        <f t="shared" si="11"/>
        <v>0.29049231243341789</v>
      </c>
    </row>
    <row r="98" spans="1:1025" ht="24.75" customHeight="1">
      <c r="A98" s="45" t="s">
        <v>73</v>
      </c>
      <c r="B98" s="46" t="s">
        <v>58</v>
      </c>
      <c r="C98" s="46" t="s">
        <v>78</v>
      </c>
      <c r="D98" s="47">
        <v>85</v>
      </c>
      <c r="E98" s="47">
        <v>680</v>
      </c>
      <c r="F98" s="47">
        <v>1.4893771764705901</v>
      </c>
      <c r="G98" s="47">
        <v>0.30825791855203599</v>
      </c>
      <c r="H98" s="47">
        <v>4.7058823529411802</v>
      </c>
      <c r="I98" s="48">
        <v>6.5035174479637998</v>
      </c>
      <c r="J98" s="49">
        <f t="shared" si="10"/>
        <v>23.880642917459596</v>
      </c>
      <c r="L98" s="50">
        <f t="shared" si="11"/>
        <v>1.326702384303311E-2</v>
      </c>
    </row>
    <row r="99" spans="1:1025" ht="24.75" customHeight="1">
      <c r="A99" s="45" t="s">
        <v>73</v>
      </c>
      <c r="B99" s="46" t="s">
        <v>59</v>
      </c>
      <c r="C99" s="46" t="s">
        <v>25</v>
      </c>
      <c r="D99" s="47">
        <v>100</v>
      </c>
      <c r="E99" s="47">
        <v>800</v>
      </c>
      <c r="F99" s="47">
        <v>9.7426619999999993</v>
      </c>
      <c r="G99" s="47">
        <v>1.35899408284024</v>
      </c>
      <c r="H99" s="47">
        <v>17.59</v>
      </c>
      <c r="I99" s="48">
        <v>28.691656082840201</v>
      </c>
      <c r="J99" s="49">
        <f t="shared" si="10"/>
        <v>105.35455607017514</v>
      </c>
      <c r="L99" s="50">
        <f t="shared" si="11"/>
        <v>5.8530308927875072E-2</v>
      </c>
    </row>
    <row r="100" spans="1:1025" ht="24.75" customHeight="1">
      <c r="A100" s="45" t="s">
        <v>73</v>
      </c>
      <c r="B100" s="46" t="s">
        <v>79</v>
      </c>
      <c r="C100" s="46" t="s">
        <v>25</v>
      </c>
      <c r="D100" s="47">
        <v>1.44</v>
      </c>
      <c r="E100" s="47">
        <f>D100*8</f>
        <v>11.52</v>
      </c>
      <c r="F100" s="47">
        <v>402.23233029750298</v>
      </c>
      <c r="G100" s="47">
        <v>58.547294719169699</v>
      </c>
      <c r="H100" s="47">
        <v>10.4166666666667</v>
      </c>
      <c r="I100" s="48">
        <v>263.52654471916998</v>
      </c>
      <c r="J100" s="49">
        <f t="shared" si="10"/>
        <v>967.65840394274528</v>
      </c>
      <c r="L100" s="50">
        <f t="shared" si="11"/>
        <v>0.53758800219041403</v>
      </c>
    </row>
    <row r="101" spans="1:1025" ht="24.75" customHeight="1">
      <c r="A101" s="37" t="s">
        <v>80</v>
      </c>
      <c r="B101" s="38" t="s">
        <v>559</v>
      </c>
      <c r="C101" s="46" t="s">
        <v>66</v>
      </c>
      <c r="D101" s="47"/>
      <c r="E101" s="47"/>
      <c r="F101" s="55">
        <f>SUM(F102:F107)</f>
        <v>154.69534950375328</v>
      </c>
      <c r="G101" s="55">
        <f>SUM(G102:G107)</f>
        <v>100.92295255084292</v>
      </c>
      <c r="H101" s="55">
        <f>SUM(H102:H107)</f>
        <v>166.62921568627451</v>
      </c>
      <c r="I101" s="56">
        <f>SUM(I102:I107)</f>
        <v>323.60632254753699</v>
      </c>
      <c r="J101" s="57">
        <v>300</v>
      </c>
      <c r="K101" s="2">
        <v>300</v>
      </c>
    </row>
    <row r="102" spans="1:1025" ht="30">
      <c r="A102" s="45" t="s">
        <v>80</v>
      </c>
      <c r="B102" s="52" t="str">
        <f>B95</f>
        <v>Stone Production by Excavator ( For Masonary  )</v>
      </c>
      <c r="C102" s="46" t="s">
        <v>25</v>
      </c>
      <c r="D102" s="47">
        <v>30</v>
      </c>
      <c r="E102" s="47">
        <v>240</v>
      </c>
      <c r="F102" s="47">
        <v>10.549754999999999</v>
      </c>
      <c r="G102" s="47">
        <v>0.80128205128205099</v>
      </c>
      <c r="H102" s="47">
        <v>13.3333333333333</v>
      </c>
      <c r="I102" s="48">
        <v>16.291684453846202</v>
      </c>
      <c r="J102" s="49">
        <f t="shared" ref="J102:J107" si="12">L102*J$101</f>
        <v>15.103244268152077</v>
      </c>
      <c r="L102" s="50">
        <f t="shared" ref="L102:L107" si="13">I102/I$101</f>
        <v>5.0344147560506924E-2</v>
      </c>
    </row>
    <row r="103" spans="1:1025" ht="24.75" customHeight="1">
      <c r="A103" s="45" t="s">
        <v>80</v>
      </c>
      <c r="B103" s="46" t="s">
        <v>76</v>
      </c>
      <c r="C103" s="46" t="s">
        <v>25</v>
      </c>
      <c r="D103" s="47">
        <v>0.9</v>
      </c>
      <c r="E103" s="47">
        <v>7.2</v>
      </c>
      <c r="F103" s="47">
        <v>0</v>
      </c>
      <c r="G103" s="47">
        <v>49.679487179487197</v>
      </c>
      <c r="H103" s="47">
        <v>0</v>
      </c>
      <c r="I103" s="48">
        <v>32.788461538461497</v>
      </c>
      <c r="J103" s="49">
        <f t="shared" si="12"/>
        <v>30.396620140490256</v>
      </c>
      <c r="L103" s="50">
        <f t="shared" si="13"/>
        <v>0.10132206713496753</v>
      </c>
    </row>
    <row r="104" spans="1:1025" ht="24.75" customHeight="1">
      <c r="A104" s="45" t="s">
        <v>80</v>
      </c>
      <c r="B104" s="46" t="s">
        <v>77</v>
      </c>
      <c r="C104" s="46" t="s">
        <v>25</v>
      </c>
      <c r="D104" s="47">
        <v>100</v>
      </c>
      <c r="E104" s="47">
        <v>800</v>
      </c>
      <c r="F104" s="47">
        <v>74.581823999999997</v>
      </c>
      <c r="G104" s="47">
        <v>10.1754807692308</v>
      </c>
      <c r="H104" s="47">
        <v>131</v>
      </c>
      <c r="I104" s="48">
        <v>142.39982114769199</v>
      </c>
      <c r="J104" s="49">
        <f t="shared" si="12"/>
        <v>132.01208804575239</v>
      </c>
      <c r="L104" s="50">
        <f t="shared" si="13"/>
        <v>0.44004029348584128</v>
      </c>
    </row>
    <row r="105" spans="1:1025" ht="24.75" customHeight="1">
      <c r="A105" s="45" t="s">
        <v>80</v>
      </c>
      <c r="B105" s="46" t="s">
        <v>58</v>
      </c>
      <c r="C105" s="46" t="s">
        <v>25</v>
      </c>
      <c r="D105" s="47">
        <v>85</v>
      </c>
      <c r="E105" s="47">
        <v>680</v>
      </c>
      <c r="F105" s="47">
        <v>1.4893771764705901</v>
      </c>
      <c r="G105" s="47">
        <v>0.30825791855203599</v>
      </c>
      <c r="H105" s="47">
        <v>4.7058823529411802</v>
      </c>
      <c r="I105" s="48">
        <v>6.5035174479637998</v>
      </c>
      <c r="J105" s="49">
        <f t="shared" si="12"/>
        <v>6.029101097375916</v>
      </c>
      <c r="L105" s="50">
        <f t="shared" si="13"/>
        <v>2.0097003657919721E-2</v>
      </c>
    </row>
    <row r="106" spans="1:1025" ht="24.75" customHeight="1">
      <c r="A106" s="45" t="s">
        <v>80</v>
      </c>
      <c r="B106" s="46" t="s">
        <v>59</v>
      </c>
      <c r="C106" s="46" t="s">
        <v>25</v>
      </c>
      <c r="D106" s="47">
        <v>100</v>
      </c>
      <c r="E106" s="47">
        <v>800</v>
      </c>
      <c r="F106" s="47">
        <v>9.7426619999999993</v>
      </c>
      <c r="G106" s="47">
        <v>1.35899408284024</v>
      </c>
      <c r="H106" s="47">
        <v>17.59</v>
      </c>
      <c r="I106" s="48">
        <v>28.691656082840201</v>
      </c>
      <c r="J106" s="49">
        <f t="shared" si="12"/>
        <v>26.598667038057144</v>
      </c>
      <c r="L106" s="50">
        <f t="shared" si="13"/>
        <v>8.8662223460190481E-2</v>
      </c>
    </row>
    <row r="107" spans="1:1025" ht="24.75" customHeight="1" thickBot="1">
      <c r="A107" s="74" t="s">
        <v>80</v>
      </c>
      <c r="B107" s="64" t="s">
        <v>81</v>
      </c>
      <c r="C107" s="64" t="s">
        <v>66</v>
      </c>
      <c r="D107" s="65">
        <v>1</v>
      </c>
      <c r="E107" s="65">
        <f>D107*8</f>
        <v>8</v>
      </c>
      <c r="F107" s="65">
        <v>58.331731327282696</v>
      </c>
      <c r="G107" s="65">
        <v>38.599450549450601</v>
      </c>
      <c r="H107" s="65">
        <v>0</v>
      </c>
      <c r="I107" s="66">
        <f>F107+G107+H107</f>
        <v>96.931181876733291</v>
      </c>
      <c r="J107" s="67">
        <f t="shared" si="12"/>
        <v>89.860279410172211</v>
      </c>
      <c r="L107" s="50">
        <f t="shared" si="13"/>
        <v>0.29953426470057404</v>
      </c>
    </row>
    <row r="108" spans="1:1025" s="85" customFormat="1" ht="24.75" customHeight="1" thickTop="1">
      <c r="A108" s="37" t="s">
        <v>80</v>
      </c>
      <c r="B108" s="38" t="s">
        <v>558</v>
      </c>
      <c r="C108" s="46" t="s">
        <v>66</v>
      </c>
      <c r="D108" s="47"/>
      <c r="E108" s="47"/>
      <c r="F108" s="55">
        <f>SUM(F109:F114)</f>
        <v>154.69534950375328</v>
      </c>
      <c r="G108" s="55">
        <f>SUM(G109:G114)</f>
        <v>100.92295255084292</v>
      </c>
      <c r="H108" s="55">
        <f>SUM(H109:H114)</f>
        <v>166.62921568627451</v>
      </c>
      <c r="I108" s="56">
        <f>SUM(I109:I114)</f>
        <v>323.60632254753699</v>
      </c>
      <c r="J108" s="57">
        <v>300</v>
      </c>
      <c r="K108" s="2">
        <v>300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</row>
    <row r="109" spans="1:1025" s="85" customFormat="1" ht="30">
      <c r="A109" s="45" t="s">
        <v>80</v>
      </c>
      <c r="B109" s="52" t="str">
        <f>B102</f>
        <v>Stone Production by Excavator ( For Masonary  )</v>
      </c>
      <c r="C109" s="46" t="s">
        <v>25</v>
      </c>
      <c r="D109" s="47">
        <v>30</v>
      </c>
      <c r="E109" s="47">
        <v>240</v>
      </c>
      <c r="F109" s="47">
        <v>10.549754999999999</v>
      </c>
      <c r="G109" s="47">
        <v>0.80128205128205099</v>
      </c>
      <c r="H109" s="47">
        <v>13.3333333333333</v>
      </c>
      <c r="I109" s="48">
        <v>16.291684453846202</v>
      </c>
      <c r="J109" s="49">
        <f t="shared" ref="J109:J114" si="14">L109*J$101</f>
        <v>15.103244268152077</v>
      </c>
      <c r="K109" s="2"/>
      <c r="L109" s="50">
        <f t="shared" ref="L109:L114" si="15">I109/I$101</f>
        <v>5.0344147560506924E-2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</row>
    <row r="110" spans="1:1025" s="85" customFormat="1" ht="24.75" customHeight="1">
      <c r="A110" s="45" t="s">
        <v>80</v>
      </c>
      <c r="B110" s="46" t="s">
        <v>76</v>
      </c>
      <c r="C110" s="46" t="s">
        <v>25</v>
      </c>
      <c r="D110" s="47">
        <v>0.9</v>
      </c>
      <c r="E110" s="47">
        <v>7.2</v>
      </c>
      <c r="F110" s="47">
        <v>0</v>
      </c>
      <c r="G110" s="47">
        <v>49.679487179487197</v>
      </c>
      <c r="H110" s="47">
        <v>0</v>
      </c>
      <c r="I110" s="48">
        <v>32.788461538461497</v>
      </c>
      <c r="J110" s="49">
        <f t="shared" si="14"/>
        <v>30.396620140490256</v>
      </c>
      <c r="K110" s="2"/>
      <c r="L110" s="50">
        <f t="shared" si="15"/>
        <v>0.10132206713496753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</row>
    <row r="111" spans="1:1025" s="85" customFormat="1" ht="24.75" customHeight="1">
      <c r="A111" s="45" t="s">
        <v>80</v>
      </c>
      <c r="B111" s="46" t="s">
        <v>77</v>
      </c>
      <c r="C111" s="46" t="s">
        <v>25</v>
      </c>
      <c r="D111" s="47">
        <v>100</v>
      </c>
      <c r="E111" s="47">
        <v>800</v>
      </c>
      <c r="F111" s="47">
        <v>74.581823999999997</v>
      </c>
      <c r="G111" s="47">
        <v>10.1754807692308</v>
      </c>
      <c r="H111" s="47">
        <v>131</v>
      </c>
      <c r="I111" s="48">
        <v>142.39982114769199</v>
      </c>
      <c r="J111" s="49">
        <f t="shared" si="14"/>
        <v>132.01208804575239</v>
      </c>
      <c r="K111" s="2"/>
      <c r="L111" s="50">
        <f t="shared" si="15"/>
        <v>0.44004029348584128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</row>
    <row r="112" spans="1:1025" s="85" customFormat="1" ht="24.75" customHeight="1">
      <c r="A112" s="45" t="s">
        <v>80</v>
      </c>
      <c r="B112" s="46" t="s">
        <v>58</v>
      </c>
      <c r="C112" s="46" t="s">
        <v>25</v>
      </c>
      <c r="D112" s="47">
        <v>85</v>
      </c>
      <c r="E112" s="47">
        <v>680</v>
      </c>
      <c r="F112" s="47">
        <v>1.4893771764705901</v>
      </c>
      <c r="G112" s="47">
        <v>0.30825791855203599</v>
      </c>
      <c r="H112" s="47">
        <v>4.7058823529411802</v>
      </c>
      <c r="I112" s="48">
        <v>6.5035174479637998</v>
      </c>
      <c r="J112" s="49">
        <f t="shared" si="14"/>
        <v>6.029101097375916</v>
      </c>
      <c r="K112" s="2"/>
      <c r="L112" s="50">
        <f t="shared" si="15"/>
        <v>2.0097003657919721E-2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</row>
    <row r="113" spans="1:1025" s="85" customFormat="1" ht="24.75" customHeight="1">
      <c r="A113" s="45" t="s">
        <v>80</v>
      </c>
      <c r="B113" s="46" t="s">
        <v>59</v>
      </c>
      <c r="C113" s="46" t="s">
        <v>25</v>
      </c>
      <c r="D113" s="47">
        <v>100</v>
      </c>
      <c r="E113" s="47">
        <v>800</v>
      </c>
      <c r="F113" s="47">
        <v>9.7426619999999993</v>
      </c>
      <c r="G113" s="47">
        <v>1.35899408284024</v>
      </c>
      <c r="H113" s="47">
        <v>17.59</v>
      </c>
      <c r="I113" s="48">
        <v>28.691656082840201</v>
      </c>
      <c r="J113" s="49">
        <f t="shared" si="14"/>
        <v>26.598667038057144</v>
      </c>
      <c r="K113" s="2"/>
      <c r="L113" s="50">
        <f t="shared" si="15"/>
        <v>8.8662223460190481E-2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</row>
    <row r="114" spans="1:1025" s="85" customFormat="1" ht="24.75" customHeight="1" thickBot="1">
      <c r="A114" s="74" t="s">
        <v>80</v>
      </c>
      <c r="B114" s="64" t="s">
        <v>81</v>
      </c>
      <c r="C114" s="64" t="s">
        <v>66</v>
      </c>
      <c r="D114" s="65">
        <v>1</v>
      </c>
      <c r="E114" s="65">
        <f>D114*8</f>
        <v>8</v>
      </c>
      <c r="F114" s="65">
        <v>58.331731327282696</v>
      </c>
      <c r="G114" s="65">
        <v>38.599450549450601</v>
      </c>
      <c r="H114" s="65">
        <v>0</v>
      </c>
      <c r="I114" s="66">
        <f>F114+G114+H114</f>
        <v>96.931181876733291</v>
      </c>
      <c r="J114" s="67">
        <f t="shared" si="14"/>
        <v>89.860279410172211</v>
      </c>
      <c r="K114" s="2"/>
      <c r="L114" s="50">
        <f t="shared" si="15"/>
        <v>0.29953426470057404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</row>
    <row r="115" spans="1:1025" ht="24.75" customHeight="1" thickTop="1">
      <c r="A115" s="59"/>
      <c r="B115" s="24" t="s">
        <v>82</v>
      </c>
      <c r="C115" s="25"/>
      <c r="D115" s="60"/>
      <c r="E115" s="60"/>
      <c r="F115" s="60"/>
      <c r="G115" s="60"/>
      <c r="H115" s="60"/>
      <c r="I115" s="61"/>
      <c r="J115" s="62"/>
      <c r="K115" s="2">
        <v>135</v>
      </c>
    </row>
    <row r="116" spans="1:1025" ht="24.75" customHeight="1">
      <c r="A116" s="37" t="s">
        <v>83</v>
      </c>
      <c r="B116" s="38" t="s">
        <v>41</v>
      </c>
      <c r="C116" s="46"/>
      <c r="D116" s="47"/>
      <c r="E116" s="47"/>
      <c r="F116" s="55">
        <f>SUM(F117)</f>
        <v>3.2796562499999999</v>
      </c>
      <c r="G116" s="55">
        <f>SUM(G117)</f>
        <v>1.2439903846153799</v>
      </c>
      <c r="H116" s="55">
        <f>SUM(H117)</f>
        <v>10.1875</v>
      </c>
      <c r="I116" s="56">
        <f>SUM(I117:I117)</f>
        <v>14.71114663461538</v>
      </c>
      <c r="J116" s="57">
        <v>135</v>
      </c>
      <c r="K116" s="2">
        <v>200</v>
      </c>
    </row>
    <row r="117" spans="1:1025" ht="30">
      <c r="A117" s="45" t="s">
        <v>83</v>
      </c>
      <c r="B117" s="52" t="s">
        <v>84</v>
      </c>
      <c r="C117" s="46" t="s">
        <v>25</v>
      </c>
      <c r="D117" s="47">
        <v>40</v>
      </c>
      <c r="E117" s="47">
        <f>D117*8</f>
        <v>320</v>
      </c>
      <c r="F117" s="47">
        <v>3.2796562499999999</v>
      </c>
      <c r="G117" s="47">
        <v>1.2439903846153799</v>
      </c>
      <c r="H117" s="47">
        <v>10.1875</v>
      </c>
      <c r="I117" s="48">
        <f>F117+G117+H117</f>
        <v>14.71114663461538</v>
      </c>
      <c r="J117" s="49">
        <f>J116</f>
        <v>135</v>
      </c>
      <c r="K117" s="2">
        <v>500</v>
      </c>
    </row>
    <row r="118" spans="1:1025" s="85" customFormat="1" ht="24.75" customHeight="1">
      <c r="A118" s="37" t="s">
        <v>83</v>
      </c>
      <c r="B118" s="38" t="s">
        <v>562</v>
      </c>
      <c r="C118" s="46"/>
      <c r="D118" s="47"/>
      <c r="E118" s="47"/>
      <c r="F118" s="55">
        <f>SUM(F119)</f>
        <v>3.2796562499999999</v>
      </c>
      <c r="G118" s="55">
        <f>SUM(G119)</f>
        <v>1.2439903846153799</v>
      </c>
      <c r="H118" s="55">
        <f>SUM(H119)</f>
        <v>10.1875</v>
      </c>
      <c r="I118" s="56">
        <f>SUM(I119:I119)</f>
        <v>14.71114663461538</v>
      </c>
      <c r="J118" s="57">
        <v>200</v>
      </c>
      <c r="K118" s="2">
        <v>200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</row>
    <row r="119" spans="1:1025" s="85" customFormat="1" ht="30">
      <c r="A119" s="45" t="s">
        <v>83</v>
      </c>
      <c r="B119" s="52" t="s">
        <v>563</v>
      </c>
      <c r="C119" s="46" t="s">
        <v>25</v>
      </c>
      <c r="D119" s="47">
        <v>40</v>
      </c>
      <c r="E119" s="47">
        <f>D119*8</f>
        <v>320</v>
      </c>
      <c r="F119" s="47">
        <v>3.2796562499999999</v>
      </c>
      <c r="G119" s="47">
        <v>1.2439903846153799</v>
      </c>
      <c r="H119" s="47">
        <v>10.1875</v>
      </c>
      <c r="I119" s="48">
        <f>F119+G119+H119</f>
        <v>14.71114663461538</v>
      </c>
      <c r="J119" s="49">
        <f>J118</f>
        <v>200</v>
      </c>
      <c r="K119" s="2">
        <v>500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</row>
    <row r="120" spans="1:1025" s="85" customFormat="1" ht="24.75" customHeight="1">
      <c r="A120" s="37" t="s">
        <v>83</v>
      </c>
      <c r="B120" s="38" t="s">
        <v>556</v>
      </c>
      <c r="C120" s="46"/>
      <c r="D120" s="47"/>
      <c r="E120" s="47"/>
      <c r="F120" s="55">
        <f>SUM(F121)</f>
        <v>3.2796562499999999</v>
      </c>
      <c r="G120" s="55">
        <f>SUM(G121)</f>
        <v>1.2439903846153799</v>
      </c>
      <c r="H120" s="55">
        <f>SUM(H121)</f>
        <v>10.1875</v>
      </c>
      <c r="I120" s="56">
        <f>SUM(I121:I121)</f>
        <v>14.71114663461538</v>
      </c>
      <c r="J120" s="57">
        <v>500</v>
      </c>
      <c r="K120" s="2">
        <v>200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</row>
    <row r="121" spans="1:1025" s="85" customFormat="1" ht="30">
      <c r="A121" s="45" t="s">
        <v>83</v>
      </c>
      <c r="B121" s="52" t="s">
        <v>564</v>
      </c>
      <c r="C121" s="46" t="s">
        <v>25</v>
      </c>
      <c r="D121" s="47">
        <v>40</v>
      </c>
      <c r="E121" s="47">
        <f>D121*8</f>
        <v>320</v>
      </c>
      <c r="F121" s="47">
        <v>3.2796562499999999</v>
      </c>
      <c r="G121" s="47">
        <v>1.2439903846153799</v>
      </c>
      <c r="H121" s="47">
        <v>10.1875</v>
      </c>
      <c r="I121" s="48">
        <f>F121+G121+H121</f>
        <v>14.71114663461538</v>
      </c>
      <c r="J121" s="49">
        <f>J120</f>
        <v>500</v>
      </c>
      <c r="K121" s="2">
        <v>500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</row>
    <row r="122" spans="1:1025" ht="24.75" customHeight="1">
      <c r="A122" s="37" t="s">
        <v>85</v>
      </c>
      <c r="B122" s="38" t="s">
        <v>47</v>
      </c>
      <c r="C122" s="46"/>
      <c r="D122" s="47"/>
      <c r="E122" s="47"/>
      <c r="F122" s="55">
        <f>SUM(F123:F123)</f>
        <v>5.1957831325301198</v>
      </c>
      <c r="G122" s="55">
        <f>SUM(G123:G123)</f>
        <v>14.6258109360519</v>
      </c>
      <c r="H122" s="55">
        <f>SUM(H123:H123)</f>
        <v>4.5180722891566303</v>
      </c>
      <c r="I122" s="56">
        <f>SUM(I123:I123)</f>
        <v>24.339666357738651</v>
      </c>
      <c r="J122" s="57">
        <v>120</v>
      </c>
      <c r="K122" s="2">
        <v>120</v>
      </c>
    </row>
    <row r="123" spans="1:1025" ht="20.25">
      <c r="A123" s="45" t="str">
        <f>A122</f>
        <v>81.05(a)</v>
      </c>
      <c r="B123" s="52" t="s">
        <v>48</v>
      </c>
      <c r="C123" s="46" t="s">
        <v>25</v>
      </c>
      <c r="D123" s="47">
        <v>3.32</v>
      </c>
      <c r="E123" s="47">
        <f>D123*8</f>
        <v>26.56</v>
      </c>
      <c r="F123" s="47">
        <v>5.1957831325301198</v>
      </c>
      <c r="G123" s="47">
        <v>14.6258109360519</v>
      </c>
      <c r="H123" s="47">
        <v>4.5180722891566303</v>
      </c>
      <c r="I123" s="48">
        <f>F123+G123+H123</f>
        <v>24.339666357738651</v>
      </c>
      <c r="J123" s="49">
        <f>J122</f>
        <v>120</v>
      </c>
    </row>
    <row r="124" spans="1:1025" ht="24.75" customHeight="1">
      <c r="A124" s="37" t="s">
        <v>86</v>
      </c>
      <c r="B124" s="38" t="s">
        <v>87</v>
      </c>
      <c r="C124" s="46"/>
      <c r="D124" s="47"/>
      <c r="E124" s="47"/>
      <c r="F124" s="55">
        <f>SUM(F125:F127)</f>
        <v>17.406229146815832</v>
      </c>
      <c r="G124" s="55">
        <f>SUM(G125:G127)</f>
        <v>16.526071925062894</v>
      </c>
      <c r="H124" s="55">
        <f>SUM(H125:H127)</f>
        <v>30.113429432013731</v>
      </c>
      <c r="I124" s="56">
        <f>SUM(I125:I127)</f>
        <v>64.045730503892457</v>
      </c>
      <c r="J124" s="57">
        <v>300</v>
      </c>
      <c r="K124" s="2">
        <v>300</v>
      </c>
    </row>
    <row r="125" spans="1:1025" ht="24.75" customHeight="1">
      <c r="A125" s="45" t="s">
        <v>86</v>
      </c>
      <c r="B125" s="46" t="s">
        <v>88</v>
      </c>
      <c r="C125" s="46" t="s">
        <v>25</v>
      </c>
      <c r="D125" s="47">
        <v>35</v>
      </c>
      <c r="E125" s="47">
        <f>D125*8</f>
        <v>280</v>
      </c>
      <c r="F125" s="47">
        <v>3.7279517142857101</v>
      </c>
      <c r="G125" s="47">
        <v>0.74862637362637396</v>
      </c>
      <c r="H125" s="47">
        <v>11.6428571428571</v>
      </c>
      <c r="I125" s="48">
        <f>F125+G125+H125</f>
        <v>16.119435230769184</v>
      </c>
      <c r="J125" s="49">
        <f>0.25*J124</f>
        <v>75</v>
      </c>
      <c r="L125" s="50">
        <f>I125/I$124</f>
        <v>0.25168633574707228</v>
      </c>
    </row>
    <row r="126" spans="1:1025" ht="24.75" customHeight="1">
      <c r="A126" s="45" t="s">
        <v>86</v>
      </c>
      <c r="B126" s="68" t="s">
        <v>89</v>
      </c>
      <c r="C126" s="46" t="s">
        <v>25</v>
      </c>
      <c r="D126" s="53">
        <v>100</v>
      </c>
      <c r="E126" s="47">
        <f>D126*8</f>
        <v>800</v>
      </c>
      <c r="F126" s="47">
        <v>8.4824943000000008</v>
      </c>
      <c r="G126" s="47">
        <v>1.15163461538462</v>
      </c>
      <c r="H126" s="47">
        <v>13.952500000000001</v>
      </c>
      <c r="I126" s="48">
        <f>F126+G126+H126</f>
        <v>23.586628915384622</v>
      </c>
      <c r="J126" s="49">
        <f>0.37*J124</f>
        <v>111</v>
      </c>
      <c r="L126" s="50">
        <f>I126/I$124</f>
        <v>0.36827792781520569</v>
      </c>
    </row>
    <row r="127" spans="1:1025" ht="24.75" customHeight="1">
      <c r="A127" s="45" t="s">
        <v>86</v>
      </c>
      <c r="B127" s="46" t="s">
        <v>90</v>
      </c>
      <c r="C127" s="46" t="s">
        <v>25</v>
      </c>
      <c r="D127" s="47">
        <v>3.32</v>
      </c>
      <c r="E127" s="47">
        <f>D127*8</f>
        <v>26.56</v>
      </c>
      <c r="F127" s="47">
        <v>5.1957831325301198</v>
      </c>
      <c r="G127" s="47">
        <v>14.6258109360519</v>
      </c>
      <c r="H127" s="47">
        <v>4.5180722891566303</v>
      </c>
      <c r="I127" s="48">
        <f>F127+G127+H127</f>
        <v>24.339666357738651</v>
      </c>
      <c r="J127" s="49">
        <f>0.38*J124</f>
        <v>114</v>
      </c>
      <c r="L127" s="50">
        <f>I127/I$124</f>
        <v>0.38003573643772209</v>
      </c>
    </row>
    <row r="128" spans="1:1025" ht="24.75" customHeight="1">
      <c r="A128" s="37" t="s">
        <v>91</v>
      </c>
      <c r="B128" s="38" t="s">
        <v>92</v>
      </c>
      <c r="C128" s="46"/>
      <c r="D128" s="47"/>
      <c r="E128" s="47"/>
      <c r="F128" s="55">
        <f>SUM(F129:F131)</f>
        <v>34.14304954440621</v>
      </c>
      <c r="G128" s="55">
        <f>SUM(G129:G131)</f>
        <v>19.351803104217375</v>
      </c>
      <c r="H128" s="55">
        <f>SUM(H129:H131)</f>
        <v>46.7301462994836</v>
      </c>
      <c r="I128" s="56">
        <f>SUM(I129:I131)</f>
        <v>100.22499894810719</v>
      </c>
      <c r="J128" s="57">
        <v>190</v>
      </c>
      <c r="K128" s="2">
        <v>190</v>
      </c>
    </row>
    <row r="129" spans="1:1025" ht="30">
      <c r="A129" s="45" t="s">
        <v>91</v>
      </c>
      <c r="B129" s="52" t="s">
        <v>561</v>
      </c>
      <c r="C129" s="46" t="s">
        <v>25</v>
      </c>
      <c r="D129" s="47">
        <v>35</v>
      </c>
      <c r="E129" s="47">
        <f>D129*8</f>
        <v>280</v>
      </c>
      <c r="F129" s="47">
        <v>3.7279517142857101</v>
      </c>
      <c r="G129" s="47">
        <v>0.74862637362637396</v>
      </c>
      <c r="H129" s="47">
        <v>11.6428571428571</v>
      </c>
      <c r="I129" s="48">
        <f>F129+G129+H129</f>
        <v>16.119435230769184</v>
      </c>
      <c r="J129" s="49">
        <f>0.16*J128</f>
        <v>30.400000000000002</v>
      </c>
      <c r="L129" s="50">
        <f>I129/I$128</f>
        <v>0.16083248091741298</v>
      </c>
    </row>
    <row r="130" spans="1:1025" ht="24.75" customHeight="1">
      <c r="A130" s="45" t="s">
        <v>91</v>
      </c>
      <c r="B130" s="46" t="s">
        <v>93</v>
      </c>
      <c r="C130" s="46" t="s">
        <v>25</v>
      </c>
      <c r="D130" s="53">
        <v>100</v>
      </c>
      <c r="E130" s="47">
        <f>D130*8</f>
        <v>800</v>
      </c>
      <c r="F130" s="47">
        <v>9.6319652999999992</v>
      </c>
      <c r="G130" s="47">
        <v>1.2705325443786999</v>
      </c>
      <c r="H130" s="47">
        <v>17.015000000000001</v>
      </c>
      <c r="I130" s="48">
        <f>F130+G130+H130</f>
        <v>27.917497844378701</v>
      </c>
      <c r="J130" s="49">
        <f>0.28*J128</f>
        <v>53.2</v>
      </c>
      <c r="L130" s="50">
        <f>I130/I$128</f>
        <v>0.2785482478162295</v>
      </c>
    </row>
    <row r="131" spans="1:1025" ht="24.75" customHeight="1">
      <c r="A131" s="45" t="s">
        <v>91</v>
      </c>
      <c r="B131" s="46" t="s">
        <v>94</v>
      </c>
      <c r="C131" s="46" t="s">
        <v>25</v>
      </c>
      <c r="D131" s="47">
        <v>3.32</v>
      </c>
      <c r="E131" s="47">
        <f>D131*8</f>
        <v>26.56</v>
      </c>
      <c r="F131" s="47">
        <v>20.783132530120501</v>
      </c>
      <c r="G131" s="47">
        <v>17.332644186212299</v>
      </c>
      <c r="H131" s="47">
        <v>18.0722891566265</v>
      </c>
      <c r="I131" s="48">
        <f>F131+G131+H131</f>
        <v>56.188065872959299</v>
      </c>
      <c r="J131" s="49">
        <f>0.56*J128</f>
        <v>106.4</v>
      </c>
      <c r="L131" s="50">
        <f>I131/I$128</f>
        <v>0.56061927126635758</v>
      </c>
    </row>
    <row r="132" spans="1:1025" ht="24.75" customHeight="1">
      <c r="A132" s="37" t="s">
        <v>95</v>
      </c>
      <c r="B132" s="38" t="s">
        <v>57</v>
      </c>
      <c r="C132" s="46"/>
      <c r="D132" s="47"/>
      <c r="E132" s="47"/>
      <c r="F132" s="55">
        <f>SUM(F133:F141)</f>
        <v>1180.7684700534519</v>
      </c>
      <c r="G132" s="55">
        <f>SUM(G133:G141)</f>
        <v>161.59979778893808</v>
      </c>
      <c r="H132" s="55">
        <f>SUM(H133:H141)</f>
        <v>232.05135854341736</v>
      </c>
      <c r="I132" s="56">
        <f t="shared" ref="I132:I141" si="16">SUM(F132:H132)</f>
        <v>1574.4196263858073</v>
      </c>
      <c r="J132" s="57">
        <v>5000</v>
      </c>
      <c r="K132" s="2">
        <v>5000</v>
      </c>
    </row>
    <row r="133" spans="1:1025" ht="24.75" customHeight="1">
      <c r="A133" s="69" t="s">
        <v>95</v>
      </c>
      <c r="B133" s="70" t="s">
        <v>58</v>
      </c>
      <c r="C133" s="70" t="s">
        <v>78</v>
      </c>
      <c r="D133" s="71">
        <v>85</v>
      </c>
      <c r="E133" s="71">
        <v>680</v>
      </c>
      <c r="F133" s="71">
        <v>1.4893771764705901</v>
      </c>
      <c r="G133" s="71">
        <v>0.30825791855203599</v>
      </c>
      <c r="H133" s="71">
        <v>4.7058823529411802</v>
      </c>
      <c r="I133" s="72">
        <f t="shared" si="16"/>
        <v>6.503517447963806</v>
      </c>
      <c r="J133" s="75">
        <f t="shared" ref="J133:J141" si="17">L133*J$132</f>
        <v>20.653697841956834</v>
      </c>
      <c r="K133" s="2">
        <v>4900</v>
      </c>
      <c r="L133" s="2">
        <f t="shared" ref="L133:L141" si="18">I133/I$132</f>
        <v>4.1307395683913666E-3</v>
      </c>
    </row>
    <row r="134" spans="1:1025" ht="24.75" customHeight="1">
      <c r="A134" s="59" t="s">
        <v>95</v>
      </c>
      <c r="B134" s="25" t="s">
        <v>59</v>
      </c>
      <c r="C134" s="25" t="s">
        <v>78</v>
      </c>
      <c r="D134" s="60">
        <v>100</v>
      </c>
      <c r="E134" s="60">
        <v>800</v>
      </c>
      <c r="F134" s="60">
        <v>9.7426619999999993</v>
      </c>
      <c r="G134" s="60">
        <v>1.35899408284024</v>
      </c>
      <c r="H134" s="60">
        <v>17.59</v>
      </c>
      <c r="I134" s="61">
        <f t="shared" si="16"/>
        <v>28.69165608284024</v>
      </c>
      <c r="J134" s="75">
        <f t="shared" si="17"/>
        <v>91.11819873810893</v>
      </c>
      <c r="K134" s="2">
        <v>4800</v>
      </c>
      <c r="L134" s="2">
        <f t="shared" si="18"/>
        <v>1.8223639747621787E-2</v>
      </c>
    </row>
    <row r="135" spans="1:1025" ht="30">
      <c r="A135" s="45" t="s">
        <v>95</v>
      </c>
      <c r="B135" s="52" t="s">
        <v>60</v>
      </c>
      <c r="C135" s="46" t="s">
        <v>78</v>
      </c>
      <c r="D135" s="47">
        <v>2</v>
      </c>
      <c r="E135" s="47">
        <v>16</v>
      </c>
      <c r="F135" s="47">
        <v>0</v>
      </c>
      <c r="G135" s="47">
        <v>29.086538461538499</v>
      </c>
      <c r="H135" s="47">
        <v>0</v>
      </c>
      <c r="I135" s="48">
        <f t="shared" si="16"/>
        <v>29.086538461538499</v>
      </c>
      <c r="J135" s="75">
        <f t="shared" si="17"/>
        <v>92.372255700053501</v>
      </c>
      <c r="K135" s="2">
        <v>4000</v>
      </c>
      <c r="L135" s="2">
        <f t="shared" si="18"/>
        <v>1.84744511400107E-2</v>
      </c>
    </row>
    <row r="136" spans="1:1025" ht="20.25">
      <c r="A136" s="45" t="s">
        <v>95</v>
      </c>
      <c r="B136" s="52" t="s">
        <v>61</v>
      </c>
      <c r="C136" s="46" t="s">
        <v>78</v>
      </c>
      <c r="D136" s="47">
        <v>30</v>
      </c>
      <c r="E136" s="47">
        <v>240</v>
      </c>
      <c r="F136" s="47">
        <v>4.2435</v>
      </c>
      <c r="G136" s="47">
        <v>0.87339743589743601</v>
      </c>
      <c r="H136" s="47">
        <v>13.3333333333333</v>
      </c>
      <c r="I136" s="48">
        <f t="shared" si="16"/>
        <v>18.450230769230735</v>
      </c>
      <c r="J136" s="75">
        <f t="shared" si="17"/>
        <v>58.593752453355009</v>
      </c>
      <c r="K136" s="2">
        <v>3800</v>
      </c>
      <c r="L136" s="2">
        <f t="shared" si="18"/>
        <v>1.1718750490671002E-2</v>
      </c>
    </row>
    <row r="137" spans="1:1025" ht="24.75" customHeight="1">
      <c r="A137" s="45" t="s">
        <v>95</v>
      </c>
      <c r="B137" s="46" t="s">
        <v>62</v>
      </c>
      <c r="C137" s="46" t="s">
        <v>78</v>
      </c>
      <c r="D137" s="47">
        <v>5</v>
      </c>
      <c r="E137" s="47">
        <v>40</v>
      </c>
      <c r="F137" s="47">
        <v>9.9187499999999993</v>
      </c>
      <c r="G137" s="47">
        <v>6.375</v>
      </c>
      <c r="H137" s="47">
        <v>17.25</v>
      </c>
      <c r="I137" s="48">
        <f t="shared" si="16"/>
        <v>33.543750000000003</v>
      </c>
      <c r="J137" s="75">
        <f t="shared" si="17"/>
        <v>106.52734962724669</v>
      </c>
      <c r="L137" s="2">
        <f t="shared" si="18"/>
        <v>2.1305469925449339E-2</v>
      </c>
    </row>
    <row r="138" spans="1:1025" ht="24.75" customHeight="1">
      <c r="A138" s="45" t="s">
        <v>95</v>
      </c>
      <c r="B138" s="52" t="s">
        <v>63</v>
      </c>
      <c r="C138" s="46" t="s">
        <v>78</v>
      </c>
      <c r="D138" s="47">
        <v>2.5</v>
      </c>
      <c r="E138" s="47">
        <v>20</v>
      </c>
      <c r="F138" s="47">
        <v>20.257020000000001</v>
      </c>
      <c r="G138" s="47">
        <v>18.798076923076898</v>
      </c>
      <c r="H138" s="47">
        <v>50</v>
      </c>
      <c r="I138" s="48">
        <f t="shared" si="16"/>
        <v>89.055096923076903</v>
      </c>
      <c r="J138" s="75">
        <f t="shared" si="17"/>
        <v>282.81880964450767</v>
      </c>
      <c r="L138" s="2">
        <f t="shared" si="18"/>
        <v>5.6563761928901536E-2</v>
      </c>
    </row>
    <row r="139" spans="1:1025" ht="24.75" customHeight="1">
      <c r="A139" s="45" t="s">
        <v>95</v>
      </c>
      <c r="B139" s="46" t="s">
        <v>64</v>
      </c>
      <c r="C139" s="46" t="s">
        <v>78</v>
      </c>
      <c r="D139" s="47">
        <v>100</v>
      </c>
      <c r="E139" s="47">
        <v>800</v>
      </c>
      <c r="F139" s="47">
        <v>42.545330999999997</v>
      </c>
      <c r="G139" s="47">
        <v>5.7333653846153902</v>
      </c>
      <c r="H139" s="47">
        <v>74.314999999999998</v>
      </c>
      <c r="I139" s="48">
        <f t="shared" si="16"/>
        <v>122.59369638461538</v>
      </c>
      <c r="J139" s="75">
        <f t="shared" si="17"/>
        <v>389.32980232861416</v>
      </c>
      <c r="L139" s="2">
        <f t="shared" si="18"/>
        <v>7.7865960465722833E-2</v>
      </c>
    </row>
    <row r="140" spans="1:1025" ht="20.25">
      <c r="A140" s="45" t="s">
        <v>95</v>
      </c>
      <c r="B140" s="52" t="s">
        <v>67</v>
      </c>
      <c r="C140" s="46" t="s">
        <v>78</v>
      </c>
      <c r="D140" s="47">
        <v>3.5</v>
      </c>
      <c r="E140" s="47">
        <v>28</v>
      </c>
      <c r="F140" s="47">
        <v>17.696971428571398</v>
      </c>
      <c r="G140" s="47">
        <v>22.0305631868132</v>
      </c>
      <c r="H140" s="47">
        <v>0</v>
      </c>
      <c r="I140" s="48">
        <f t="shared" si="16"/>
        <v>39.727534615384599</v>
      </c>
      <c r="J140" s="75">
        <f t="shared" si="17"/>
        <v>126.16564843828195</v>
      </c>
      <c r="L140" s="2">
        <f t="shared" si="18"/>
        <v>2.523312968765639E-2</v>
      </c>
    </row>
    <row r="141" spans="1:1025" ht="20.25">
      <c r="A141" s="45" t="s">
        <v>95</v>
      </c>
      <c r="B141" s="52" t="s">
        <v>589</v>
      </c>
      <c r="C141" s="46" t="s">
        <v>78</v>
      </c>
      <c r="D141" s="47">
        <v>3.28125</v>
      </c>
      <c r="E141" s="47">
        <v>26.25</v>
      </c>
      <c r="F141" s="47">
        <v>1074.8748584484099</v>
      </c>
      <c r="G141" s="47">
        <v>77.035604395604395</v>
      </c>
      <c r="H141" s="47">
        <v>54.857142857142897</v>
      </c>
      <c r="I141" s="48">
        <f t="shared" si="16"/>
        <v>1206.7676057011572</v>
      </c>
      <c r="J141" s="75">
        <f t="shared" si="17"/>
        <v>3832.4204852278754</v>
      </c>
      <c r="L141" s="2">
        <f t="shared" si="18"/>
        <v>0.76648409704557507</v>
      </c>
    </row>
    <row r="142" spans="1:1025" s="85" customFormat="1" ht="24.75" customHeight="1">
      <c r="A142" s="37" t="s">
        <v>95</v>
      </c>
      <c r="B142" s="38" t="s">
        <v>565</v>
      </c>
      <c r="C142" s="46"/>
      <c r="D142" s="47"/>
      <c r="E142" s="47"/>
      <c r="F142" s="55">
        <f>SUM(F143:F151)</f>
        <v>1180.7684700534519</v>
      </c>
      <c r="G142" s="55">
        <f>SUM(G143:G151)</f>
        <v>161.59979778893808</v>
      </c>
      <c r="H142" s="55">
        <f>SUM(H143:H151)</f>
        <v>232.05135854341736</v>
      </c>
      <c r="I142" s="56">
        <f t="shared" ref="I142:I151" si="19">SUM(F142:H142)</f>
        <v>1574.4196263858073</v>
      </c>
      <c r="J142" s="57">
        <v>4900</v>
      </c>
      <c r="K142" s="2">
        <v>5000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</row>
    <row r="143" spans="1:1025" s="85" customFormat="1" ht="24.75" customHeight="1">
      <c r="A143" s="69" t="s">
        <v>95</v>
      </c>
      <c r="B143" s="70" t="s">
        <v>58</v>
      </c>
      <c r="C143" s="70" t="s">
        <v>78</v>
      </c>
      <c r="D143" s="71">
        <v>85</v>
      </c>
      <c r="E143" s="71">
        <v>680</v>
      </c>
      <c r="F143" s="71">
        <v>1.4893771764705901</v>
      </c>
      <c r="G143" s="71">
        <v>0.30825791855203599</v>
      </c>
      <c r="H143" s="71">
        <v>4.7058823529411802</v>
      </c>
      <c r="I143" s="72">
        <f t="shared" si="19"/>
        <v>6.503517447963806</v>
      </c>
      <c r="J143" s="75">
        <f>L143*J$142</f>
        <v>20.240623885117696</v>
      </c>
      <c r="K143" s="2">
        <v>4900</v>
      </c>
      <c r="L143" s="2">
        <f>I143/I$142</f>
        <v>4.1307395683913666E-3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</row>
    <row r="144" spans="1:1025" s="85" customFormat="1" ht="24.75" customHeight="1">
      <c r="A144" s="59" t="s">
        <v>95</v>
      </c>
      <c r="B144" s="25" t="s">
        <v>59</v>
      </c>
      <c r="C144" s="25" t="s">
        <v>78</v>
      </c>
      <c r="D144" s="60">
        <v>100</v>
      </c>
      <c r="E144" s="60">
        <v>800</v>
      </c>
      <c r="F144" s="60">
        <v>9.7426619999999993</v>
      </c>
      <c r="G144" s="60">
        <v>1.35899408284024</v>
      </c>
      <c r="H144" s="60">
        <v>17.59</v>
      </c>
      <c r="I144" s="61">
        <f t="shared" si="19"/>
        <v>28.69165608284024</v>
      </c>
      <c r="J144" s="75">
        <f t="shared" ref="J144:J151" si="20">L144*J$142</f>
        <v>89.295834763346761</v>
      </c>
      <c r="K144" s="2">
        <v>4800</v>
      </c>
      <c r="L144" s="2">
        <f t="shared" ref="L144:L151" si="21">I144/I$142</f>
        <v>1.8223639747621787E-2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</row>
    <row r="145" spans="1:1025" s="85" customFormat="1" ht="30">
      <c r="A145" s="45" t="s">
        <v>95</v>
      </c>
      <c r="B145" s="52" t="s">
        <v>60</v>
      </c>
      <c r="C145" s="46" t="s">
        <v>78</v>
      </c>
      <c r="D145" s="47">
        <v>2</v>
      </c>
      <c r="E145" s="47">
        <v>16</v>
      </c>
      <c r="F145" s="47">
        <v>0</v>
      </c>
      <c r="G145" s="47">
        <v>29.086538461538499</v>
      </c>
      <c r="H145" s="47">
        <v>0</v>
      </c>
      <c r="I145" s="48">
        <f t="shared" si="19"/>
        <v>29.086538461538499</v>
      </c>
      <c r="J145" s="75">
        <f t="shared" si="20"/>
        <v>90.524810586052425</v>
      </c>
      <c r="K145" s="2">
        <v>4000</v>
      </c>
      <c r="L145" s="2">
        <f t="shared" si="21"/>
        <v>1.84744511400107E-2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</row>
    <row r="146" spans="1:1025" s="85" customFormat="1" ht="20.25">
      <c r="A146" s="45" t="s">
        <v>95</v>
      </c>
      <c r="B146" s="52" t="s">
        <v>61</v>
      </c>
      <c r="C146" s="46" t="s">
        <v>78</v>
      </c>
      <c r="D146" s="47">
        <v>30</v>
      </c>
      <c r="E146" s="47">
        <v>240</v>
      </c>
      <c r="F146" s="47">
        <v>4.2435</v>
      </c>
      <c r="G146" s="47">
        <v>0.87339743589743601</v>
      </c>
      <c r="H146" s="47">
        <v>13.3333333333333</v>
      </c>
      <c r="I146" s="48">
        <f t="shared" si="19"/>
        <v>18.450230769230735</v>
      </c>
      <c r="J146" s="75">
        <f t="shared" si="20"/>
        <v>57.421877404287912</v>
      </c>
      <c r="K146" s="2">
        <v>3800</v>
      </c>
      <c r="L146" s="2">
        <f t="shared" si="21"/>
        <v>1.1718750490671002E-2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</row>
    <row r="147" spans="1:1025" s="85" customFormat="1" ht="24.75" customHeight="1">
      <c r="A147" s="45" t="s">
        <v>95</v>
      </c>
      <c r="B147" s="46" t="s">
        <v>62</v>
      </c>
      <c r="C147" s="46" t="s">
        <v>78</v>
      </c>
      <c r="D147" s="47">
        <v>5</v>
      </c>
      <c r="E147" s="47">
        <v>40</v>
      </c>
      <c r="F147" s="47">
        <v>9.9187499999999993</v>
      </c>
      <c r="G147" s="47">
        <v>6.375</v>
      </c>
      <c r="H147" s="47">
        <v>17.25</v>
      </c>
      <c r="I147" s="48">
        <f t="shared" si="19"/>
        <v>33.543750000000003</v>
      </c>
      <c r="J147" s="75">
        <f t="shared" si="20"/>
        <v>104.39680263470176</v>
      </c>
      <c r="K147" s="2"/>
      <c r="L147" s="2">
        <f t="shared" si="21"/>
        <v>2.1305469925449339E-2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</row>
    <row r="148" spans="1:1025" s="85" customFormat="1" ht="24.75" customHeight="1">
      <c r="A148" s="45" t="s">
        <v>95</v>
      </c>
      <c r="B148" s="52" t="s">
        <v>63</v>
      </c>
      <c r="C148" s="46" t="s">
        <v>78</v>
      </c>
      <c r="D148" s="47">
        <v>2.5</v>
      </c>
      <c r="E148" s="47">
        <v>20</v>
      </c>
      <c r="F148" s="47">
        <v>20.257020000000001</v>
      </c>
      <c r="G148" s="47">
        <v>18.798076923076898</v>
      </c>
      <c r="H148" s="47">
        <v>50</v>
      </c>
      <c r="I148" s="48">
        <f t="shared" si="19"/>
        <v>89.055096923076903</v>
      </c>
      <c r="J148" s="75">
        <f t="shared" si="20"/>
        <v>277.16243345161752</v>
      </c>
      <c r="K148" s="2"/>
      <c r="L148" s="2">
        <f t="shared" si="21"/>
        <v>5.6563761928901536E-2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</row>
    <row r="149" spans="1:1025" s="85" customFormat="1" ht="24.75" customHeight="1">
      <c r="A149" s="45" t="s">
        <v>95</v>
      </c>
      <c r="B149" s="46" t="s">
        <v>64</v>
      </c>
      <c r="C149" s="46" t="s">
        <v>78</v>
      </c>
      <c r="D149" s="47">
        <v>100</v>
      </c>
      <c r="E149" s="47">
        <v>800</v>
      </c>
      <c r="F149" s="47">
        <v>42.545330999999997</v>
      </c>
      <c r="G149" s="47">
        <v>5.7333653846153902</v>
      </c>
      <c r="H149" s="47">
        <v>74.314999999999998</v>
      </c>
      <c r="I149" s="48">
        <f t="shared" si="19"/>
        <v>122.59369638461538</v>
      </c>
      <c r="J149" s="75">
        <f t="shared" si="20"/>
        <v>381.54320628204187</v>
      </c>
      <c r="K149" s="2"/>
      <c r="L149" s="2">
        <f t="shared" si="21"/>
        <v>7.7865960465722833E-2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</row>
    <row r="150" spans="1:1025" s="85" customFormat="1" ht="20.25">
      <c r="A150" s="45" t="s">
        <v>95</v>
      </c>
      <c r="B150" s="52" t="s">
        <v>67</v>
      </c>
      <c r="C150" s="46" t="s">
        <v>78</v>
      </c>
      <c r="D150" s="47">
        <v>3.5</v>
      </c>
      <c r="E150" s="47">
        <v>28</v>
      </c>
      <c r="F150" s="47">
        <v>17.696971428571398</v>
      </c>
      <c r="G150" s="47">
        <v>22.0305631868132</v>
      </c>
      <c r="H150" s="47">
        <v>0</v>
      </c>
      <c r="I150" s="48">
        <f t="shared" si="19"/>
        <v>39.727534615384599</v>
      </c>
      <c r="J150" s="75">
        <f t="shared" si="20"/>
        <v>123.64233546951631</v>
      </c>
      <c r="K150" s="2"/>
      <c r="L150" s="2">
        <f t="shared" si="21"/>
        <v>2.523312968765639E-2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</row>
    <row r="151" spans="1:1025" s="85" customFormat="1" ht="20.25">
      <c r="A151" s="45" t="s">
        <v>95</v>
      </c>
      <c r="B151" s="52" t="s">
        <v>590</v>
      </c>
      <c r="C151" s="46" t="s">
        <v>78</v>
      </c>
      <c r="D151" s="47">
        <v>3.28125</v>
      </c>
      <c r="E151" s="47">
        <v>26.25</v>
      </c>
      <c r="F151" s="47">
        <v>1074.8748584484099</v>
      </c>
      <c r="G151" s="47">
        <v>77.035604395604395</v>
      </c>
      <c r="H151" s="47">
        <v>54.857142857142897</v>
      </c>
      <c r="I151" s="48">
        <f t="shared" si="19"/>
        <v>1206.7676057011572</v>
      </c>
      <c r="J151" s="75">
        <f t="shared" si="20"/>
        <v>3755.7720755233177</v>
      </c>
      <c r="K151" s="2"/>
      <c r="L151" s="2">
        <f t="shared" si="21"/>
        <v>0.76648409704557507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</row>
    <row r="152" spans="1:1025" s="85" customFormat="1" ht="24.75" customHeight="1">
      <c r="A152" s="37" t="s">
        <v>95</v>
      </c>
      <c r="B152" s="38" t="s">
        <v>566</v>
      </c>
      <c r="C152" s="46"/>
      <c r="D152" s="47"/>
      <c r="E152" s="47"/>
      <c r="F152" s="55">
        <f>SUM(F153:F161)</f>
        <v>1180.7684700534519</v>
      </c>
      <c r="G152" s="55">
        <f>SUM(G153:G161)</f>
        <v>161.59979778893808</v>
      </c>
      <c r="H152" s="55">
        <f>SUM(H153:H161)</f>
        <v>232.05135854341736</v>
      </c>
      <c r="I152" s="56">
        <f t="shared" ref="I152:I161" si="22">SUM(F152:H152)</f>
        <v>1574.4196263858073</v>
      </c>
      <c r="J152" s="57">
        <v>4800</v>
      </c>
      <c r="K152" s="2">
        <v>5000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</row>
    <row r="153" spans="1:1025" s="85" customFormat="1" ht="24.75" customHeight="1">
      <c r="A153" s="69" t="s">
        <v>95</v>
      </c>
      <c r="B153" s="70" t="s">
        <v>58</v>
      </c>
      <c r="C153" s="70" t="s">
        <v>78</v>
      </c>
      <c r="D153" s="71">
        <v>85</v>
      </c>
      <c r="E153" s="71">
        <v>680</v>
      </c>
      <c r="F153" s="71">
        <v>1.4893771764705901</v>
      </c>
      <c r="G153" s="71">
        <v>0.30825791855203599</v>
      </c>
      <c r="H153" s="71">
        <v>4.7058823529411802</v>
      </c>
      <c r="I153" s="72">
        <f t="shared" si="22"/>
        <v>6.503517447963806</v>
      </c>
      <c r="J153" s="75">
        <f>L153*J$152</f>
        <v>19.827549928278561</v>
      </c>
      <c r="K153" s="2">
        <v>4900</v>
      </c>
      <c r="L153" s="2">
        <f>I153/I$152</f>
        <v>4.1307395683913666E-3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</row>
    <row r="154" spans="1:1025" s="85" customFormat="1" ht="24.75" customHeight="1">
      <c r="A154" s="59" t="s">
        <v>95</v>
      </c>
      <c r="B154" s="25" t="s">
        <v>59</v>
      </c>
      <c r="C154" s="25" t="s">
        <v>78</v>
      </c>
      <c r="D154" s="60">
        <v>100</v>
      </c>
      <c r="E154" s="60">
        <v>800</v>
      </c>
      <c r="F154" s="60">
        <v>9.7426619999999993</v>
      </c>
      <c r="G154" s="60">
        <v>1.35899408284024</v>
      </c>
      <c r="H154" s="60">
        <v>17.59</v>
      </c>
      <c r="I154" s="61">
        <f t="shared" si="22"/>
        <v>28.69165608284024</v>
      </c>
      <c r="J154" s="75">
        <f t="shared" ref="J154:J161" si="23">L154*J$152</f>
        <v>87.473470788584578</v>
      </c>
      <c r="K154" s="2">
        <v>4800</v>
      </c>
      <c r="L154" s="2">
        <f t="shared" ref="L154:L161" si="24">I154/I$152</f>
        <v>1.8223639747621787E-2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</row>
    <row r="155" spans="1:1025" s="85" customFormat="1" ht="30">
      <c r="A155" s="45" t="s">
        <v>95</v>
      </c>
      <c r="B155" s="52" t="s">
        <v>60</v>
      </c>
      <c r="C155" s="46" t="s">
        <v>78</v>
      </c>
      <c r="D155" s="47">
        <v>2</v>
      </c>
      <c r="E155" s="47">
        <v>16</v>
      </c>
      <c r="F155" s="47">
        <v>0</v>
      </c>
      <c r="G155" s="47">
        <v>29.086538461538499</v>
      </c>
      <c r="H155" s="47">
        <v>0</v>
      </c>
      <c r="I155" s="48">
        <f t="shared" si="22"/>
        <v>29.086538461538499</v>
      </c>
      <c r="J155" s="75">
        <f t="shared" si="23"/>
        <v>88.677365472051363</v>
      </c>
      <c r="K155" s="2">
        <v>4000</v>
      </c>
      <c r="L155" s="2">
        <f t="shared" si="24"/>
        <v>1.84744511400107E-2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</row>
    <row r="156" spans="1:1025" s="85" customFormat="1" ht="20.25">
      <c r="A156" s="45" t="s">
        <v>95</v>
      </c>
      <c r="B156" s="52" t="s">
        <v>61</v>
      </c>
      <c r="C156" s="46" t="s">
        <v>78</v>
      </c>
      <c r="D156" s="47">
        <v>30</v>
      </c>
      <c r="E156" s="47">
        <v>240</v>
      </c>
      <c r="F156" s="47">
        <v>4.2435</v>
      </c>
      <c r="G156" s="47">
        <v>0.87339743589743601</v>
      </c>
      <c r="H156" s="47">
        <v>13.3333333333333</v>
      </c>
      <c r="I156" s="48">
        <f t="shared" si="22"/>
        <v>18.450230769230735</v>
      </c>
      <c r="J156" s="75">
        <f t="shared" si="23"/>
        <v>56.250002355220808</v>
      </c>
      <c r="K156" s="2">
        <v>3800</v>
      </c>
      <c r="L156" s="2">
        <f t="shared" si="24"/>
        <v>1.1718750490671002E-2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</row>
    <row r="157" spans="1:1025" s="85" customFormat="1" ht="24.75" customHeight="1">
      <c r="A157" s="45" t="s">
        <v>95</v>
      </c>
      <c r="B157" s="46" t="s">
        <v>62</v>
      </c>
      <c r="C157" s="46" t="s">
        <v>78</v>
      </c>
      <c r="D157" s="47">
        <v>5</v>
      </c>
      <c r="E157" s="47">
        <v>40</v>
      </c>
      <c r="F157" s="47">
        <v>9.9187499999999993</v>
      </c>
      <c r="G157" s="47">
        <v>6.375</v>
      </c>
      <c r="H157" s="47">
        <v>17.25</v>
      </c>
      <c r="I157" s="48">
        <f t="shared" si="22"/>
        <v>33.543750000000003</v>
      </c>
      <c r="J157" s="75">
        <f t="shared" si="23"/>
        <v>102.26625564215682</v>
      </c>
      <c r="K157" s="2"/>
      <c r="L157" s="2">
        <f t="shared" si="24"/>
        <v>2.1305469925449339E-2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</row>
    <row r="158" spans="1:1025" s="85" customFormat="1" ht="24.75" customHeight="1">
      <c r="A158" s="45" t="s">
        <v>95</v>
      </c>
      <c r="B158" s="52" t="s">
        <v>63</v>
      </c>
      <c r="C158" s="46" t="s">
        <v>78</v>
      </c>
      <c r="D158" s="47">
        <v>2.5</v>
      </c>
      <c r="E158" s="47">
        <v>20</v>
      </c>
      <c r="F158" s="47">
        <v>20.257020000000001</v>
      </c>
      <c r="G158" s="47">
        <v>18.798076923076898</v>
      </c>
      <c r="H158" s="47">
        <v>50</v>
      </c>
      <c r="I158" s="48">
        <f t="shared" si="22"/>
        <v>89.055096923076903</v>
      </c>
      <c r="J158" s="75">
        <f t="shared" si="23"/>
        <v>271.50605725872737</v>
      </c>
      <c r="K158" s="2"/>
      <c r="L158" s="2">
        <f t="shared" si="24"/>
        <v>5.6563761928901536E-2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</row>
    <row r="159" spans="1:1025" s="85" customFormat="1" ht="24.75" customHeight="1">
      <c r="A159" s="45" t="s">
        <v>95</v>
      </c>
      <c r="B159" s="46" t="s">
        <v>64</v>
      </c>
      <c r="C159" s="46" t="s">
        <v>78</v>
      </c>
      <c r="D159" s="47">
        <v>100</v>
      </c>
      <c r="E159" s="47">
        <v>800</v>
      </c>
      <c r="F159" s="47">
        <v>42.545330999999997</v>
      </c>
      <c r="G159" s="47">
        <v>5.7333653846153902</v>
      </c>
      <c r="H159" s="47">
        <v>74.314999999999998</v>
      </c>
      <c r="I159" s="48">
        <f t="shared" si="22"/>
        <v>122.59369638461538</v>
      </c>
      <c r="J159" s="75">
        <f t="shared" si="23"/>
        <v>373.75661023546962</v>
      </c>
      <c r="K159" s="2"/>
      <c r="L159" s="2">
        <f t="shared" si="24"/>
        <v>7.7865960465722833E-2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</row>
    <row r="160" spans="1:1025" s="85" customFormat="1" ht="20.25">
      <c r="A160" s="45" t="s">
        <v>95</v>
      </c>
      <c r="B160" s="52" t="s">
        <v>67</v>
      </c>
      <c r="C160" s="46" t="s">
        <v>78</v>
      </c>
      <c r="D160" s="47">
        <v>3.5</v>
      </c>
      <c r="E160" s="47">
        <v>28</v>
      </c>
      <c r="F160" s="47">
        <v>17.696971428571398</v>
      </c>
      <c r="G160" s="47">
        <v>22.0305631868132</v>
      </c>
      <c r="H160" s="47">
        <v>0</v>
      </c>
      <c r="I160" s="48">
        <f t="shared" si="22"/>
        <v>39.727534615384599</v>
      </c>
      <c r="J160" s="75">
        <f t="shared" si="23"/>
        <v>121.11902250075067</v>
      </c>
      <c r="K160" s="2"/>
      <c r="L160" s="2">
        <f t="shared" si="24"/>
        <v>2.523312968765639E-2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</row>
    <row r="161" spans="1:1025" s="85" customFormat="1" ht="20.25">
      <c r="A161" s="45" t="s">
        <v>95</v>
      </c>
      <c r="B161" s="52" t="s">
        <v>591</v>
      </c>
      <c r="C161" s="46" t="s">
        <v>78</v>
      </c>
      <c r="D161" s="47">
        <v>3.28125</v>
      </c>
      <c r="E161" s="47">
        <v>26.25</v>
      </c>
      <c r="F161" s="47">
        <v>1074.8748584484099</v>
      </c>
      <c r="G161" s="47">
        <v>77.035604395604395</v>
      </c>
      <c r="H161" s="47">
        <v>54.857142857142897</v>
      </c>
      <c r="I161" s="48">
        <f t="shared" si="22"/>
        <v>1206.7676057011572</v>
      </c>
      <c r="J161" s="75">
        <f t="shared" si="23"/>
        <v>3679.1236658187604</v>
      </c>
      <c r="K161" s="2"/>
      <c r="L161" s="2">
        <f t="shared" si="24"/>
        <v>0.76648409704557507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</row>
    <row r="162" spans="1:1025" s="85" customFormat="1" ht="24.75" customHeight="1">
      <c r="A162" s="37" t="s">
        <v>95</v>
      </c>
      <c r="B162" s="38" t="s">
        <v>567</v>
      </c>
      <c r="C162" s="46"/>
      <c r="D162" s="47"/>
      <c r="E162" s="47"/>
      <c r="F162" s="55">
        <f>SUM(F163:F171)</f>
        <v>1180.7684700534519</v>
      </c>
      <c r="G162" s="55">
        <f>SUM(G163:G171)</f>
        <v>161.59979778893808</v>
      </c>
      <c r="H162" s="55">
        <f>SUM(H163:H171)</f>
        <v>232.05135854341736</v>
      </c>
      <c r="I162" s="56">
        <f t="shared" ref="I162:I171" si="25">SUM(F162:H162)</f>
        <v>1574.4196263858073</v>
      </c>
      <c r="J162" s="57">
        <v>4000</v>
      </c>
      <c r="K162" s="2">
        <v>5000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</row>
    <row r="163" spans="1:1025" s="85" customFormat="1" ht="24.75" customHeight="1">
      <c r="A163" s="69" t="s">
        <v>95</v>
      </c>
      <c r="B163" s="70" t="s">
        <v>58</v>
      </c>
      <c r="C163" s="70" t="s">
        <v>78</v>
      </c>
      <c r="D163" s="71">
        <v>85</v>
      </c>
      <c r="E163" s="71">
        <v>680</v>
      </c>
      <c r="F163" s="71">
        <v>1.4893771764705901</v>
      </c>
      <c r="G163" s="71">
        <v>0.30825791855203599</v>
      </c>
      <c r="H163" s="71">
        <v>4.7058823529411802</v>
      </c>
      <c r="I163" s="72">
        <f t="shared" si="25"/>
        <v>6.503517447963806</v>
      </c>
      <c r="J163" s="75">
        <f t="shared" ref="J163:J171" si="26">L163*J$162</f>
        <v>16.522958273565465</v>
      </c>
      <c r="K163" s="2">
        <v>4900</v>
      </c>
      <c r="L163" s="2">
        <f>I163/I$162</f>
        <v>4.1307395683913666E-3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</row>
    <row r="164" spans="1:1025" s="85" customFormat="1" ht="24.75" customHeight="1">
      <c r="A164" s="59" t="s">
        <v>95</v>
      </c>
      <c r="B164" s="25" t="s">
        <v>59</v>
      </c>
      <c r="C164" s="25" t="s">
        <v>78</v>
      </c>
      <c r="D164" s="60">
        <v>100</v>
      </c>
      <c r="E164" s="60">
        <v>800</v>
      </c>
      <c r="F164" s="60">
        <v>9.7426619999999993</v>
      </c>
      <c r="G164" s="60">
        <v>1.35899408284024</v>
      </c>
      <c r="H164" s="60">
        <v>17.59</v>
      </c>
      <c r="I164" s="61">
        <f t="shared" si="25"/>
        <v>28.69165608284024</v>
      </c>
      <c r="J164" s="75">
        <f t="shared" si="26"/>
        <v>72.894558990487155</v>
      </c>
      <c r="K164" s="2">
        <v>4800</v>
      </c>
      <c r="L164" s="2">
        <f t="shared" ref="L164:L171" si="27">I164/I$162</f>
        <v>1.8223639747621787E-2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</row>
    <row r="165" spans="1:1025" s="85" customFormat="1" ht="30">
      <c r="A165" s="45" t="s">
        <v>95</v>
      </c>
      <c r="B165" s="52" t="s">
        <v>60</v>
      </c>
      <c r="C165" s="46" t="s">
        <v>78</v>
      </c>
      <c r="D165" s="47">
        <v>2</v>
      </c>
      <c r="E165" s="47">
        <v>16</v>
      </c>
      <c r="F165" s="47">
        <v>0</v>
      </c>
      <c r="G165" s="47">
        <v>29.086538461538499</v>
      </c>
      <c r="H165" s="47">
        <v>0</v>
      </c>
      <c r="I165" s="48">
        <f t="shared" si="25"/>
        <v>29.086538461538499</v>
      </c>
      <c r="J165" s="75">
        <f t="shared" si="26"/>
        <v>73.8978045600428</v>
      </c>
      <c r="K165" s="2">
        <v>4000</v>
      </c>
      <c r="L165" s="2">
        <f t="shared" si="27"/>
        <v>1.84744511400107E-2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</row>
    <row r="166" spans="1:1025" s="85" customFormat="1" ht="20.25">
      <c r="A166" s="45" t="s">
        <v>95</v>
      </c>
      <c r="B166" s="52" t="s">
        <v>61</v>
      </c>
      <c r="C166" s="46" t="s">
        <v>78</v>
      </c>
      <c r="D166" s="47">
        <v>30</v>
      </c>
      <c r="E166" s="47">
        <v>240</v>
      </c>
      <c r="F166" s="47">
        <v>4.2435</v>
      </c>
      <c r="G166" s="47">
        <v>0.87339743589743601</v>
      </c>
      <c r="H166" s="47">
        <v>13.3333333333333</v>
      </c>
      <c r="I166" s="48">
        <f t="shared" si="25"/>
        <v>18.450230769230735</v>
      </c>
      <c r="J166" s="75">
        <f t="shared" si="26"/>
        <v>46.87500196268401</v>
      </c>
      <c r="K166" s="2">
        <v>3800</v>
      </c>
      <c r="L166" s="2">
        <f t="shared" si="27"/>
        <v>1.1718750490671002E-2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</row>
    <row r="167" spans="1:1025" s="85" customFormat="1" ht="24.75" customHeight="1">
      <c r="A167" s="45" t="s">
        <v>95</v>
      </c>
      <c r="B167" s="46" t="s">
        <v>62</v>
      </c>
      <c r="C167" s="46" t="s">
        <v>78</v>
      </c>
      <c r="D167" s="47">
        <v>5</v>
      </c>
      <c r="E167" s="47">
        <v>40</v>
      </c>
      <c r="F167" s="47">
        <v>9.9187499999999993</v>
      </c>
      <c r="G167" s="47">
        <v>6.375</v>
      </c>
      <c r="H167" s="47">
        <v>17.25</v>
      </c>
      <c r="I167" s="48">
        <f t="shared" si="25"/>
        <v>33.543750000000003</v>
      </c>
      <c r="J167" s="75">
        <f t="shared" si="26"/>
        <v>85.221879701797363</v>
      </c>
      <c r="K167" s="2"/>
      <c r="L167" s="2">
        <f t="shared" si="27"/>
        <v>2.1305469925449339E-2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</row>
    <row r="168" spans="1:1025" s="85" customFormat="1" ht="24.75" customHeight="1">
      <c r="A168" s="45" t="s">
        <v>95</v>
      </c>
      <c r="B168" s="52" t="s">
        <v>63</v>
      </c>
      <c r="C168" s="46" t="s">
        <v>78</v>
      </c>
      <c r="D168" s="47">
        <v>2.5</v>
      </c>
      <c r="E168" s="47">
        <v>20</v>
      </c>
      <c r="F168" s="47">
        <v>20.257020000000001</v>
      </c>
      <c r="G168" s="47">
        <v>18.798076923076898</v>
      </c>
      <c r="H168" s="47">
        <v>50</v>
      </c>
      <c r="I168" s="48">
        <f t="shared" si="25"/>
        <v>89.055096923076903</v>
      </c>
      <c r="J168" s="75">
        <f t="shared" si="26"/>
        <v>226.25504771560614</v>
      </c>
      <c r="K168" s="2"/>
      <c r="L168" s="2">
        <f t="shared" si="27"/>
        <v>5.6563761928901536E-2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</row>
    <row r="169" spans="1:1025" s="85" customFormat="1" ht="24.75" customHeight="1">
      <c r="A169" s="45" t="s">
        <v>95</v>
      </c>
      <c r="B169" s="46" t="s">
        <v>64</v>
      </c>
      <c r="C169" s="46" t="s">
        <v>78</v>
      </c>
      <c r="D169" s="47">
        <v>100</v>
      </c>
      <c r="E169" s="47">
        <v>800</v>
      </c>
      <c r="F169" s="47">
        <v>42.545330999999997</v>
      </c>
      <c r="G169" s="47">
        <v>5.7333653846153902</v>
      </c>
      <c r="H169" s="47">
        <v>74.314999999999998</v>
      </c>
      <c r="I169" s="48">
        <f t="shared" si="25"/>
        <v>122.59369638461538</v>
      </c>
      <c r="J169" s="75">
        <f t="shared" si="26"/>
        <v>311.46384186289134</v>
      </c>
      <c r="K169" s="2"/>
      <c r="L169" s="2">
        <f t="shared" si="27"/>
        <v>7.7865960465722833E-2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</row>
    <row r="170" spans="1:1025" s="85" customFormat="1" ht="20.25">
      <c r="A170" s="45" t="s">
        <v>95</v>
      </c>
      <c r="B170" s="52" t="s">
        <v>67</v>
      </c>
      <c r="C170" s="46" t="s">
        <v>78</v>
      </c>
      <c r="D170" s="47">
        <v>3.5</v>
      </c>
      <c r="E170" s="47">
        <v>28</v>
      </c>
      <c r="F170" s="47">
        <v>17.696971428571398</v>
      </c>
      <c r="G170" s="47">
        <v>22.0305631868132</v>
      </c>
      <c r="H170" s="47">
        <v>0</v>
      </c>
      <c r="I170" s="48">
        <f t="shared" si="25"/>
        <v>39.727534615384599</v>
      </c>
      <c r="J170" s="75">
        <f t="shared" si="26"/>
        <v>100.93251875062556</v>
      </c>
      <c r="K170" s="2"/>
      <c r="L170" s="2">
        <f>I170/I$162</f>
        <v>2.523312968765639E-2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</row>
    <row r="171" spans="1:1025" s="85" customFormat="1" ht="20.25">
      <c r="A171" s="45" t="s">
        <v>95</v>
      </c>
      <c r="B171" s="52" t="s">
        <v>592</v>
      </c>
      <c r="C171" s="46" t="s">
        <v>78</v>
      </c>
      <c r="D171" s="47">
        <v>3.28125</v>
      </c>
      <c r="E171" s="47">
        <v>26.25</v>
      </c>
      <c r="F171" s="47">
        <v>1074.8748584484099</v>
      </c>
      <c r="G171" s="47">
        <v>77.035604395604395</v>
      </c>
      <c r="H171" s="47">
        <v>54.857142857142897</v>
      </c>
      <c r="I171" s="48">
        <f t="shared" si="25"/>
        <v>1206.7676057011572</v>
      </c>
      <c r="J171" s="75">
        <f t="shared" si="26"/>
        <v>3065.9363881823001</v>
      </c>
      <c r="K171" s="2"/>
      <c r="L171" s="2">
        <f t="shared" si="27"/>
        <v>0.76648409704557507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</row>
    <row r="172" spans="1:1025" s="85" customFormat="1" ht="24.75" customHeight="1">
      <c r="A172" s="37" t="s">
        <v>95</v>
      </c>
      <c r="B172" s="38" t="s">
        <v>568</v>
      </c>
      <c r="C172" s="46"/>
      <c r="D172" s="47"/>
      <c r="E172" s="47"/>
      <c r="F172" s="55">
        <f>SUM(F173:F181)</f>
        <v>1180.7684700534519</v>
      </c>
      <c r="G172" s="55">
        <f>SUM(G173:G181)</f>
        <v>161.59979778893808</v>
      </c>
      <c r="H172" s="55">
        <f>SUM(H173:H181)</f>
        <v>232.05135854341736</v>
      </c>
      <c r="I172" s="56">
        <f t="shared" ref="I172:I181" si="28">SUM(F172:H172)</f>
        <v>1574.4196263858073</v>
      </c>
      <c r="J172" s="57">
        <v>3800</v>
      </c>
      <c r="K172" s="2">
        <v>5000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</row>
    <row r="173" spans="1:1025" s="85" customFormat="1" ht="24.75" customHeight="1">
      <c r="A173" s="69" t="s">
        <v>95</v>
      </c>
      <c r="B173" s="70" t="s">
        <v>58</v>
      </c>
      <c r="C173" s="70" t="s">
        <v>78</v>
      </c>
      <c r="D173" s="71">
        <v>85</v>
      </c>
      <c r="E173" s="71">
        <v>680</v>
      </c>
      <c r="F173" s="71">
        <v>1.4893771764705901</v>
      </c>
      <c r="G173" s="71">
        <v>0.30825791855203599</v>
      </c>
      <c r="H173" s="71">
        <v>4.7058823529411802</v>
      </c>
      <c r="I173" s="72">
        <f t="shared" si="28"/>
        <v>6.503517447963806</v>
      </c>
      <c r="J173" s="75">
        <f>L173*J$172</f>
        <v>15.696810359887193</v>
      </c>
      <c r="K173" s="2">
        <v>4900</v>
      </c>
      <c r="L173" s="2">
        <f>I173/I$172</f>
        <v>4.1307395683913666E-3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</row>
    <row r="174" spans="1:1025" s="85" customFormat="1" ht="24.75" customHeight="1">
      <c r="A174" s="59" t="s">
        <v>95</v>
      </c>
      <c r="B174" s="25" t="s">
        <v>59</v>
      </c>
      <c r="C174" s="25" t="s">
        <v>78</v>
      </c>
      <c r="D174" s="60">
        <v>100</v>
      </c>
      <c r="E174" s="60">
        <v>800</v>
      </c>
      <c r="F174" s="60">
        <v>9.7426619999999993</v>
      </c>
      <c r="G174" s="60">
        <v>1.35899408284024</v>
      </c>
      <c r="H174" s="60">
        <v>17.59</v>
      </c>
      <c r="I174" s="61">
        <f t="shared" si="28"/>
        <v>28.69165608284024</v>
      </c>
      <c r="J174" s="75">
        <f t="shared" ref="J174:J181" si="29">L174*J$172</f>
        <v>69.249831040962789</v>
      </c>
      <c r="K174" s="2">
        <v>4800</v>
      </c>
      <c r="L174" s="2">
        <f t="shared" ref="L174:L181" si="30">I174/I$172</f>
        <v>1.8223639747621787E-2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</row>
    <row r="175" spans="1:1025" s="85" customFormat="1" ht="30">
      <c r="A175" s="45" t="s">
        <v>95</v>
      </c>
      <c r="B175" s="52" t="s">
        <v>60</v>
      </c>
      <c r="C175" s="46" t="s">
        <v>78</v>
      </c>
      <c r="D175" s="47">
        <v>2</v>
      </c>
      <c r="E175" s="47">
        <v>16</v>
      </c>
      <c r="F175" s="47">
        <v>0</v>
      </c>
      <c r="G175" s="47">
        <v>29.086538461538499</v>
      </c>
      <c r="H175" s="47">
        <v>0</v>
      </c>
      <c r="I175" s="48">
        <f t="shared" si="28"/>
        <v>29.086538461538499</v>
      </c>
      <c r="J175" s="75">
        <f t="shared" si="29"/>
        <v>70.202914332040663</v>
      </c>
      <c r="K175" s="2">
        <v>4000</v>
      </c>
      <c r="L175" s="2">
        <f t="shared" si="30"/>
        <v>1.84744511400107E-2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</row>
    <row r="176" spans="1:1025" s="85" customFormat="1" ht="20.25">
      <c r="A176" s="45" t="s">
        <v>95</v>
      </c>
      <c r="B176" s="52" t="s">
        <v>61</v>
      </c>
      <c r="C176" s="46" t="s">
        <v>78</v>
      </c>
      <c r="D176" s="47">
        <v>30</v>
      </c>
      <c r="E176" s="47">
        <v>240</v>
      </c>
      <c r="F176" s="47">
        <v>4.2435</v>
      </c>
      <c r="G176" s="47">
        <v>0.87339743589743601</v>
      </c>
      <c r="H176" s="47">
        <v>13.3333333333333</v>
      </c>
      <c r="I176" s="48">
        <f t="shared" si="28"/>
        <v>18.450230769230735</v>
      </c>
      <c r="J176" s="75">
        <f t="shared" si="29"/>
        <v>44.531251864549809</v>
      </c>
      <c r="K176" s="2">
        <v>3800</v>
      </c>
      <c r="L176" s="2">
        <f t="shared" si="30"/>
        <v>1.1718750490671002E-2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  <c r="AMK176" s="2"/>
    </row>
    <row r="177" spans="1:1025" s="85" customFormat="1" ht="24.75" customHeight="1">
      <c r="A177" s="45" t="s">
        <v>95</v>
      </c>
      <c r="B177" s="46" t="s">
        <v>62</v>
      </c>
      <c r="C177" s="46" t="s">
        <v>78</v>
      </c>
      <c r="D177" s="47">
        <v>5</v>
      </c>
      <c r="E177" s="47">
        <v>40</v>
      </c>
      <c r="F177" s="47">
        <v>9.9187499999999993</v>
      </c>
      <c r="G177" s="47">
        <v>6.375</v>
      </c>
      <c r="H177" s="47">
        <v>17.25</v>
      </c>
      <c r="I177" s="48">
        <f t="shared" si="28"/>
        <v>33.543750000000003</v>
      </c>
      <c r="J177" s="75">
        <f t="shared" si="29"/>
        <v>80.960785716707491</v>
      </c>
      <c r="K177" s="2"/>
      <c r="L177" s="2">
        <f t="shared" si="30"/>
        <v>2.1305469925449339E-2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2"/>
    </row>
    <row r="178" spans="1:1025" s="85" customFormat="1" ht="24.75" customHeight="1">
      <c r="A178" s="45" t="s">
        <v>95</v>
      </c>
      <c r="B178" s="52" t="s">
        <v>63</v>
      </c>
      <c r="C178" s="46" t="s">
        <v>78</v>
      </c>
      <c r="D178" s="47">
        <v>2.5</v>
      </c>
      <c r="E178" s="47">
        <v>20</v>
      </c>
      <c r="F178" s="47">
        <v>20.257020000000001</v>
      </c>
      <c r="G178" s="47">
        <v>18.798076923076898</v>
      </c>
      <c r="H178" s="47">
        <v>50</v>
      </c>
      <c r="I178" s="48">
        <f t="shared" si="28"/>
        <v>89.055096923076903</v>
      </c>
      <c r="J178" s="75">
        <f t="shared" si="29"/>
        <v>214.94229532982584</v>
      </c>
      <c r="K178" s="2"/>
      <c r="L178" s="2">
        <f t="shared" si="30"/>
        <v>5.6563761928901536E-2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  <c r="AMK178" s="2"/>
    </row>
    <row r="179" spans="1:1025" s="85" customFormat="1" ht="24.75" customHeight="1">
      <c r="A179" s="45" t="s">
        <v>95</v>
      </c>
      <c r="B179" s="46" t="s">
        <v>64</v>
      </c>
      <c r="C179" s="46" t="s">
        <v>78</v>
      </c>
      <c r="D179" s="47">
        <v>100</v>
      </c>
      <c r="E179" s="47">
        <v>800</v>
      </c>
      <c r="F179" s="47">
        <v>42.545330999999997</v>
      </c>
      <c r="G179" s="47">
        <v>5.7333653846153902</v>
      </c>
      <c r="H179" s="47">
        <v>74.314999999999998</v>
      </c>
      <c r="I179" s="48">
        <f t="shared" si="28"/>
        <v>122.59369638461538</v>
      </c>
      <c r="J179" s="75">
        <f t="shared" si="29"/>
        <v>295.89064976974674</v>
      </c>
      <c r="K179" s="2"/>
      <c r="L179" s="2">
        <f t="shared" si="30"/>
        <v>7.7865960465722833E-2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</row>
    <row r="180" spans="1:1025" s="85" customFormat="1" ht="20.25">
      <c r="A180" s="45" t="s">
        <v>95</v>
      </c>
      <c r="B180" s="52" t="s">
        <v>67</v>
      </c>
      <c r="C180" s="46" t="s">
        <v>78</v>
      </c>
      <c r="D180" s="47">
        <v>3.5</v>
      </c>
      <c r="E180" s="47">
        <v>28</v>
      </c>
      <c r="F180" s="47">
        <v>17.696971428571398</v>
      </c>
      <c r="G180" s="47">
        <v>22.0305631868132</v>
      </c>
      <c r="H180" s="47">
        <v>0</v>
      </c>
      <c r="I180" s="48">
        <f t="shared" si="28"/>
        <v>39.727534615384599</v>
      </c>
      <c r="J180" s="75">
        <f t="shared" si="29"/>
        <v>95.885892813094287</v>
      </c>
      <c r="K180" s="2"/>
      <c r="L180" s="2">
        <f t="shared" si="30"/>
        <v>2.523312968765639E-2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</row>
    <row r="181" spans="1:1025" s="85" customFormat="1" ht="20.25">
      <c r="A181" s="45" t="s">
        <v>95</v>
      </c>
      <c r="B181" s="52" t="s">
        <v>593</v>
      </c>
      <c r="C181" s="46" t="s">
        <v>78</v>
      </c>
      <c r="D181" s="47">
        <v>3.28125</v>
      </c>
      <c r="E181" s="47">
        <v>26.25</v>
      </c>
      <c r="F181" s="47">
        <v>1074.8748584484099</v>
      </c>
      <c r="G181" s="47">
        <v>77.035604395604395</v>
      </c>
      <c r="H181" s="47">
        <v>54.857142857142897</v>
      </c>
      <c r="I181" s="48">
        <f t="shared" si="28"/>
        <v>1206.7676057011572</v>
      </c>
      <c r="J181" s="75">
        <f t="shared" si="29"/>
        <v>2912.6395687731851</v>
      </c>
      <c r="K181" s="2"/>
      <c r="L181" s="2">
        <f t="shared" si="30"/>
        <v>0.76648409704557507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</row>
    <row r="182" spans="1:1025" ht="24.75" customHeight="1">
      <c r="A182" s="37" t="s">
        <v>97</v>
      </c>
      <c r="B182" s="38" t="s">
        <v>70</v>
      </c>
      <c r="C182" s="46"/>
      <c r="D182" s="47"/>
      <c r="E182" s="47"/>
      <c r="F182" s="55">
        <v>13.335625</v>
      </c>
      <c r="G182" s="55">
        <v>0.66473858173076905</v>
      </c>
      <c r="H182" s="55">
        <v>0.37812499999999999</v>
      </c>
      <c r="I182" s="56">
        <v>14.378488581730799</v>
      </c>
      <c r="J182" s="76">
        <v>49</v>
      </c>
    </row>
    <row r="183" spans="1:1025" ht="24.75" customHeight="1">
      <c r="A183" s="45" t="s">
        <v>97</v>
      </c>
      <c r="B183" s="46" t="s">
        <v>71</v>
      </c>
      <c r="C183" s="52" t="s">
        <v>72</v>
      </c>
      <c r="D183" s="47">
        <v>80</v>
      </c>
      <c r="E183" s="47">
        <v>640</v>
      </c>
      <c r="F183" s="53">
        <v>13.335625</v>
      </c>
      <c r="G183" s="53">
        <v>0.66473858173076905</v>
      </c>
      <c r="H183" s="53">
        <v>0.37812499999999999</v>
      </c>
      <c r="I183" s="48">
        <v>14.378488581730799</v>
      </c>
      <c r="J183" s="49">
        <f>J182</f>
        <v>49</v>
      </c>
    </row>
    <row r="184" spans="1:1025" s="85" customFormat="1" ht="24.75" customHeight="1">
      <c r="A184" s="37" t="s">
        <v>97</v>
      </c>
      <c r="B184" s="38" t="s">
        <v>509</v>
      </c>
      <c r="C184" s="46"/>
      <c r="D184" s="47"/>
      <c r="E184" s="47"/>
      <c r="F184" s="55">
        <v>13.335625</v>
      </c>
      <c r="G184" s="55">
        <v>0.66473858173076905</v>
      </c>
      <c r="H184" s="55">
        <v>0.37812499999999999</v>
      </c>
      <c r="I184" s="56">
        <v>14.378488581730799</v>
      </c>
      <c r="J184" s="76">
        <v>1000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</row>
    <row r="185" spans="1:1025" s="85" customFormat="1" ht="24.75" customHeight="1">
      <c r="A185" s="45" t="s">
        <v>97</v>
      </c>
      <c r="B185" s="46" t="s">
        <v>509</v>
      </c>
      <c r="C185" s="52" t="s">
        <v>72</v>
      </c>
      <c r="D185" s="47">
        <v>80</v>
      </c>
      <c r="E185" s="47">
        <v>640</v>
      </c>
      <c r="F185" s="53">
        <v>13.335625</v>
      </c>
      <c r="G185" s="53">
        <v>0.66473858173076905</v>
      </c>
      <c r="H185" s="53">
        <v>0.37812499999999999</v>
      </c>
      <c r="I185" s="48">
        <v>14.378488581730799</v>
      </c>
      <c r="J185" s="49">
        <v>1000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</row>
    <row r="186" spans="1:1025" s="85" customFormat="1" ht="24.75" customHeight="1">
      <c r="A186" s="77">
        <v>87.03</v>
      </c>
      <c r="B186" s="38" t="s">
        <v>569</v>
      </c>
      <c r="C186" s="46"/>
      <c r="D186" s="47"/>
      <c r="E186" s="47"/>
      <c r="F186" s="55">
        <f>SUM(F187:F187)</f>
        <v>359.600215439632</v>
      </c>
      <c r="G186" s="55">
        <f>SUM(G187:G187)</f>
        <v>68.803651818918993</v>
      </c>
      <c r="H186" s="55">
        <f>SUM(H187:H187)</f>
        <v>22.900763358778601</v>
      </c>
      <c r="I186" s="56">
        <f>SUM(I187:I187)</f>
        <v>451.30463061732956</v>
      </c>
      <c r="J186" s="57">
        <v>30000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</row>
    <row r="187" spans="1:1025" s="85" customFormat="1" ht="20.25">
      <c r="A187" s="45">
        <v>87.03</v>
      </c>
      <c r="B187" s="52" t="s">
        <v>570</v>
      </c>
      <c r="C187" s="46" t="s">
        <v>104</v>
      </c>
      <c r="D187" s="47">
        <v>0.98250000000000004</v>
      </c>
      <c r="E187" s="47">
        <f>D187*8</f>
        <v>7.86</v>
      </c>
      <c r="F187" s="47">
        <v>359.600215439632</v>
      </c>
      <c r="G187" s="47">
        <v>68.803651818918993</v>
      </c>
      <c r="H187" s="47">
        <v>22.900763358778601</v>
      </c>
      <c r="I187" s="48">
        <f>F187+G187+H187</f>
        <v>451.30463061732956</v>
      </c>
      <c r="J187" s="49">
        <f>J186</f>
        <v>30000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</row>
    <row r="188" spans="1:1025" ht="24.75" customHeight="1">
      <c r="A188" s="77">
        <v>87.07</v>
      </c>
      <c r="B188" s="38" t="s">
        <v>98</v>
      </c>
      <c r="C188" s="46"/>
      <c r="D188" s="47"/>
      <c r="E188" s="47"/>
      <c r="F188" s="55">
        <f>SUM(F189:F189)</f>
        <v>359.600215439632</v>
      </c>
      <c r="G188" s="55">
        <f>SUM(G189:G189)</f>
        <v>68.803651818918993</v>
      </c>
      <c r="H188" s="55">
        <f>SUM(H189:H189)</f>
        <v>22.900763358778601</v>
      </c>
      <c r="I188" s="56">
        <f>SUM(I189:I189)</f>
        <v>451.30463061732956</v>
      </c>
      <c r="J188" s="57">
        <v>500</v>
      </c>
    </row>
    <row r="189" spans="1:1025" ht="30">
      <c r="A189" s="45">
        <v>87.07</v>
      </c>
      <c r="B189" s="52" t="s">
        <v>98</v>
      </c>
      <c r="C189" s="46" t="s">
        <v>99</v>
      </c>
      <c r="D189" s="47">
        <v>0.98250000000000004</v>
      </c>
      <c r="E189" s="47">
        <f>D189*8</f>
        <v>7.86</v>
      </c>
      <c r="F189" s="47">
        <v>359.600215439632</v>
      </c>
      <c r="G189" s="47">
        <v>68.803651818918993</v>
      </c>
      <c r="H189" s="47">
        <v>22.900763358778601</v>
      </c>
      <c r="I189" s="48">
        <f>F189+G189+H189</f>
        <v>451.30463061732956</v>
      </c>
      <c r="J189" s="49">
        <f>J188</f>
        <v>500</v>
      </c>
    </row>
    <row r="190" spans="1:1025" s="85" customFormat="1" ht="24.75" customHeight="1">
      <c r="A190" s="77" t="s">
        <v>571</v>
      </c>
      <c r="B190" s="38" t="s">
        <v>572</v>
      </c>
      <c r="C190" s="46"/>
      <c r="D190" s="47"/>
      <c r="E190" s="47"/>
      <c r="F190" s="55">
        <f>SUM(F191:F191)</f>
        <v>359.600215439632</v>
      </c>
      <c r="G190" s="55">
        <f>SUM(G191:G191)</f>
        <v>68.803651818918993</v>
      </c>
      <c r="H190" s="55">
        <f>SUM(H191:H191)</f>
        <v>22.900763358778601</v>
      </c>
      <c r="I190" s="56">
        <f>SUM(I191:I191)</f>
        <v>451.30463061732956</v>
      </c>
      <c r="J190" s="57">
        <v>500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</row>
    <row r="191" spans="1:1025" s="85" customFormat="1" ht="20.25">
      <c r="A191" s="45">
        <v>87.07</v>
      </c>
      <c r="B191" s="52" t="s">
        <v>572</v>
      </c>
      <c r="C191" s="46" t="s">
        <v>99</v>
      </c>
      <c r="D191" s="47">
        <v>0.98250000000000004</v>
      </c>
      <c r="E191" s="47">
        <f>D191*8</f>
        <v>7.86</v>
      </c>
      <c r="F191" s="47">
        <v>359.600215439632</v>
      </c>
      <c r="G191" s="47">
        <v>68.803651818918993</v>
      </c>
      <c r="H191" s="47">
        <v>22.900763358778601</v>
      </c>
      <c r="I191" s="48">
        <f>F191+G191+H191</f>
        <v>451.30463061732956</v>
      </c>
      <c r="J191" s="49">
        <f>J190</f>
        <v>500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</row>
    <row r="192" spans="1:1025" s="85" customFormat="1" ht="24.75" customHeight="1">
      <c r="A192" s="77" t="s">
        <v>573</v>
      </c>
      <c r="B192" s="38" t="s">
        <v>574</v>
      </c>
      <c r="C192" s="46"/>
      <c r="D192" s="47"/>
      <c r="E192" s="47"/>
      <c r="F192" s="55">
        <f>SUM(F193:F193)</f>
        <v>359.600215439632</v>
      </c>
      <c r="G192" s="55">
        <f>SUM(G193:G193)</f>
        <v>68.803651818918993</v>
      </c>
      <c r="H192" s="55">
        <f>SUM(H193:H193)</f>
        <v>22.900763358778601</v>
      </c>
      <c r="I192" s="56">
        <f>SUM(I193:I193)</f>
        <v>451.30463061732956</v>
      </c>
      <c r="J192" s="57">
        <v>200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</row>
    <row r="193" spans="1:1025" s="85" customFormat="1" ht="20.25">
      <c r="A193" s="45">
        <v>87.19</v>
      </c>
      <c r="B193" s="52" t="s">
        <v>574</v>
      </c>
      <c r="C193" s="46" t="s">
        <v>106</v>
      </c>
      <c r="D193" s="47">
        <v>0.98250000000000004</v>
      </c>
      <c r="E193" s="47">
        <f>D193*8</f>
        <v>7.86</v>
      </c>
      <c r="F193" s="47">
        <v>359.600215439632</v>
      </c>
      <c r="G193" s="47">
        <v>68.803651818918993</v>
      </c>
      <c r="H193" s="47">
        <v>22.900763358778601</v>
      </c>
      <c r="I193" s="48">
        <f>F193+G193+H193</f>
        <v>451.30463061732956</v>
      </c>
      <c r="J193" s="49">
        <f>J192</f>
        <v>200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</row>
    <row r="194" spans="1:1025" s="85" customFormat="1" ht="24.75" customHeight="1">
      <c r="A194" s="77">
        <v>87.13</v>
      </c>
      <c r="B194" s="38" t="s">
        <v>575</v>
      </c>
      <c r="C194" s="46"/>
      <c r="D194" s="47"/>
      <c r="E194" s="47"/>
      <c r="F194" s="55">
        <f>SUM(F195:F195)</f>
        <v>359.600215439632</v>
      </c>
      <c r="G194" s="55">
        <f>SUM(G195:G195)</f>
        <v>68.803651818918993</v>
      </c>
      <c r="H194" s="55">
        <f>SUM(H195:H195)</f>
        <v>22.900763358778601</v>
      </c>
      <c r="I194" s="56">
        <f>SUM(I195:I195)</f>
        <v>451.30463061732956</v>
      </c>
      <c r="J194" s="57">
        <v>100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</row>
    <row r="195" spans="1:1025" s="85" customFormat="1" ht="30">
      <c r="A195" s="45" t="s">
        <v>576</v>
      </c>
      <c r="B195" s="52" t="s">
        <v>577</v>
      </c>
      <c r="C195" s="46" t="s">
        <v>99</v>
      </c>
      <c r="D195" s="47">
        <v>0.98250000000000004</v>
      </c>
      <c r="E195" s="47">
        <f>D195*8</f>
        <v>7.86</v>
      </c>
      <c r="F195" s="47">
        <v>359.600215439632</v>
      </c>
      <c r="G195" s="47">
        <v>68.803651818918993</v>
      </c>
      <c r="H195" s="47">
        <v>22.900763358778601</v>
      </c>
      <c r="I195" s="48">
        <f>F195+G195+H195</f>
        <v>451.30463061732956</v>
      </c>
      <c r="J195" s="49">
        <f>J194</f>
        <v>100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</row>
    <row r="196" spans="1:1025" s="85" customFormat="1" ht="24.75" customHeight="1">
      <c r="A196" s="77">
        <v>87.16</v>
      </c>
      <c r="B196" s="38" t="s">
        <v>578</v>
      </c>
      <c r="C196" s="46"/>
      <c r="D196" s="47"/>
      <c r="E196" s="47"/>
      <c r="F196" s="55">
        <f>SUM(F197:F197)</f>
        <v>359.600215439632</v>
      </c>
      <c r="G196" s="55">
        <f>SUM(G197:G197)</f>
        <v>68.803651818918993</v>
      </c>
      <c r="H196" s="55">
        <f>SUM(H197:H197)</f>
        <v>22.900763358778601</v>
      </c>
      <c r="I196" s="56">
        <f>SUM(I197:I197)</f>
        <v>451.30463061732956</v>
      </c>
      <c r="J196" s="57">
        <v>100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</row>
    <row r="197" spans="1:1025" s="85" customFormat="1" ht="30">
      <c r="A197" s="45" t="s">
        <v>576</v>
      </c>
      <c r="B197" s="52" t="s">
        <v>579</v>
      </c>
      <c r="C197" s="46" t="s">
        <v>99</v>
      </c>
      <c r="D197" s="47">
        <v>0.98250000000000004</v>
      </c>
      <c r="E197" s="47">
        <f>D197*8</f>
        <v>7.86</v>
      </c>
      <c r="F197" s="47">
        <v>359.600215439632</v>
      </c>
      <c r="G197" s="47">
        <v>68.803651818918993</v>
      </c>
      <c r="H197" s="47">
        <v>22.900763358778601</v>
      </c>
      <c r="I197" s="48">
        <f>F197+G197+H197</f>
        <v>451.30463061732956</v>
      </c>
      <c r="J197" s="49">
        <f>J196</f>
        <v>100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</row>
    <row r="198" spans="1:1025" ht="24.75" customHeight="1">
      <c r="A198" s="37" t="s">
        <v>580</v>
      </c>
      <c r="B198" s="38" t="s">
        <v>74</v>
      </c>
      <c r="C198" s="46"/>
      <c r="D198" s="47"/>
      <c r="E198" s="47"/>
      <c r="F198" s="55">
        <v>498.59594847397398</v>
      </c>
      <c r="G198" s="55">
        <v>120.870796720562</v>
      </c>
      <c r="H198" s="55">
        <v>177.04588235294099</v>
      </c>
      <c r="I198" s="56">
        <f>SUM(I199:I204)</f>
        <v>796.51262754747677</v>
      </c>
      <c r="J198" s="57">
        <v>1800</v>
      </c>
      <c r="K198" s="2">
        <v>1800</v>
      </c>
    </row>
    <row r="199" spans="1:1025" ht="36" customHeight="1">
      <c r="A199" s="45" t="s">
        <v>580</v>
      </c>
      <c r="B199" s="52" t="s">
        <v>75</v>
      </c>
      <c r="C199" s="46" t="s">
        <v>78</v>
      </c>
      <c r="D199" s="47">
        <v>30</v>
      </c>
      <c r="E199" s="47">
        <v>240</v>
      </c>
      <c r="F199" s="47">
        <v>10.549754999999999</v>
      </c>
      <c r="G199" s="47">
        <v>0.80128205128205099</v>
      </c>
      <c r="H199" s="47">
        <v>13.3333333333333</v>
      </c>
      <c r="I199" s="48">
        <f t="shared" ref="I199:I204" si="31">SUM(F199:H199)</f>
        <v>24.684370384615349</v>
      </c>
      <c r="J199" s="75">
        <f t="shared" ref="J199:J204" si="32">L199*J$198</f>
        <v>55.783003502551793</v>
      </c>
      <c r="L199" s="2">
        <f t="shared" ref="L199:L204" si="33">I199/I$198</f>
        <v>3.0990557501417663E-2</v>
      </c>
    </row>
    <row r="200" spans="1:1025" ht="24.75" customHeight="1">
      <c r="A200" s="45" t="s">
        <v>580</v>
      </c>
      <c r="B200" s="46" t="s">
        <v>76</v>
      </c>
      <c r="C200" s="46" t="s">
        <v>78</v>
      </c>
      <c r="D200" s="47">
        <v>0.9</v>
      </c>
      <c r="E200" s="47">
        <v>7.2</v>
      </c>
      <c r="F200" s="47">
        <v>0</v>
      </c>
      <c r="G200" s="47">
        <v>49.679487179487197</v>
      </c>
      <c r="H200" s="47">
        <v>0</v>
      </c>
      <c r="I200" s="48">
        <f t="shared" si="31"/>
        <v>49.679487179487197</v>
      </c>
      <c r="J200" s="75">
        <f t="shared" si="32"/>
        <v>112.26824764651559</v>
      </c>
      <c r="L200" s="2">
        <f t="shared" si="33"/>
        <v>6.2371248692508659E-2</v>
      </c>
    </row>
    <row r="201" spans="1:1025" ht="24.75" customHeight="1">
      <c r="A201" s="45" t="s">
        <v>580</v>
      </c>
      <c r="B201" s="46" t="s">
        <v>77</v>
      </c>
      <c r="C201" s="46" t="s">
        <v>78</v>
      </c>
      <c r="D201" s="47">
        <v>100</v>
      </c>
      <c r="E201" s="47">
        <v>800</v>
      </c>
      <c r="F201" s="47">
        <v>74.581823999999997</v>
      </c>
      <c r="G201" s="47">
        <v>10.1754807692308</v>
      </c>
      <c r="H201" s="47">
        <v>131</v>
      </c>
      <c r="I201" s="48">
        <f t="shared" si="31"/>
        <v>215.75730476923081</v>
      </c>
      <c r="J201" s="75">
        <f t="shared" si="32"/>
        <v>487.57939943829302</v>
      </c>
      <c r="L201" s="2">
        <f t="shared" si="33"/>
        <v>0.27087744413238501</v>
      </c>
    </row>
    <row r="202" spans="1:1025" ht="24.75" customHeight="1">
      <c r="A202" s="45" t="s">
        <v>580</v>
      </c>
      <c r="B202" s="46" t="s">
        <v>58</v>
      </c>
      <c r="C202" s="46" t="s">
        <v>78</v>
      </c>
      <c r="D202" s="47">
        <v>85</v>
      </c>
      <c r="E202" s="47">
        <v>680</v>
      </c>
      <c r="F202" s="47">
        <v>1.4893771764705901</v>
      </c>
      <c r="G202" s="47">
        <v>0.30825791855203599</v>
      </c>
      <c r="H202" s="47">
        <v>4.7058823529411802</v>
      </c>
      <c r="I202" s="48">
        <f t="shared" si="31"/>
        <v>6.503517447963806</v>
      </c>
      <c r="J202" s="75">
        <f t="shared" si="32"/>
        <v>14.696981568741151</v>
      </c>
      <c r="L202" s="2">
        <f t="shared" si="33"/>
        <v>8.1649897604117502E-3</v>
      </c>
    </row>
    <row r="203" spans="1:1025" ht="24.75" customHeight="1">
      <c r="A203" s="45" t="s">
        <v>580</v>
      </c>
      <c r="B203" s="46" t="s">
        <v>59</v>
      </c>
      <c r="C203" s="46" t="s">
        <v>78</v>
      </c>
      <c r="D203" s="47">
        <v>100</v>
      </c>
      <c r="E203" s="47">
        <v>800</v>
      </c>
      <c r="F203" s="47">
        <v>9.7426619999999993</v>
      </c>
      <c r="G203" s="47">
        <v>1.35899408284024</v>
      </c>
      <c r="H203" s="47">
        <v>17.59</v>
      </c>
      <c r="I203" s="48">
        <f t="shared" si="31"/>
        <v>28.69165608284024</v>
      </c>
      <c r="J203" s="75">
        <f t="shared" si="32"/>
        <v>64.838872810003366</v>
      </c>
      <c r="L203" s="2">
        <f t="shared" si="33"/>
        <v>3.6021596005557426E-2</v>
      </c>
    </row>
    <row r="204" spans="1:1025" ht="24.75" customHeight="1">
      <c r="A204" s="45" t="s">
        <v>580</v>
      </c>
      <c r="B204" s="46" t="s">
        <v>79</v>
      </c>
      <c r="C204" s="46" t="s">
        <v>78</v>
      </c>
      <c r="D204" s="47">
        <v>1.44</v>
      </c>
      <c r="E204" s="47">
        <v>11.52</v>
      </c>
      <c r="F204" s="47">
        <v>402.23233029750298</v>
      </c>
      <c r="G204" s="47">
        <v>58.547294719169699</v>
      </c>
      <c r="H204" s="47">
        <v>10.4166666666667</v>
      </c>
      <c r="I204" s="48">
        <f t="shared" si="31"/>
        <v>471.19629168333938</v>
      </c>
      <c r="J204" s="75">
        <f t="shared" si="32"/>
        <v>1064.8334950338951</v>
      </c>
      <c r="L204" s="2">
        <f t="shared" si="33"/>
        <v>0.59157416390771955</v>
      </c>
    </row>
    <row r="205" spans="1:1025" s="85" customFormat="1" ht="36.75" customHeight="1">
      <c r="A205" s="77" t="s">
        <v>100</v>
      </c>
      <c r="B205" s="598" t="s">
        <v>581</v>
      </c>
      <c r="C205" s="46"/>
      <c r="D205" s="47"/>
      <c r="E205" s="47"/>
      <c r="F205" s="55">
        <f>SUM(F206:F206)</f>
        <v>359.600215439632</v>
      </c>
      <c r="G205" s="55">
        <f>SUM(G206:G206)</f>
        <v>68.803651818918993</v>
      </c>
      <c r="H205" s="55">
        <f>SUM(H206:H206)</f>
        <v>22.900763358778601</v>
      </c>
      <c r="I205" s="56">
        <f>SUM(I206:I206)</f>
        <v>451.30463061732956</v>
      </c>
      <c r="J205" s="57">
        <v>100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  <c r="AMK205" s="2"/>
    </row>
    <row r="206" spans="1:1025" s="85" customFormat="1" ht="30">
      <c r="A206" s="45" t="s">
        <v>100</v>
      </c>
      <c r="B206" s="52" t="s">
        <v>581</v>
      </c>
      <c r="C206" s="46" t="s">
        <v>66</v>
      </c>
      <c r="D206" s="47">
        <v>0.98250000000000004</v>
      </c>
      <c r="E206" s="47">
        <f>D206*8</f>
        <v>7.86</v>
      </c>
      <c r="F206" s="47">
        <v>359.600215439632</v>
      </c>
      <c r="G206" s="47">
        <v>68.803651818918993</v>
      </c>
      <c r="H206" s="47">
        <v>22.900763358778601</v>
      </c>
      <c r="I206" s="48">
        <f>F206+G206+H206</f>
        <v>451.30463061732956</v>
      </c>
      <c r="J206" s="49">
        <f>J205</f>
        <v>100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  <c r="AMK206" s="2"/>
    </row>
    <row r="207" spans="1:1025" s="85" customFormat="1" ht="24.75" customHeight="1">
      <c r="A207" s="37" t="s">
        <v>580</v>
      </c>
      <c r="B207" s="38" t="s">
        <v>582</v>
      </c>
      <c r="C207" s="46"/>
      <c r="D207" s="47"/>
      <c r="E207" s="47"/>
      <c r="F207" s="55">
        <v>498.59594847397398</v>
      </c>
      <c r="G207" s="55">
        <v>120.870796720562</v>
      </c>
      <c r="H207" s="55">
        <v>177.04588235294099</v>
      </c>
      <c r="I207" s="56">
        <f>SUM(I208:I213)</f>
        <v>796.51262754747677</v>
      </c>
      <c r="J207" s="57">
        <v>1800</v>
      </c>
      <c r="K207" s="2">
        <v>1800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  <c r="AMK207" s="2"/>
    </row>
    <row r="208" spans="1:1025" s="85" customFormat="1" ht="36" customHeight="1">
      <c r="A208" s="45" t="s">
        <v>580</v>
      </c>
      <c r="B208" s="52" t="s">
        <v>75</v>
      </c>
      <c r="C208" s="46" t="s">
        <v>78</v>
      </c>
      <c r="D208" s="47">
        <v>30</v>
      </c>
      <c r="E208" s="47">
        <v>240</v>
      </c>
      <c r="F208" s="47">
        <v>10.549754999999999</v>
      </c>
      <c r="G208" s="47">
        <v>0.80128205128205099</v>
      </c>
      <c r="H208" s="47">
        <v>13.3333333333333</v>
      </c>
      <c r="I208" s="48">
        <f t="shared" ref="I208:I213" si="34">SUM(F208:H208)</f>
        <v>24.684370384615349</v>
      </c>
      <c r="J208" s="75">
        <f t="shared" ref="J208:J213" si="35">L208*J$198</f>
        <v>55.783003502551793</v>
      </c>
      <c r="K208" s="2"/>
      <c r="L208" s="2">
        <f t="shared" ref="L208:L213" si="36">I208/I$198</f>
        <v>3.0990557501417663E-2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  <c r="AMK208" s="2"/>
    </row>
    <row r="209" spans="1:1025" s="85" customFormat="1" ht="24.75" customHeight="1">
      <c r="A209" s="45" t="s">
        <v>580</v>
      </c>
      <c r="B209" s="46" t="s">
        <v>76</v>
      </c>
      <c r="C209" s="46" t="s">
        <v>78</v>
      </c>
      <c r="D209" s="47">
        <v>0.9</v>
      </c>
      <c r="E209" s="47">
        <v>7.2</v>
      </c>
      <c r="F209" s="47">
        <v>0</v>
      </c>
      <c r="G209" s="47">
        <v>49.679487179487197</v>
      </c>
      <c r="H209" s="47">
        <v>0</v>
      </c>
      <c r="I209" s="48">
        <f t="shared" si="34"/>
        <v>49.679487179487197</v>
      </c>
      <c r="J209" s="75">
        <f t="shared" si="35"/>
        <v>112.26824764651559</v>
      </c>
      <c r="K209" s="2"/>
      <c r="L209" s="2">
        <f t="shared" si="36"/>
        <v>6.2371248692508659E-2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  <c r="AMK209" s="2"/>
    </row>
    <row r="210" spans="1:1025" s="85" customFormat="1" ht="24.75" customHeight="1">
      <c r="A210" s="45" t="s">
        <v>580</v>
      </c>
      <c r="B210" s="46" t="s">
        <v>77</v>
      </c>
      <c r="C210" s="46" t="s">
        <v>78</v>
      </c>
      <c r="D210" s="47">
        <v>100</v>
      </c>
      <c r="E210" s="47">
        <v>800</v>
      </c>
      <c r="F210" s="47">
        <v>74.581823999999997</v>
      </c>
      <c r="G210" s="47">
        <v>10.1754807692308</v>
      </c>
      <c r="H210" s="47">
        <v>131</v>
      </c>
      <c r="I210" s="48">
        <f t="shared" si="34"/>
        <v>215.75730476923081</v>
      </c>
      <c r="J210" s="75">
        <f t="shared" si="35"/>
        <v>487.57939943829302</v>
      </c>
      <c r="K210" s="2"/>
      <c r="L210" s="2">
        <f t="shared" si="36"/>
        <v>0.27087744413238501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</row>
    <row r="211" spans="1:1025" s="85" customFormat="1" ht="24.75" customHeight="1">
      <c r="A211" s="45" t="s">
        <v>580</v>
      </c>
      <c r="B211" s="46" t="s">
        <v>58</v>
      </c>
      <c r="C211" s="46" t="s">
        <v>78</v>
      </c>
      <c r="D211" s="47">
        <v>85</v>
      </c>
      <c r="E211" s="47">
        <v>680</v>
      </c>
      <c r="F211" s="47">
        <v>1.4893771764705901</v>
      </c>
      <c r="G211" s="47">
        <v>0.30825791855203599</v>
      </c>
      <c r="H211" s="47">
        <v>4.7058823529411802</v>
      </c>
      <c r="I211" s="48">
        <f t="shared" si="34"/>
        <v>6.503517447963806</v>
      </c>
      <c r="J211" s="75">
        <f t="shared" si="35"/>
        <v>14.696981568741151</v>
      </c>
      <c r="K211" s="2"/>
      <c r="L211" s="2">
        <f t="shared" si="36"/>
        <v>8.1649897604117502E-3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  <c r="AMK211" s="2"/>
    </row>
    <row r="212" spans="1:1025" s="85" customFormat="1" ht="24.75" customHeight="1">
      <c r="A212" s="45" t="s">
        <v>580</v>
      </c>
      <c r="B212" s="46" t="s">
        <v>59</v>
      </c>
      <c r="C212" s="46" t="s">
        <v>78</v>
      </c>
      <c r="D212" s="47">
        <v>100</v>
      </c>
      <c r="E212" s="47">
        <v>800</v>
      </c>
      <c r="F212" s="47">
        <v>9.7426619999999993</v>
      </c>
      <c r="G212" s="47">
        <v>1.35899408284024</v>
      </c>
      <c r="H212" s="47">
        <v>17.59</v>
      </c>
      <c r="I212" s="48">
        <f t="shared" si="34"/>
        <v>28.69165608284024</v>
      </c>
      <c r="J212" s="75">
        <f t="shared" si="35"/>
        <v>64.838872810003366</v>
      </c>
      <c r="K212" s="2"/>
      <c r="L212" s="2">
        <f t="shared" si="36"/>
        <v>3.6021596005557426E-2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</row>
    <row r="213" spans="1:1025" s="85" customFormat="1" ht="24.75" customHeight="1" thickBot="1">
      <c r="A213" s="45" t="s">
        <v>580</v>
      </c>
      <c r="B213" s="46" t="s">
        <v>79</v>
      </c>
      <c r="C213" s="46" t="s">
        <v>78</v>
      </c>
      <c r="D213" s="47">
        <v>1.44</v>
      </c>
      <c r="E213" s="47">
        <v>11.52</v>
      </c>
      <c r="F213" s="47">
        <v>402.23233029750298</v>
      </c>
      <c r="G213" s="47">
        <v>58.547294719169699</v>
      </c>
      <c r="H213" s="47">
        <v>10.4166666666667</v>
      </c>
      <c r="I213" s="48">
        <f t="shared" si="34"/>
        <v>471.19629168333938</v>
      </c>
      <c r="J213" s="75">
        <f t="shared" si="35"/>
        <v>1064.8334950338951</v>
      </c>
      <c r="K213" s="2"/>
      <c r="L213" s="2">
        <f t="shared" si="36"/>
        <v>0.59157416390771955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</row>
    <row r="214" spans="1:1025" ht="24.75" customHeight="1" thickTop="1">
      <c r="A214" s="78"/>
      <c r="B214" s="79" t="s">
        <v>101</v>
      </c>
      <c r="C214" s="80"/>
      <c r="D214" s="81"/>
      <c r="E214" s="81"/>
      <c r="F214" s="81"/>
      <c r="G214" s="81"/>
      <c r="H214" s="81"/>
      <c r="I214" s="81">
        <f>F214+G214+H214</f>
        <v>0</v>
      </c>
      <c r="J214" s="81"/>
    </row>
    <row r="215" spans="1:1025" ht="24.75" customHeight="1">
      <c r="A215" s="77">
        <v>92.01</v>
      </c>
      <c r="B215" s="1898" t="s">
        <v>102</v>
      </c>
      <c r="C215" s="1898"/>
      <c r="D215" s="1898"/>
      <c r="E215" s="47"/>
      <c r="F215" s="55">
        <f>SUM(F216:F216)</f>
        <v>906.21</v>
      </c>
      <c r="G215" s="55">
        <f>SUM(G216:G216)</f>
        <v>0.86538461538461497</v>
      </c>
      <c r="H215" s="55">
        <f>SUM(H216:H216)</f>
        <v>12</v>
      </c>
      <c r="I215" s="56">
        <f>SUM(I216:I216)</f>
        <v>919.07538461538468</v>
      </c>
      <c r="J215" s="57">
        <v>2000</v>
      </c>
    </row>
    <row r="216" spans="1:1025" ht="20.25">
      <c r="A216" s="45">
        <v>92.01</v>
      </c>
      <c r="B216" s="52" t="s">
        <v>102</v>
      </c>
      <c r="C216" s="46" t="s">
        <v>96</v>
      </c>
      <c r="D216" s="47">
        <v>5</v>
      </c>
      <c r="E216" s="47">
        <f>D216*8</f>
        <v>40</v>
      </c>
      <c r="F216" s="47">
        <v>906.21</v>
      </c>
      <c r="G216" s="47">
        <v>0.86538461538461497</v>
      </c>
      <c r="H216" s="47">
        <v>12</v>
      </c>
      <c r="I216" s="48">
        <f>(F216+G216+H216)</f>
        <v>919.07538461538468</v>
      </c>
      <c r="J216" s="49">
        <f>J215</f>
        <v>2000</v>
      </c>
    </row>
    <row r="217" spans="1:1025" ht="24.75" customHeight="1">
      <c r="A217" s="77">
        <v>94.01</v>
      </c>
      <c r="B217" s="1898" t="s">
        <v>103</v>
      </c>
      <c r="C217" s="1898"/>
      <c r="D217" s="1898"/>
      <c r="E217" s="47"/>
      <c r="F217" s="55">
        <f>SUM(F218:F218)</f>
        <v>4531.05</v>
      </c>
      <c r="G217" s="55">
        <f>SUM(G218:G218)</f>
        <v>34.615384615384599</v>
      </c>
      <c r="H217" s="55">
        <f>SUM(H218:H218)</f>
        <v>43.75</v>
      </c>
      <c r="I217" s="56">
        <f>SUM(I218:I218)</f>
        <v>4609.4153846153849</v>
      </c>
      <c r="J217" s="57">
        <v>1000</v>
      </c>
    </row>
    <row r="218" spans="1:1025" ht="20.25">
      <c r="A218" s="45">
        <v>92.01</v>
      </c>
      <c r="B218" s="52" t="s">
        <v>103</v>
      </c>
      <c r="C218" s="46" t="s">
        <v>104</v>
      </c>
      <c r="D218" s="47">
        <v>0.25</v>
      </c>
      <c r="E218" s="47">
        <f>D218*8</f>
        <v>2</v>
      </c>
      <c r="F218" s="47">
        <v>4531.05</v>
      </c>
      <c r="G218" s="47">
        <v>34.615384615384599</v>
      </c>
      <c r="H218" s="47">
        <v>43.75</v>
      </c>
      <c r="I218" s="48">
        <f>(F218+G218+H218)</f>
        <v>4609.4153846153849</v>
      </c>
      <c r="J218" s="49">
        <f>J217</f>
        <v>1000</v>
      </c>
    </row>
    <row r="219" spans="1:1025" ht="24.75" customHeight="1">
      <c r="A219" s="77">
        <v>92.01</v>
      </c>
      <c r="B219" s="1898" t="s">
        <v>105</v>
      </c>
      <c r="C219" s="1898"/>
      <c r="D219" s="1898"/>
      <c r="E219" s="47"/>
      <c r="F219" s="55">
        <f>SUM(F220:F220)</f>
        <v>228.60418538528199</v>
      </c>
      <c r="G219" s="55">
        <f>SUM(G220:G220)</f>
        <v>9.8583447802197792</v>
      </c>
      <c r="H219" s="55">
        <f>SUM(H220:H220)</f>
        <v>30</v>
      </c>
      <c r="I219" s="56">
        <f>SUM(I220:I220)</f>
        <v>268.46253016550179</v>
      </c>
      <c r="J219" s="57">
        <v>500</v>
      </c>
    </row>
    <row r="220" spans="1:1025" ht="20.25">
      <c r="A220" s="45">
        <v>92.01</v>
      </c>
      <c r="B220" s="52" t="s">
        <v>105</v>
      </c>
      <c r="C220" s="46" t="s">
        <v>104</v>
      </c>
      <c r="D220" s="47">
        <v>2</v>
      </c>
      <c r="E220" s="47">
        <f>D220*8</f>
        <v>16</v>
      </c>
      <c r="F220" s="47">
        <v>228.60418538528199</v>
      </c>
      <c r="G220" s="47">
        <v>9.8583447802197792</v>
      </c>
      <c r="H220" s="47">
        <v>30</v>
      </c>
      <c r="I220" s="48">
        <f>(F220+G220+H220)</f>
        <v>268.46253016550179</v>
      </c>
      <c r="J220" s="49">
        <f>J219</f>
        <v>500</v>
      </c>
    </row>
  </sheetData>
  <mergeCells count="16">
    <mergeCell ref="J7:J8"/>
    <mergeCell ref="B215:D215"/>
    <mergeCell ref="B217:D217"/>
    <mergeCell ref="B219:D219"/>
    <mergeCell ref="C6:F6"/>
    <mergeCell ref="A7:A8"/>
    <mergeCell ref="B7:B8"/>
    <mergeCell ref="C7:C8"/>
    <mergeCell ref="D7:E7"/>
    <mergeCell ref="F7:I7"/>
    <mergeCell ref="A1:J1"/>
    <mergeCell ref="A2:J2"/>
    <mergeCell ref="A3:J3"/>
    <mergeCell ref="F4:G4"/>
    <mergeCell ref="A5:B5"/>
    <mergeCell ref="F5:G5"/>
  </mergeCells>
  <pageMargins left="0" right="0" top="0" bottom="0" header="0.51180555555555496" footer="0.51180555555555496"/>
  <pageSetup firstPageNumber="0" orientation="portrait" r:id="rId1"/>
  <rowBreaks count="1" manualBreakCount="1">
    <brk id="220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M145"/>
  <sheetViews>
    <sheetView view="pageBreakPreview" zoomScale="50" zoomScaleNormal="50" zoomScaleSheetLayoutView="50" zoomScalePageLayoutView="60" workbookViewId="0">
      <pane xSplit="3" ySplit="7" topLeftCell="D132" activePane="bottomRight" state="frozen"/>
      <selection activeCell="F70" sqref="F70"/>
      <selection pane="topRight" activeCell="F70" sqref="F70"/>
      <selection pane="bottomLeft" activeCell="F70" sqref="F70"/>
      <selection pane="bottomRight" activeCell="G131" sqref="G131"/>
    </sheetView>
  </sheetViews>
  <sheetFormatPr defaultRowHeight="20.25"/>
  <cols>
    <col min="1" max="1" width="8.140625" style="1013"/>
    <col min="2" max="2" width="23.7109375" style="1013" customWidth="1"/>
    <col min="3" max="3" width="21.42578125" style="1013"/>
    <col min="4" max="4" width="18.28515625" style="1014" customWidth="1"/>
    <col min="5" max="5" width="19.5703125" style="1015" bestFit="1" customWidth="1"/>
    <col min="6" max="6" width="18.5703125" style="675" bestFit="1" customWidth="1"/>
    <col min="7" max="7" width="16.42578125" style="675" bestFit="1" customWidth="1"/>
    <col min="8" max="8" width="17.7109375" style="675" bestFit="1" customWidth="1"/>
    <col min="9" max="9" width="20.5703125" style="86" customWidth="1"/>
    <col min="10" max="10" width="24.28515625" style="676" customWidth="1"/>
    <col min="11" max="11" width="23.42578125" style="87" bestFit="1" customWidth="1"/>
    <col min="12" max="12" width="20.140625" style="88" bestFit="1" customWidth="1"/>
    <col min="13" max="13" width="23" style="677" bestFit="1" customWidth="1"/>
    <col min="14" max="14" width="20.140625" style="88" customWidth="1"/>
    <col min="15" max="15" width="18.85546875" style="88" customWidth="1"/>
    <col min="16" max="16" width="24.42578125" style="88" customWidth="1"/>
    <col min="17" max="17" width="21.28515625" style="89" customWidth="1"/>
    <col min="18" max="18" width="21.42578125" style="89" customWidth="1"/>
    <col min="19" max="19" width="26.85546875" style="89" customWidth="1"/>
    <col min="20" max="20" width="15.7109375" style="90" hidden="1" customWidth="1"/>
    <col min="21" max="21" width="29" style="90" hidden="1" customWidth="1"/>
    <col min="22" max="59" width="0" style="90" hidden="1" customWidth="1"/>
    <col min="60" max="60" width="30.28515625" style="90" customWidth="1"/>
    <col min="61" max="1027" width="8.5703125" style="90"/>
    <col min="1028" max="16384" width="9.140625" style="621"/>
  </cols>
  <sheetData>
    <row r="1" spans="1:124" ht="54.75">
      <c r="A1" s="1954" t="s">
        <v>615</v>
      </c>
      <c r="B1" s="1954"/>
      <c r="C1" s="1954"/>
      <c r="D1" s="1954"/>
      <c r="E1" s="1954"/>
      <c r="F1" s="1954"/>
      <c r="G1" s="1954"/>
      <c r="H1" s="1954"/>
      <c r="I1" s="1954"/>
      <c r="J1" s="1954"/>
      <c r="K1" s="1954"/>
      <c r="L1" s="1954"/>
      <c r="M1" s="1954"/>
      <c r="N1" s="1954"/>
      <c r="O1" s="1954"/>
      <c r="P1" s="1954"/>
      <c r="Q1" s="623"/>
      <c r="R1" s="623"/>
      <c r="S1" s="1254"/>
      <c r="T1" s="623"/>
      <c r="U1" s="623"/>
      <c r="V1" s="623"/>
    </row>
    <row r="2" spans="1:124" ht="30.75" customHeight="1">
      <c r="A2" s="1953" t="str">
        <f>'Direct cost summary '!A2</f>
        <v>Project: Haro sebu-Lelo-Qaqe</v>
      </c>
      <c r="B2" s="1953"/>
      <c r="C2" s="1953"/>
      <c r="D2" s="1953"/>
      <c r="E2" s="1953"/>
      <c r="F2" s="1953"/>
      <c r="G2" s="1953"/>
      <c r="H2" s="1953"/>
      <c r="I2" s="1953"/>
      <c r="J2" s="1953"/>
      <c r="K2" s="1953"/>
      <c r="L2" s="1953"/>
      <c r="M2" s="1953"/>
      <c r="N2" s="1953"/>
      <c r="O2" s="1953"/>
      <c r="P2" s="1953"/>
      <c r="Q2" s="672"/>
      <c r="R2" s="672"/>
      <c r="S2" s="1037"/>
    </row>
    <row r="3" spans="1:124" ht="39" customHeight="1">
      <c r="A3" s="1037"/>
      <c r="B3" s="1900" t="s">
        <v>698</v>
      </c>
      <c r="C3" s="1900"/>
      <c r="D3" s="1900"/>
      <c r="E3" s="1900"/>
      <c r="F3" s="1900"/>
      <c r="G3" s="1900"/>
      <c r="H3" s="1900"/>
      <c r="I3" s="1900"/>
      <c r="J3" s="1900"/>
      <c r="K3" s="1900"/>
      <c r="L3" s="1900"/>
      <c r="M3" s="1900"/>
      <c r="N3" s="1900"/>
      <c r="O3" s="1900"/>
      <c r="P3" s="1901" t="s">
        <v>798</v>
      </c>
      <c r="Q3" s="1901"/>
      <c r="R3" s="1901"/>
      <c r="S3" s="1901"/>
    </row>
    <row r="4" spans="1:124" ht="21" customHeight="1" thickBot="1">
      <c r="A4" s="982"/>
      <c r="B4" s="982"/>
      <c r="C4" s="982"/>
      <c r="D4" s="983"/>
      <c r="E4" s="984"/>
      <c r="F4" s="681"/>
      <c r="G4" s="640"/>
      <c r="H4" s="640"/>
      <c r="I4" s="678"/>
      <c r="J4" s="678"/>
      <c r="K4" s="679"/>
      <c r="L4" s="680"/>
      <c r="M4" s="680"/>
      <c r="N4" s="641"/>
      <c r="O4" s="641"/>
      <c r="P4" s="1902">
        <v>0</v>
      </c>
      <c r="Q4" s="1902"/>
      <c r="R4" s="1902"/>
      <c r="S4" s="1902"/>
    </row>
    <row r="5" spans="1:124" s="92" customFormat="1" ht="27.75" customHeight="1" thickTop="1">
      <c r="A5" s="1903" t="s">
        <v>106</v>
      </c>
      <c r="B5" s="1905" t="s">
        <v>179</v>
      </c>
      <c r="C5" s="1905" t="s">
        <v>180</v>
      </c>
      <c r="D5" s="1931" t="s">
        <v>181</v>
      </c>
      <c r="E5" s="1907" t="s">
        <v>182</v>
      </c>
      <c r="F5" s="1909" t="s">
        <v>183</v>
      </c>
      <c r="G5" s="1909" t="s">
        <v>184</v>
      </c>
      <c r="H5" s="1909" t="s">
        <v>185</v>
      </c>
      <c r="I5" s="1907" t="s">
        <v>186</v>
      </c>
      <c r="J5" s="1907" t="s">
        <v>187</v>
      </c>
      <c r="K5" s="1907"/>
      <c r="L5" s="1907"/>
      <c r="M5" s="1907"/>
      <c r="N5" s="1907" t="s">
        <v>188</v>
      </c>
      <c r="O5" s="1907" t="s">
        <v>189</v>
      </c>
      <c r="P5" s="1907" t="s">
        <v>190</v>
      </c>
      <c r="Q5" s="1907" t="s">
        <v>738</v>
      </c>
      <c r="R5" s="1907" t="s">
        <v>737</v>
      </c>
      <c r="S5" s="1911" t="s">
        <v>111</v>
      </c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  <c r="CQ5" s="91"/>
      <c r="CR5" s="91"/>
      <c r="CS5" s="91"/>
      <c r="CT5" s="91"/>
      <c r="CU5" s="91"/>
      <c r="CV5" s="91"/>
      <c r="CW5" s="91"/>
      <c r="CX5" s="91"/>
      <c r="CY5" s="91"/>
      <c r="CZ5" s="91"/>
      <c r="DA5" s="91"/>
      <c r="DB5" s="91"/>
      <c r="DC5" s="91"/>
      <c r="DD5" s="91"/>
      <c r="DE5" s="91"/>
      <c r="DF5" s="91"/>
      <c r="DG5" s="91"/>
      <c r="DH5" s="91"/>
      <c r="DI5" s="91"/>
      <c r="DJ5" s="91"/>
      <c r="DK5" s="91"/>
      <c r="DL5" s="91"/>
      <c r="DM5" s="91"/>
      <c r="DN5" s="91"/>
      <c r="DO5" s="91"/>
      <c r="DP5" s="91"/>
      <c r="DQ5" s="91"/>
      <c r="DR5" s="91"/>
      <c r="DS5" s="91"/>
      <c r="DT5" s="91"/>
    </row>
    <row r="6" spans="1:124" s="92" customFormat="1" ht="57.75" customHeight="1" thickBot="1">
      <c r="A6" s="1904"/>
      <c r="B6" s="1906"/>
      <c r="C6" s="1906"/>
      <c r="D6" s="1932"/>
      <c r="E6" s="1908"/>
      <c r="F6" s="1910"/>
      <c r="G6" s="1910"/>
      <c r="H6" s="1910"/>
      <c r="I6" s="1908"/>
      <c r="J6" s="1267" t="s">
        <v>191</v>
      </c>
      <c r="K6" s="667" t="s">
        <v>192</v>
      </c>
      <c r="L6" s="1267" t="s">
        <v>184</v>
      </c>
      <c r="M6" s="1267" t="s">
        <v>185</v>
      </c>
      <c r="N6" s="1908"/>
      <c r="O6" s="1908"/>
      <c r="P6" s="1908"/>
      <c r="Q6" s="1908"/>
      <c r="R6" s="1908"/>
      <c r="S6" s="1912"/>
      <c r="T6" s="91"/>
      <c r="U6" s="1264">
        <f>K11+K15+K19+K25</f>
        <v>365977.69999999995</v>
      </c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  <c r="DD6" s="91"/>
      <c r="DE6" s="91"/>
      <c r="DF6" s="91"/>
      <c r="DG6" s="91"/>
      <c r="DH6" s="91"/>
      <c r="DI6" s="91"/>
      <c r="DJ6" s="91"/>
      <c r="DK6" s="91"/>
      <c r="DL6" s="91"/>
      <c r="DM6" s="91"/>
      <c r="DN6" s="91"/>
      <c r="DO6" s="91"/>
      <c r="DP6" s="91"/>
      <c r="DQ6" s="91"/>
      <c r="DR6" s="91"/>
      <c r="DS6" s="91"/>
      <c r="DT6" s="91"/>
    </row>
    <row r="7" spans="1:124" s="94" customFormat="1" ht="27.75" customHeight="1">
      <c r="A7" s="1923" t="s">
        <v>114</v>
      </c>
      <c r="B7" s="1924"/>
      <c r="C7" s="1924"/>
      <c r="D7" s="1924"/>
      <c r="E7" s="1925"/>
      <c r="F7" s="1925"/>
      <c r="G7" s="1925"/>
      <c r="H7" s="1925"/>
      <c r="I7" s="1925"/>
      <c r="J7" s="1925"/>
      <c r="K7" s="1925"/>
      <c r="L7" s="1925"/>
      <c r="M7" s="1925"/>
      <c r="N7" s="1925"/>
      <c r="O7" s="1925"/>
      <c r="P7" s="1925"/>
      <c r="Q7" s="1925"/>
      <c r="R7" s="1925"/>
      <c r="S7" s="1926"/>
      <c r="T7" s="90"/>
      <c r="U7" s="90"/>
      <c r="V7" s="90"/>
      <c r="W7" s="90"/>
      <c r="X7" s="90"/>
      <c r="Y7" s="93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S7" s="90"/>
      <c r="AT7" s="90"/>
      <c r="AU7" s="90"/>
      <c r="AV7" s="90"/>
      <c r="AW7" s="90"/>
      <c r="AX7" s="90"/>
      <c r="AY7" s="90"/>
      <c r="AZ7" s="90"/>
      <c r="BA7" s="90"/>
      <c r="BB7" s="90"/>
      <c r="BC7" s="90"/>
      <c r="BD7" s="90"/>
      <c r="BE7" s="90"/>
      <c r="BF7" s="90"/>
      <c r="BG7" s="90"/>
      <c r="BH7" s="90"/>
      <c r="BI7" s="90"/>
      <c r="BJ7" s="90"/>
      <c r="BK7" s="90"/>
      <c r="BL7" s="90"/>
      <c r="BM7" s="90"/>
      <c r="BN7" s="90"/>
      <c r="BO7" s="90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  <c r="CN7" s="90"/>
      <c r="CO7" s="90"/>
      <c r="CP7" s="90"/>
      <c r="CQ7" s="90"/>
      <c r="CR7" s="90"/>
      <c r="CS7" s="90"/>
      <c r="CT7" s="90"/>
      <c r="CU7" s="90"/>
      <c r="CV7" s="90"/>
      <c r="CW7" s="90"/>
      <c r="CX7" s="90"/>
      <c r="CY7" s="90"/>
      <c r="CZ7" s="90"/>
      <c r="DA7" s="90"/>
      <c r="DB7" s="90"/>
      <c r="DC7" s="90"/>
      <c r="DD7" s="90"/>
      <c r="DE7" s="90"/>
      <c r="DF7" s="90"/>
      <c r="DG7" s="90"/>
      <c r="DH7" s="90"/>
      <c r="DI7" s="90"/>
      <c r="DJ7" s="90"/>
      <c r="DK7" s="90"/>
      <c r="DL7" s="90"/>
      <c r="DM7" s="90"/>
      <c r="DN7" s="90"/>
      <c r="DO7" s="90"/>
      <c r="DP7" s="90"/>
      <c r="DQ7" s="90"/>
      <c r="DR7" s="90"/>
      <c r="DS7" s="90"/>
      <c r="DT7" s="90"/>
    </row>
    <row r="8" spans="1:124" s="95" customFormat="1" ht="27.75" customHeight="1">
      <c r="A8" s="985">
        <v>1</v>
      </c>
      <c r="B8" s="1275" t="str">
        <f>'D M S'!B7</f>
        <v>Dozer</v>
      </c>
      <c r="C8" s="1273" t="str">
        <f>'D M S'!C7</f>
        <v>9EM 08520</v>
      </c>
      <c r="D8" s="665" t="str">
        <f>'D M S'!D7</f>
        <v>CAT D8R</v>
      </c>
      <c r="E8" s="1026">
        <f>(6*20)+16</f>
        <v>136</v>
      </c>
      <c r="F8" s="1034">
        <f>'D M S'!M7</f>
        <v>84.25</v>
      </c>
      <c r="G8" s="673">
        <f>'D M S'!M8</f>
        <v>30.91</v>
      </c>
      <c r="H8" s="673">
        <f>'D M S'!M9</f>
        <v>0.33</v>
      </c>
      <c r="I8" s="1027">
        <f>1400*0.85</f>
        <v>1190</v>
      </c>
      <c r="J8" s="1028">
        <f>I8*E8</f>
        <v>161840</v>
      </c>
      <c r="K8" s="651">
        <f>F8*I8</f>
        <v>100257.5</v>
      </c>
      <c r="L8" s="651">
        <f>I8*G8*0.15</f>
        <v>5517.4350000000004</v>
      </c>
      <c r="M8" s="651">
        <f>H8*I8</f>
        <v>392.70000000000005</v>
      </c>
      <c r="N8" s="652">
        <f>F8/E8</f>
        <v>0.61948529411764708</v>
      </c>
      <c r="O8" s="652">
        <f>IF((F8+G8)=0,0,F8/(F8+G8))</f>
        <v>0.73159083014935744</v>
      </c>
      <c r="P8" s="1016">
        <f>(F8+G8)/(E8)</f>
        <v>0.84676470588235286</v>
      </c>
      <c r="Q8" s="653">
        <v>42</v>
      </c>
      <c r="R8" s="653">
        <f>F8*Q8</f>
        <v>3538.5</v>
      </c>
      <c r="S8" s="1592">
        <f>'[8]w Machinery Ex'!$S8+'[2]w Machinery Ex'!$S8+'[3]w Machinery Ex'!$S8+'[9]w Machinery Ex'!$S8+'[5]w Machinery Ex'!$S8+'[6]w Machinery Ex'!$S8+'[7]w Machinery Ex'!$S8</f>
        <v>4526</v>
      </c>
      <c r="T8" s="1024">
        <f>E8*Q8</f>
        <v>5712</v>
      </c>
      <c r="U8" s="90"/>
      <c r="V8" s="90"/>
      <c r="W8" s="91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S8" s="90"/>
      <c r="AT8" s="90"/>
      <c r="AU8" s="90"/>
      <c r="AV8" s="90"/>
      <c r="AW8" s="90"/>
      <c r="AX8" s="90"/>
      <c r="AY8" s="90"/>
      <c r="AZ8" s="90"/>
      <c r="BA8" s="90"/>
      <c r="BB8" s="90"/>
      <c r="BC8" s="90"/>
      <c r="BD8" s="90"/>
      <c r="BE8" s="90"/>
      <c r="BF8" s="90"/>
      <c r="BG8" s="90"/>
      <c r="BH8" s="90"/>
      <c r="BI8" s="90"/>
      <c r="BJ8" s="90"/>
      <c r="BK8" s="90"/>
      <c r="BL8" s="90"/>
      <c r="BM8" s="90"/>
      <c r="BN8" s="90"/>
      <c r="BO8" s="90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90"/>
      <c r="CH8" s="90"/>
      <c r="CI8" s="90"/>
      <c r="CJ8" s="90"/>
      <c r="CK8" s="90"/>
      <c r="CL8" s="90"/>
      <c r="CM8" s="90"/>
      <c r="CN8" s="90"/>
      <c r="CO8" s="90"/>
      <c r="CP8" s="90"/>
      <c r="CQ8" s="90"/>
      <c r="CR8" s="90"/>
      <c r="CS8" s="90"/>
      <c r="CT8" s="90"/>
      <c r="CU8" s="90"/>
      <c r="CV8" s="90"/>
      <c r="CW8" s="90"/>
      <c r="CX8" s="90"/>
      <c r="CY8" s="90"/>
      <c r="CZ8" s="90"/>
      <c r="DA8" s="90"/>
      <c r="DB8" s="90"/>
      <c r="DC8" s="90"/>
      <c r="DD8" s="90"/>
      <c r="DE8" s="90"/>
      <c r="DF8" s="90"/>
      <c r="DG8" s="90"/>
      <c r="DH8" s="90"/>
      <c r="DI8" s="90"/>
      <c r="DJ8" s="90"/>
      <c r="DK8" s="90"/>
      <c r="DL8" s="90"/>
      <c r="DM8" s="90"/>
      <c r="DN8" s="90"/>
      <c r="DO8" s="90"/>
      <c r="DP8" s="90"/>
      <c r="DQ8" s="90"/>
      <c r="DR8" s="90"/>
      <c r="DS8" s="90"/>
      <c r="DT8" s="90"/>
    </row>
    <row r="9" spans="1:124" s="99" customFormat="1" ht="27.75" customHeight="1">
      <c r="A9" s="1025">
        <v>2</v>
      </c>
      <c r="B9" s="662" t="s">
        <v>114</v>
      </c>
      <c r="C9" s="1273" t="str">
        <f>'D M S'!C10</f>
        <v>D8R  08518</v>
      </c>
      <c r="D9" s="665" t="str">
        <f>'D M S'!D10</f>
        <v>CAT D8R</v>
      </c>
      <c r="E9" s="1026">
        <f>13*6+8</f>
        <v>86</v>
      </c>
      <c r="F9" s="1034">
        <f>'D M S'!M10</f>
        <v>59.239999999999995</v>
      </c>
      <c r="G9" s="673">
        <f>'D M S'!M11</f>
        <v>13.92</v>
      </c>
      <c r="H9" s="673">
        <f>'D M S'!M12</f>
        <v>0</v>
      </c>
      <c r="I9" s="1027">
        <f>1400*0.85</f>
        <v>1190</v>
      </c>
      <c r="J9" s="1028">
        <f>I9*E9</f>
        <v>102340</v>
      </c>
      <c r="K9" s="651">
        <f>F9*I9</f>
        <v>70495.599999999991</v>
      </c>
      <c r="L9" s="651">
        <f>I9*G9*0.15</f>
        <v>2484.7199999999998</v>
      </c>
      <c r="M9" s="651">
        <f>H9*I9</f>
        <v>0</v>
      </c>
      <c r="N9" s="652">
        <f>F9/E9</f>
        <v>0.6888372093023255</v>
      </c>
      <c r="O9" s="652">
        <f>IF((F9+G9)=0,0,F9/(F9+G9))</f>
        <v>0.8097320940404592</v>
      </c>
      <c r="P9" s="1016">
        <f>(F9+G9)/(E9)</f>
        <v>0.85069767441860467</v>
      </c>
      <c r="Q9" s="653">
        <v>42</v>
      </c>
      <c r="R9" s="653">
        <f>F9*Q9</f>
        <v>2488.08</v>
      </c>
      <c r="S9" s="654">
        <f>'[8]w Machinery Ex'!$S9+'[2]w Machinery Ex'!$S9+'[3]w Machinery Ex'!$S9+'[9]w Machinery Ex'!$S9+'[5]w Machinery Ex'!$S9+'[6]w Machinery Ex'!$S9+'[7]w Machinery Ex'!$S9</f>
        <v>2045</v>
      </c>
      <c r="T9" s="1024">
        <f t="shared" ref="T9:T77" si="0">E9*Q9</f>
        <v>3612</v>
      </c>
      <c r="U9" s="97"/>
      <c r="V9" s="97"/>
      <c r="W9" s="98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1591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97"/>
      <c r="CG9" s="97"/>
      <c r="CH9" s="97"/>
      <c r="CI9" s="97"/>
      <c r="CJ9" s="97"/>
      <c r="CK9" s="97"/>
      <c r="CL9" s="97"/>
      <c r="CM9" s="97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  <c r="DB9" s="97"/>
      <c r="DC9" s="97"/>
      <c r="DD9" s="97"/>
      <c r="DE9" s="97"/>
      <c r="DF9" s="97"/>
      <c r="DG9" s="97"/>
      <c r="DH9" s="97"/>
      <c r="DI9" s="97"/>
      <c r="DJ9" s="97"/>
      <c r="DK9" s="97"/>
      <c r="DL9" s="97"/>
      <c r="DM9" s="97"/>
      <c r="DN9" s="97"/>
      <c r="DO9" s="97"/>
      <c r="DP9" s="97"/>
      <c r="DQ9" s="97"/>
      <c r="DR9" s="97"/>
      <c r="DS9" s="97"/>
      <c r="DT9" s="97"/>
    </row>
    <row r="10" spans="1:124" s="99" customFormat="1" ht="27.75" customHeight="1" thickBot="1">
      <c r="A10" s="1029">
        <v>3</v>
      </c>
      <c r="B10" s="662" t="s">
        <v>114</v>
      </c>
      <c r="C10" s="1030" t="str">
        <f>'D M S'!C13</f>
        <v>D8R 03152</v>
      </c>
      <c r="D10" s="1031" t="str">
        <f>'D M S'!D13</f>
        <v>CAT D8R</v>
      </c>
      <c r="E10" s="1026">
        <f>(6*20)+16</f>
        <v>136</v>
      </c>
      <c r="F10" s="1035">
        <f>'D M S'!M13</f>
        <v>86.99</v>
      </c>
      <c r="G10" s="1032">
        <f>'D M S'!M14</f>
        <v>29.83</v>
      </c>
      <c r="H10" s="1032">
        <f>'D M S'!M15</f>
        <v>0</v>
      </c>
      <c r="I10" s="1027">
        <f>1400*0.85</f>
        <v>1190</v>
      </c>
      <c r="J10" s="1028">
        <f>I10*E10</f>
        <v>161840</v>
      </c>
      <c r="K10" s="651">
        <f>F10*I10</f>
        <v>103518.09999999999</v>
      </c>
      <c r="L10" s="651">
        <f>I10*G10*0.15</f>
        <v>5324.6549999999997</v>
      </c>
      <c r="M10" s="651">
        <f>H10*I10</f>
        <v>0</v>
      </c>
      <c r="N10" s="652">
        <f>F10/E10</f>
        <v>0.63963235294117649</v>
      </c>
      <c r="O10" s="652">
        <f>IF((F10+G10)=0,0,F10/(F10+G10))</f>
        <v>0.74464988871768534</v>
      </c>
      <c r="P10" s="1016">
        <f>(F10+G10)/(E10)</f>
        <v>0.85897058823529404</v>
      </c>
      <c r="Q10" s="653">
        <v>42</v>
      </c>
      <c r="R10" s="653">
        <f>F10*Q10</f>
        <v>3653.58</v>
      </c>
      <c r="S10" s="1593">
        <f>'[8]w Machinery Ex'!$S10+'[2]w Machinery Ex'!$S10+'[3]w Machinery Ex'!$S10+'[9]w Machinery Ex'!$S10+'[5]w Machinery Ex'!$S10+'[6]w Machinery Ex'!$S10+'[7]w Machinery Ex'!$S10</f>
        <v>4530</v>
      </c>
      <c r="T10" s="1024"/>
      <c r="U10" s="97"/>
      <c r="V10" s="97"/>
      <c r="W10" s="98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1591"/>
      <c r="BI10" s="97"/>
      <c r="BJ10" s="97"/>
      <c r="BK10" s="97"/>
      <c r="BL10" s="97"/>
      <c r="BM10" s="97"/>
      <c r="BN10" s="97"/>
      <c r="BO10" s="97"/>
      <c r="BP10" s="97"/>
      <c r="BQ10" s="97"/>
      <c r="BR10" s="97"/>
      <c r="BS10" s="97"/>
      <c r="BT10" s="97"/>
      <c r="BU10" s="97"/>
      <c r="BV10" s="97"/>
      <c r="BW10" s="97"/>
      <c r="BX10" s="97"/>
      <c r="BY10" s="97"/>
      <c r="BZ10" s="97"/>
      <c r="CA10" s="97"/>
      <c r="CB10" s="97"/>
      <c r="CC10" s="97"/>
      <c r="CD10" s="97"/>
      <c r="CE10" s="97"/>
      <c r="CF10" s="97"/>
      <c r="CG10" s="97"/>
      <c r="CH10" s="97"/>
      <c r="CI10" s="97"/>
      <c r="CJ10" s="97"/>
      <c r="CK10" s="97"/>
      <c r="CL10" s="97"/>
      <c r="CM10" s="97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  <c r="DB10" s="97"/>
      <c r="DC10" s="97"/>
      <c r="DD10" s="97"/>
      <c r="DE10" s="97"/>
      <c r="DF10" s="97"/>
      <c r="DG10" s="97"/>
      <c r="DH10" s="97"/>
      <c r="DI10" s="97"/>
      <c r="DJ10" s="97"/>
      <c r="DK10" s="97"/>
      <c r="DL10" s="97"/>
      <c r="DM10" s="97"/>
      <c r="DN10" s="97"/>
      <c r="DO10" s="97"/>
      <c r="DP10" s="97"/>
      <c r="DQ10" s="97"/>
      <c r="DR10" s="97"/>
      <c r="DS10" s="97"/>
      <c r="DT10" s="97"/>
    </row>
    <row r="11" spans="1:124" s="974" customFormat="1" ht="27.75" customHeight="1" thickBot="1">
      <c r="A11" s="975"/>
      <c r="B11" s="1272" t="s">
        <v>193</v>
      </c>
      <c r="C11" s="1272"/>
      <c r="D11" s="1272"/>
      <c r="E11" s="1127">
        <f>SUM(E8:E10)</f>
        <v>358</v>
      </c>
      <c r="F11" s="1127">
        <f>F9+F8+F10</f>
        <v>230.48000000000002</v>
      </c>
      <c r="G11" s="971">
        <f t="shared" ref="G11:H11" si="1">G9+G8+G10</f>
        <v>74.66</v>
      </c>
      <c r="H11" s="971">
        <f t="shared" si="1"/>
        <v>0.33</v>
      </c>
      <c r="I11" s="971"/>
      <c r="J11" s="976">
        <f t="shared" ref="J11:P11" si="2">SUM(J8:J10)</f>
        <v>426020</v>
      </c>
      <c r="K11" s="976">
        <f t="shared" si="2"/>
        <v>274271.19999999995</v>
      </c>
      <c r="L11" s="972">
        <f t="shared" si="2"/>
        <v>13326.810000000001</v>
      </c>
      <c r="M11" s="1128">
        <f t="shared" si="2"/>
        <v>392.70000000000005</v>
      </c>
      <c r="N11" s="971">
        <f t="shared" si="2"/>
        <v>1.9479548563611491</v>
      </c>
      <c r="O11" s="971">
        <f t="shared" si="2"/>
        <v>2.2859728129075023</v>
      </c>
      <c r="P11" s="971">
        <f t="shared" si="2"/>
        <v>2.5564329685362517</v>
      </c>
      <c r="Q11" s="973"/>
      <c r="R11" s="973">
        <f>SUM(R8:R10)</f>
        <v>9680.16</v>
      </c>
      <c r="S11" s="1255">
        <f>SUM(S8:S10)</f>
        <v>11101</v>
      </c>
      <c r="T11" s="1278">
        <f>SUM(T8:T9)</f>
        <v>9324</v>
      </c>
    </row>
    <row r="12" spans="1:124" s="94" customFormat="1" ht="27.75" customHeight="1">
      <c r="A12" s="1927" t="s">
        <v>120</v>
      </c>
      <c r="B12" s="1928"/>
      <c r="C12" s="1928"/>
      <c r="D12" s="1928"/>
      <c r="E12" s="1929"/>
      <c r="F12" s="1929"/>
      <c r="G12" s="1929"/>
      <c r="H12" s="1929"/>
      <c r="I12" s="1929"/>
      <c r="J12" s="1929"/>
      <c r="K12" s="1929"/>
      <c r="L12" s="1929"/>
      <c r="M12" s="1929"/>
      <c r="N12" s="1929"/>
      <c r="O12" s="1929"/>
      <c r="P12" s="1929"/>
      <c r="Q12" s="1929"/>
      <c r="R12" s="1929"/>
      <c r="S12" s="1930"/>
      <c r="T12" s="1024">
        <f t="shared" si="0"/>
        <v>0</v>
      </c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90"/>
      <c r="CH12" s="90"/>
      <c r="CI12" s="90"/>
      <c r="CJ12" s="90"/>
      <c r="CK12" s="90"/>
      <c r="CL12" s="90"/>
      <c r="CM12" s="90"/>
      <c r="CN12" s="90"/>
      <c r="CO12" s="90"/>
      <c r="CP12" s="90"/>
      <c r="CQ12" s="90"/>
      <c r="CR12" s="90"/>
      <c r="CS12" s="90"/>
      <c r="CT12" s="90"/>
      <c r="CU12" s="90"/>
      <c r="CV12" s="90"/>
      <c r="CW12" s="90"/>
      <c r="CX12" s="90"/>
      <c r="CY12" s="90"/>
      <c r="CZ12" s="90"/>
      <c r="DA12" s="90"/>
      <c r="DB12" s="90"/>
      <c r="DC12" s="90"/>
      <c r="DD12" s="90"/>
      <c r="DE12" s="90"/>
      <c r="DF12" s="90"/>
      <c r="DG12" s="90"/>
      <c r="DH12" s="90"/>
      <c r="DI12" s="90"/>
      <c r="DJ12" s="90"/>
      <c r="DK12" s="90"/>
      <c r="DL12" s="90"/>
      <c r="DM12" s="90"/>
      <c r="DN12" s="90"/>
      <c r="DO12" s="90"/>
      <c r="DP12" s="90"/>
      <c r="DQ12" s="90"/>
      <c r="DR12" s="90"/>
      <c r="DS12" s="90"/>
      <c r="DT12" s="90"/>
    </row>
    <row r="13" spans="1:124" s="95" customFormat="1" ht="27.75" customHeight="1" thickBot="1">
      <c r="A13" s="1143">
        <v>1</v>
      </c>
      <c r="B13" s="1144" t="s">
        <v>120</v>
      </c>
      <c r="C13" s="1145" t="str">
        <f>'D M S'!C18</f>
        <v>0498</v>
      </c>
      <c r="D13" s="1146" t="str">
        <f>'D M S'!D18</f>
        <v>XG 31802</v>
      </c>
      <c r="E13" s="1147">
        <f>6*10+8</f>
        <v>68</v>
      </c>
      <c r="F13" s="1148">
        <f>'D M S'!M18</f>
        <v>47.830000000000005</v>
      </c>
      <c r="G13" s="1148">
        <f>'D M S'!M19</f>
        <v>11.2</v>
      </c>
      <c r="H13" s="1148">
        <f>'D M S'!M20</f>
        <v>0</v>
      </c>
      <c r="I13" s="1149">
        <f>0.85*1000</f>
        <v>850</v>
      </c>
      <c r="J13" s="1150">
        <f>I13*E13</f>
        <v>57800</v>
      </c>
      <c r="K13" s="1151">
        <f>F13*I13</f>
        <v>40655.500000000007</v>
      </c>
      <c r="L13" s="1152">
        <f>I13*G13*0.15</f>
        <v>1428</v>
      </c>
      <c r="M13" s="1151">
        <f>H13*I13</f>
        <v>0</v>
      </c>
      <c r="N13" s="1153">
        <f>F13/E13</f>
        <v>0.70338235294117657</v>
      </c>
      <c r="O13" s="1153">
        <f>IF((F13+G13)=0,0,F13/(F13+G13))</f>
        <v>0.81026596645773341</v>
      </c>
      <c r="P13" s="1154">
        <f>(F13+G13)/(E13)</f>
        <v>0.86808823529411772</v>
      </c>
      <c r="Q13" s="1155">
        <v>18</v>
      </c>
      <c r="R13" s="1155">
        <f>F13*Q13</f>
        <v>860.94</v>
      </c>
      <c r="S13" s="1592">
        <f>'[8]w Machinery Ex'!$S13+'[2]w Machinery Ex'!$S13+'[3]w Machinery Ex'!$S13+'[9]w Machinery Ex'!$S13+'[5]w Machinery Ex'!$S13+'[6]w Machinery Ex'!$S13+'[7]w Machinery Ex'!$S13</f>
        <v>624</v>
      </c>
      <c r="T13" s="1024">
        <f t="shared" si="0"/>
        <v>1224</v>
      </c>
      <c r="U13" s="601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90"/>
      <c r="CH13" s="90"/>
      <c r="CI13" s="90"/>
      <c r="CJ13" s="90"/>
      <c r="CK13" s="90"/>
      <c r="CL13" s="90"/>
      <c r="CM13" s="90"/>
      <c r="CN13" s="90"/>
      <c r="CO13" s="90"/>
      <c r="CP13" s="90"/>
      <c r="CQ13" s="90"/>
      <c r="CR13" s="90"/>
      <c r="CS13" s="90"/>
      <c r="CT13" s="90"/>
      <c r="CU13" s="90"/>
      <c r="CV13" s="90"/>
      <c r="CW13" s="90"/>
      <c r="CX13" s="90"/>
      <c r="CY13" s="90"/>
      <c r="CZ13" s="90"/>
      <c r="DA13" s="90"/>
      <c r="DB13" s="90"/>
      <c r="DC13" s="90"/>
      <c r="DD13" s="90"/>
      <c r="DE13" s="90"/>
      <c r="DF13" s="90"/>
      <c r="DG13" s="90"/>
      <c r="DH13" s="90"/>
      <c r="DI13" s="90"/>
      <c r="DJ13" s="90"/>
      <c r="DK13" s="90"/>
      <c r="DL13" s="90"/>
      <c r="DM13" s="90"/>
      <c r="DN13" s="90"/>
      <c r="DO13" s="90"/>
      <c r="DP13" s="90"/>
      <c r="DQ13" s="90"/>
      <c r="DR13" s="90"/>
      <c r="DS13" s="90"/>
      <c r="DT13" s="90"/>
    </row>
    <row r="14" spans="1:124" s="102" customFormat="1" ht="27.75" hidden="1" customHeight="1" thickBot="1">
      <c r="A14" s="1001">
        <v>2</v>
      </c>
      <c r="B14" s="1002" t="s">
        <v>120</v>
      </c>
      <c r="C14" s="1136">
        <f>'D M S'!C24</f>
        <v>0</v>
      </c>
      <c r="D14" s="1136">
        <f>'D M S'!D24</f>
        <v>0</v>
      </c>
      <c r="E14" s="1137"/>
      <c r="F14" s="683">
        <f>'D M S'!M24</f>
        <v>0</v>
      </c>
      <c r="G14" s="683">
        <f>'D M S'!M25</f>
        <v>0</v>
      </c>
      <c r="H14" s="683">
        <f>'D M S'!M26</f>
        <v>0</v>
      </c>
      <c r="I14" s="1138"/>
      <c r="J14" s="1139">
        <f>I14*E14</f>
        <v>0</v>
      </c>
      <c r="K14" s="684">
        <f>F14*I14</f>
        <v>0</v>
      </c>
      <c r="L14" s="1140">
        <f>I14*G14*0.15</f>
        <v>0</v>
      </c>
      <c r="M14" s="684">
        <f>H14*I14</f>
        <v>0</v>
      </c>
      <c r="N14" s="685" t="e">
        <f>F14/E14</f>
        <v>#DIV/0!</v>
      </c>
      <c r="O14" s="685">
        <f>IF((F14+G14)=0,0,F14/(F14+G14))</f>
        <v>0</v>
      </c>
      <c r="P14" s="685">
        <f>IF((G14+H14)=0,0,G14/(G14+H14))</f>
        <v>0</v>
      </c>
      <c r="Q14" s="1141">
        <v>18</v>
      </c>
      <c r="R14" s="1141">
        <f>F14*Q14</f>
        <v>0</v>
      </c>
      <c r="S14" s="1142" t="e">
        <f>'[1]w Machinery Ex'!$S14+'[2]w Machinery Ex'!$S14+'[3]w Machinery Ex'!$S14+'[4]w Machinery Ex'!$S14+'[5]w Machinery Ex'!$S14+'[6]w Machinery Ex'!$S14+'[7]w Machinery Ex'!$S14</f>
        <v>#REF!</v>
      </c>
      <c r="T14" s="1024">
        <f t="shared" si="0"/>
        <v>0</v>
      </c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1"/>
      <c r="BP14" s="101"/>
      <c r="BQ14" s="101"/>
      <c r="BR14" s="101"/>
      <c r="BS14" s="101"/>
      <c r="BT14" s="101"/>
      <c r="BU14" s="101"/>
      <c r="BV14" s="101"/>
      <c r="BW14" s="101"/>
      <c r="BX14" s="101"/>
      <c r="BY14" s="101"/>
      <c r="BZ14" s="101"/>
      <c r="CA14" s="101"/>
      <c r="CB14" s="101"/>
      <c r="CC14" s="101"/>
      <c r="CD14" s="101"/>
      <c r="CE14" s="101"/>
      <c r="CF14" s="101"/>
      <c r="CG14" s="101"/>
      <c r="CH14" s="101"/>
      <c r="CI14" s="101"/>
      <c r="CJ14" s="101"/>
      <c r="CK14" s="101"/>
      <c r="CL14" s="101"/>
      <c r="CM14" s="101"/>
      <c r="CN14" s="101"/>
      <c r="CO14" s="101"/>
      <c r="CP14" s="101"/>
      <c r="CQ14" s="101"/>
      <c r="CR14" s="101"/>
      <c r="CS14" s="101"/>
      <c r="CT14" s="101"/>
      <c r="CU14" s="101"/>
      <c r="CV14" s="101"/>
      <c r="CW14" s="101"/>
      <c r="CX14" s="101"/>
      <c r="CY14" s="101"/>
      <c r="CZ14" s="101"/>
      <c r="DA14" s="101"/>
      <c r="DB14" s="101"/>
      <c r="DC14" s="101"/>
      <c r="DD14" s="101"/>
      <c r="DE14" s="101"/>
      <c r="DF14" s="101"/>
      <c r="DG14" s="101"/>
      <c r="DH14" s="101"/>
      <c r="DI14" s="101"/>
      <c r="DJ14" s="101"/>
      <c r="DK14" s="101"/>
      <c r="DL14" s="101"/>
      <c r="DM14" s="101"/>
      <c r="DN14" s="101"/>
      <c r="DO14" s="101"/>
      <c r="DP14" s="101"/>
      <c r="DQ14" s="101"/>
      <c r="DR14" s="101"/>
      <c r="DS14" s="101"/>
      <c r="DT14" s="101"/>
    </row>
    <row r="15" spans="1:124" s="974" customFormat="1" ht="27.75" customHeight="1" thickBot="1">
      <c r="A15" s="975"/>
      <c r="B15" s="1272" t="s">
        <v>193</v>
      </c>
      <c r="C15" s="1272"/>
      <c r="D15" s="1272"/>
      <c r="E15" s="971"/>
      <c r="F15" s="971">
        <f>SUM(F13:F14)</f>
        <v>47.830000000000005</v>
      </c>
      <c r="G15" s="971">
        <f>SUM(G13:G14)</f>
        <v>11.2</v>
      </c>
      <c r="H15" s="971">
        <f>SUM(H13:H14)</f>
        <v>0</v>
      </c>
      <c r="I15" s="971"/>
      <c r="J15" s="976">
        <f>SUM(J13:J14)</f>
        <v>57800</v>
      </c>
      <c r="K15" s="972">
        <f>SUM(K13:K14)</f>
        <v>40655.500000000007</v>
      </c>
      <c r="L15" s="972">
        <f>SUM(L13:L14)</f>
        <v>1428</v>
      </c>
      <c r="M15" s="1128">
        <f>SUM(M13:M14)</f>
        <v>0</v>
      </c>
      <c r="N15" s="971"/>
      <c r="O15" s="971"/>
      <c r="P15" s="971"/>
      <c r="Q15" s="973"/>
      <c r="R15" s="973">
        <f>SUM(R13:R14)</f>
        <v>860.94</v>
      </c>
      <c r="S15" s="1255">
        <f>SUM(S13:S13)</f>
        <v>624</v>
      </c>
      <c r="T15" s="1278">
        <f>SUM(T13:T14)</f>
        <v>1224</v>
      </c>
    </row>
    <row r="16" spans="1:124" s="106" customFormat="1" ht="27.75" customHeight="1">
      <c r="A16" s="1913" t="s">
        <v>194</v>
      </c>
      <c r="B16" s="1914"/>
      <c r="C16" s="1914"/>
      <c r="D16" s="1914"/>
      <c r="E16" s="1921"/>
      <c r="F16" s="1921"/>
      <c r="G16" s="1921"/>
      <c r="H16" s="1921"/>
      <c r="I16" s="1921"/>
      <c r="J16" s="1921"/>
      <c r="K16" s="1921"/>
      <c r="L16" s="1921"/>
      <c r="M16" s="1921"/>
      <c r="N16" s="1921"/>
      <c r="O16" s="1921"/>
      <c r="P16" s="1921"/>
      <c r="Q16" s="1921"/>
      <c r="R16" s="1921"/>
      <c r="S16" s="1922"/>
      <c r="T16" s="1024">
        <f t="shared" si="0"/>
        <v>0</v>
      </c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</row>
    <row r="17" spans="1:124" s="95" customFormat="1" ht="27.75" customHeight="1">
      <c r="A17" s="1157">
        <v>1</v>
      </c>
      <c r="B17" s="1158" t="str">
        <f>'D M S'!B32</f>
        <v>Roller</v>
      </c>
      <c r="C17" s="1159" t="str">
        <f>'D M S'!C32</f>
        <v>0166</v>
      </c>
      <c r="D17" s="1160" t="str">
        <f>'D M S'!D32</f>
        <v>XGMA</v>
      </c>
      <c r="E17" s="1161">
        <f>8*7</f>
        <v>56</v>
      </c>
      <c r="F17" s="1162">
        <f>'D M S'!M32</f>
        <v>12.5</v>
      </c>
      <c r="G17" s="1162">
        <f>'D M S'!M33</f>
        <v>35.5</v>
      </c>
      <c r="H17" s="1162">
        <f>'D M S'!M34</f>
        <v>0</v>
      </c>
      <c r="I17" s="1163">
        <f>0.85*400</f>
        <v>340</v>
      </c>
      <c r="J17" s="1164">
        <f>E17*I17</f>
        <v>19040</v>
      </c>
      <c r="K17" s="1165">
        <f>I17*F17</f>
        <v>4250</v>
      </c>
      <c r="L17" s="1165">
        <f>(I17*G17)*0.15</f>
        <v>1810.5</v>
      </c>
      <c r="M17" s="1165">
        <f>I17*H17</f>
        <v>0</v>
      </c>
      <c r="N17" s="1166">
        <f>F17/E17</f>
        <v>0.22321428571428573</v>
      </c>
      <c r="O17" s="1166">
        <f>IF((F17+G17)=0,0,F17/(F17+G17))</f>
        <v>0.26041666666666669</v>
      </c>
      <c r="P17" s="1167">
        <f>(F17+G17)/(E17)</f>
        <v>0.8571428571428571</v>
      </c>
      <c r="Q17" s="1168">
        <v>10</v>
      </c>
      <c r="R17" s="1168">
        <f>F17*Q17</f>
        <v>125</v>
      </c>
      <c r="S17" s="1592">
        <f>'[8]w Machinery Ex'!$S17+'[2]w Machinery Ex'!$S17+'[3]w Machinery Ex'!$S17+'[9]w Machinery Ex'!$S17+'[5]w Machinery Ex'!$S17+'[6]w Machinery Ex'!$S17+'[7]w Machinery Ex'!$S17</f>
        <v>161</v>
      </c>
      <c r="T17" s="1024">
        <f t="shared" si="0"/>
        <v>560</v>
      </c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  <c r="CH17" s="90"/>
      <c r="CI17" s="90"/>
      <c r="CJ17" s="90"/>
      <c r="CK17" s="90"/>
      <c r="CL17" s="90"/>
      <c r="CM17" s="90"/>
      <c r="CN17" s="90"/>
      <c r="CO17" s="90"/>
      <c r="CP17" s="90"/>
      <c r="CQ17" s="90"/>
      <c r="CR17" s="90"/>
      <c r="CS17" s="90"/>
      <c r="CT17" s="90"/>
      <c r="CU17" s="90"/>
      <c r="CV17" s="90"/>
      <c r="CW17" s="90"/>
      <c r="CX17" s="90"/>
      <c r="CY17" s="90"/>
      <c r="CZ17" s="90"/>
      <c r="DA17" s="90"/>
      <c r="DB17" s="90"/>
      <c r="DC17" s="90"/>
      <c r="DD17" s="90"/>
      <c r="DE17" s="90"/>
      <c r="DF17" s="90"/>
      <c r="DG17" s="90"/>
      <c r="DH17" s="90"/>
      <c r="DI17" s="90"/>
      <c r="DJ17" s="90"/>
      <c r="DK17" s="90"/>
      <c r="DL17" s="90"/>
      <c r="DM17" s="90"/>
      <c r="DN17" s="90"/>
      <c r="DO17" s="90"/>
      <c r="DP17" s="90"/>
      <c r="DQ17" s="90"/>
      <c r="DR17" s="90"/>
      <c r="DS17" s="90"/>
      <c r="DT17" s="90"/>
    </row>
    <row r="18" spans="1:124" s="102" customFormat="1" ht="27.75" customHeight="1" thickBot="1">
      <c r="A18" s="1036">
        <v>2</v>
      </c>
      <c r="B18" s="1169" t="str">
        <f>'D M S'!B35</f>
        <v>Roller</v>
      </c>
      <c r="C18" s="1169" t="str">
        <f>'D M S'!C35</f>
        <v>0167</v>
      </c>
      <c r="D18" s="1170" t="str">
        <f>'D M S'!D35</f>
        <v>XGMA</v>
      </c>
      <c r="E18" s="1171">
        <f>8*7</f>
        <v>56</v>
      </c>
      <c r="F18" s="1032">
        <f>'D M S'!M35</f>
        <v>21.83</v>
      </c>
      <c r="G18" s="1032">
        <f>'D M S'!M36</f>
        <v>25.5</v>
      </c>
      <c r="H18" s="1032">
        <f>'D M S'!M37</f>
        <v>0</v>
      </c>
      <c r="I18" s="1172">
        <f>0.85*400</f>
        <v>340</v>
      </c>
      <c r="J18" s="1173">
        <f>E18*I18</f>
        <v>19040</v>
      </c>
      <c r="K18" s="1174">
        <f>I18*F18</f>
        <v>7422.2</v>
      </c>
      <c r="L18" s="1174">
        <f>(I18*G18)*0.15</f>
        <v>1300.5</v>
      </c>
      <c r="M18" s="1174">
        <f>I18*H18</f>
        <v>0</v>
      </c>
      <c r="N18" s="1175">
        <f>F18/E18</f>
        <v>0.38982142857142854</v>
      </c>
      <c r="O18" s="1175">
        <f>IF((F18+G18)=0,0,F18/(F18+G18))</f>
        <v>0.46122966406084931</v>
      </c>
      <c r="P18" s="1176">
        <f>(F18+G18)/(E18)</f>
        <v>0.84517857142857145</v>
      </c>
      <c r="Q18" s="1177">
        <v>10</v>
      </c>
      <c r="R18" s="1033">
        <f>F18*Q18</f>
        <v>218.29999999999998</v>
      </c>
      <c r="S18" s="1593">
        <f>'[8]w Machinery Ex'!$S18+'[2]w Machinery Ex'!$S18+'[3]w Machinery Ex'!$S18+'[9]w Machinery Ex'!$S18+'[5]w Machinery Ex'!$S18+'[6]w Machinery Ex'!$S18+'[7]w Machinery Ex'!$S18</f>
        <v>124</v>
      </c>
      <c r="T18" s="1024">
        <f t="shared" si="0"/>
        <v>560</v>
      </c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  <c r="BZ18" s="101"/>
      <c r="CA18" s="101"/>
      <c r="CB18" s="101"/>
      <c r="CC18" s="101"/>
      <c r="CD18" s="101"/>
      <c r="CE18" s="101"/>
      <c r="CF18" s="101"/>
      <c r="CG18" s="101"/>
      <c r="CH18" s="101"/>
      <c r="CI18" s="101"/>
      <c r="CJ18" s="101"/>
      <c r="CK18" s="101"/>
      <c r="CL18" s="101"/>
      <c r="CM18" s="101"/>
      <c r="CN18" s="101"/>
      <c r="CO18" s="101"/>
      <c r="CP18" s="101"/>
      <c r="CQ18" s="101"/>
      <c r="CR18" s="101"/>
      <c r="CS18" s="101"/>
      <c r="CT18" s="101"/>
      <c r="CU18" s="101"/>
      <c r="CV18" s="101"/>
      <c r="CW18" s="101"/>
      <c r="CX18" s="101"/>
      <c r="CY18" s="101"/>
      <c r="CZ18" s="101"/>
      <c r="DA18" s="101"/>
      <c r="DB18" s="101"/>
      <c r="DC18" s="101"/>
      <c r="DD18" s="101"/>
      <c r="DE18" s="101"/>
      <c r="DF18" s="101"/>
      <c r="DG18" s="101"/>
      <c r="DH18" s="101"/>
      <c r="DI18" s="101"/>
      <c r="DJ18" s="101"/>
      <c r="DK18" s="101"/>
      <c r="DL18" s="101"/>
      <c r="DM18" s="101"/>
      <c r="DN18" s="101"/>
      <c r="DO18" s="101"/>
      <c r="DP18" s="101"/>
      <c r="DQ18" s="101"/>
      <c r="DR18" s="101"/>
      <c r="DS18" s="101"/>
      <c r="DT18" s="101"/>
    </row>
    <row r="19" spans="1:124" s="974" customFormat="1" ht="27.75" customHeight="1" thickBot="1">
      <c r="A19" s="975"/>
      <c r="B19" s="1272" t="s">
        <v>193</v>
      </c>
      <c r="C19" s="1272"/>
      <c r="D19" s="1272"/>
      <c r="E19" s="971"/>
      <c r="F19" s="971">
        <f>SUM(F17:F18)</f>
        <v>34.33</v>
      </c>
      <c r="G19" s="971">
        <f>SUM(G17:G18)</f>
        <v>61</v>
      </c>
      <c r="H19" s="971">
        <f>SUM(H17:H18)</f>
        <v>0</v>
      </c>
      <c r="I19" s="971"/>
      <c r="J19" s="976">
        <f t="shared" ref="J19:P19" si="3">SUM(J17:J18)</f>
        <v>38080</v>
      </c>
      <c r="K19" s="972">
        <f t="shared" si="3"/>
        <v>11672.2</v>
      </c>
      <c r="L19" s="972">
        <f t="shared" si="3"/>
        <v>3111</v>
      </c>
      <c r="M19" s="1128">
        <f t="shared" si="3"/>
        <v>0</v>
      </c>
      <c r="N19" s="971">
        <f t="shared" si="3"/>
        <v>0.61303571428571424</v>
      </c>
      <c r="O19" s="971">
        <f t="shared" si="3"/>
        <v>0.72164633072751605</v>
      </c>
      <c r="P19" s="971">
        <f t="shared" si="3"/>
        <v>1.7023214285714285</v>
      </c>
      <c r="Q19" s="973"/>
      <c r="R19" s="973">
        <f>SUM(R17:R18)</f>
        <v>343.29999999999995</v>
      </c>
      <c r="S19" s="1255">
        <f>SUM(S17:S18)</f>
        <v>285</v>
      </c>
      <c r="T19" s="1278">
        <f>SUM(T17:T18)</f>
        <v>1120</v>
      </c>
    </row>
    <row r="20" spans="1:124" s="94" customFormat="1" ht="27.75" customHeight="1">
      <c r="A20" s="1913" t="s">
        <v>126</v>
      </c>
      <c r="B20" s="1914"/>
      <c r="C20" s="1914"/>
      <c r="D20" s="1914"/>
      <c r="E20" s="1915"/>
      <c r="F20" s="1915"/>
      <c r="G20" s="1915"/>
      <c r="H20" s="1915"/>
      <c r="I20" s="1915"/>
      <c r="J20" s="1915"/>
      <c r="K20" s="1915"/>
      <c r="L20" s="1915"/>
      <c r="M20" s="1915"/>
      <c r="N20" s="1915"/>
      <c r="O20" s="1915"/>
      <c r="P20" s="1915"/>
      <c r="Q20" s="1915"/>
      <c r="R20" s="1915"/>
      <c r="S20" s="1916"/>
      <c r="T20" s="1024">
        <f t="shared" si="0"/>
        <v>0</v>
      </c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</row>
    <row r="21" spans="1:124" s="95" customFormat="1" ht="27.75" customHeight="1">
      <c r="A21" s="1178">
        <v>1</v>
      </c>
      <c r="B21" s="1158" t="s">
        <v>126</v>
      </c>
      <c r="C21" s="1179" t="str">
        <f>'D M S'!C42</f>
        <v>0152</v>
      </c>
      <c r="D21" s="1160" t="str">
        <f>'D M S'!D42</f>
        <v>XG953H</v>
      </c>
      <c r="E21" s="1180">
        <f>(10*6)+8</f>
        <v>68</v>
      </c>
      <c r="F21" s="1162">
        <f>'D M S'!M42</f>
        <v>48.870000000000005</v>
      </c>
      <c r="G21" s="1162">
        <f>'D M S'!M43</f>
        <v>14.83</v>
      </c>
      <c r="H21" s="1181">
        <f>'D M S'!M44</f>
        <v>0</v>
      </c>
      <c r="I21" s="1163">
        <f>0.85*400</f>
        <v>340</v>
      </c>
      <c r="J21" s="1164">
        <f>E21*I21</f>
        <v>23120</v>
      </c>
      <c r="K21" s="1165">
        <f>I21*F21</f>
        <v>16615.800000000003</v>
      </c>
      <c r="L21" s="1165">
        <f>(I21*G21)*0.15</f>
        <v>756.32999999999993</v>
      </c>
      <c r="M21" s="1165">
        <f>I21*H21</f>
        <v>0</v>
      </c>
      <c r="N21" s="1182">
        <f>F21/E21</f>
        <v>0.71867647058823536</v>
      </c>
      <c r="O21" s="1166">
        <f>IF((F21+G21)=0,0,F21/(F21+G21))</f>
        <v>0.76718995290423864</v>
      </c>
      <c r="P21" s="1167">
        <f>(F21+G21)/(E21)</f>
        <v>0.93676470588235294</v>
      </c>
      <c r="Q21" s="1183">
        <v>12</v>
      </c>
      <c r="R21" s="1183">
        <f>F21*Q21</f>
        <v>586.44000000000005</v>
      </c>
      <c r="S21" s="1592">
        <f>'[8]w Machinery Ex'!$S21+'[2]w Machinery Ex'!$S21+'[3]w Machinery Ex'!$S21+'[9]w Machinery Ex'!$S21+'[5]w Machinery Ex'!$S21+'[6]w Machinery Ex'!$S21+'[7]w Machinery Ex'!$S21</f>
        <v>559</v>
      </c>
      <c r="T21" s="1024">
        <f t="shared" si="0"/>
        <v>816</v>
      </c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/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</row>
    <row r="22" spans="1:124" s="95" customFormat="1" ht="27.75" customHeight="1">
      <c r="A22" s="986">
        <v>2</v>
      </c>
      <c r="B22" s="661" t="s">
        <v>126</v>
      </c>
      <c r="C22" s="988" t="str">
        <f>'D M S'!C45</f>
        <v>0300</v>
      </c>
      <c r="D22" s="1338" t="str">
        <f>'D M S'!D45</f>
        <v>XG953H</v>
      </c>
      <c r="E22" s="1129">
        <f>(10*6)+8</f>
        <v>68</v>
      </c>
      <c r="F22" s="673">
        <f>'D M S'!M45</f>
        <v>25.75</v>
      </c>
      <c r="G22" s="673">
        <f>'D M S'!M46</f>
        <v>34.25</v>
      </c>
      <c r="H22" s="981">
        <f>'D M S'!M47</f>
        <v>0</v>
      </c>
      <c r="I22" s="1337">
        <f>0.85*400</f>
        <v>340</v>
      </c>
      <c r="J22" s="656">
        <f>E22*I22</f>
        <v>23120</v>
      </c>
      <c r="K22" s="651">
        <f>I22*F22</f>
        <v>8755</v>
      </c>
      <c r="L22" s="651">
        <f>(I22*G22)*0.15</f>
        <v>1746.75</v>
      </c>
      <c r="M22" s="651">
        <f>I22*H22</f>
        <v>0</v>
      </c>
      <c r="N22" s="657">
        <f>F22/E22</f>
        <v>0.37867647058823528</v>
      </c>
      <c r="O22" s="652">
        <f>IF((F22+G22)=0,0,F22/(F22+G22))</f>
        <v>0.42916666666666664</v>
      </c>
      <c r="P22" s="1016">
        <f>(F22+G22)/(E22)</f>
        <v>0.88235294117647056</v>
      </c>
      <c r="Q22" s="653">
        <v>12</v>
      </c>
      <c r="R22" s="653">
        <f>F22*Q22</f>
        <v>309</v>
      </c>
      <c r="S22" s="654">
        <f>'[8]w Machinery Ex'!$S22+'[2]w Machinery Ex'!$S22+'[3]w Machinery Ex'!$S22+'[9]w Machinery Ex'!$S22+'[5]w Machinery Ex'!$S22+'[6]w Machinery Ex'!$S22+'[7]w Machinery Ex'!$S22</f>
        <v>381</v>
      </c>
      <c r="T22" s="1024">
        <f t="shared" si="0"/>
        <v>816</v>
      </c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  <c r="CH22" s="90"/>
      <c r="CI22" s="90"/>
      <c r="CJ22" s="90"/>
      <c r="CK22" s="90"/>
      <c r="CL22" s="90"/>
      <c r="CM22" s="90"/>
      <c r="CN22" s="90"/>
      <c r="CO22" s="90"/>
      <c r="CP22" s="90"/>
      <c r="CQ22" s="90"/>
      <c r="CR22" s="90"/>
      <c r="CS22" s="90"/>
      <c r="CT22" s="90"/>
      <c r="CU22" s="90"/>
      <c r="CV22" s="90"/>
      <c r="CW22" s="90"/>
      <c r="CX22" s="90"/>
      <c r="CY22" s="90"/>
      <c r="CZ22" s="90"/>
      <c r="DA22" s="90"/>
      <c r="DB22" s="90"/>
      <c r="DC22" s="90"/>
      <c r="DD22" s="90"/>
      <c r="DE22" s="90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</row>
    <row r="23" spans="1:124" s="95" customFormat="1" ht="27.75" customHeight="1" thickBot="1">
      <c r="A23" s="986">
        <v>3</v>
      </c>
      <c r="B23" s="661" t="s">
        <v>126</v>
      </c>
      <c r="C23" s="1338" t="str">
        <f>'D M S'!C48</f>
        <v>148</v>
      </c>
      <c r="D23" s="1338" t="str">
        <f>'D M S'!D48</f>
        <v>XG953H</v>
      </c>
      <c r="E23" s="1129">
        <f>(10*6)+8</f>
        <v>68</v>
      </c>
      <c r="F23" s="673">
        <f>'D M S'!M48</f>
        <v>41.2</v>
      </c>
      <c r="G23" s="673">
        <f>'D M S'!M49</f>
        <v>24</v>
      </c>
      <c r="H23" s="981">
        <f>'D M S'!M50</f>
        <v>0</v>
      </c>
      <c r="I23" s="1337">
        <f>0.85*400</f>
        <v>340</v>
      </c>
      <c r="J23" s="656">
        <f>E23*I23</f>
        <v>23120</v>
      </c>
      <c r="K23" s="651">
        <f>I23*F23</f>
        <v>14008.000000000002</v>
      </c>
      <c r="L23" s="651">
        <f>(I23*G23)*0.15</f>
        <v>1224</v>
      </c>
      <c r="M23" s="651">
        <f>I23*H23</f>
        <v>0</v>
      </c>
      <c r="N23" s="657">
        <f>F23/E23</f>
        <v>0.60588235294117654</v>
      </c>
      <c r="O23" s="652">
        <f>IF((F23+G23)=0,0,F23/(F23+G23))</f>
        <v>0.63190184049079756</v>
      </c>
      <c r="P23" s="1016">
        <f>(F23+G23)/(E23)</f>
        <v>0.95882352941176474</v>
      </c>
      <c r="Q23" s="653">
        <v>12</v>
      </c>
      <c r="R23" s="653">
        <f>F23*Q23</f>
        <v>494.40000000000003</v>
      </c>
      <c r="S23" s="654">
        <f>'[8]w Machinery Ex'!$S23+'[2]w Machinery Ex'!$S23+'[3]w Machinery Ex'!$S23+'[9]w Machinery Ex'!$S23+'[5]w Machinery Ex'!$S23+'[6]w Machinery Ex'!$S23+'[7]w Machinery Ex'!$S23</f>
        <v>510</v>
      </c>
      <c r="T23" s="1024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1591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</row>
    <row r="24" spans="1:124" s="95" customFormat="1" ht="27.75" hidden="1" customHeight="1" thickBot="1">
      <c r="A24" s="1036">
        <v>4</v>
      </c>
      <c r="B24" s="661" t="s">
        <v>126</v>
      </c>
      <c r="C24" s="1030">
        <v>781</v>
      </c>
      <c r="D24" s="1030" t="s">
        <v>619</v>
      </c>
      <c r="E24" s="1129">
        <f>3*10</f>
        <v>30</v>
      </c>
      <c r="F24" s="1032">
        <f>'D M S'!M51</f>
        <v>0</v>
      </c>
      <c r="G24" s="1032">
        <f>'D M S'!M52</f>
        <v>0</v>
      </c>
      <c r="H24" s="1346">
        <f>'D M S'!M53</f>
        <v>0</v>
      </c>
      <c r="I24" s="1348">
        <f>0.85*400</f>
        <v>340</v>
      </c>
      <c r="J24" s="656">
        <f>E24*I24</f>
        <v>10200</v>
      </c>
      <c r="K24" s="651">
        <f>I24*F24</f>
        <v>0</v>
      </c>
      <c r="L24" s="651">
        <f>(I24*G24)*0.15</f>
        <v>0</v>
      </c>
      <c r="M24" s="651">
        <f>I24*H24</f>
        <v>0</v>
      </c>
      <c r="N24" s="657">
        <f>F24/E24</f>
        <v>0</v>
      </c>
      <c r="O24" s="652">
        <f>IF((F24+G24)=0,0,F24/(F24+G24))</f>
        <v>0</v>
      </c>
      <c r="P24" s="1016">
        <f>(F24+G24)/(E24)</f>
        <v>0</v>
      </c>
      <c r="Q24" s="1033">
        <v>12</v>
      </c>
      <c r="R24" s="653">
        <f>F24*Q24</f>
        <v>0</v>
      </c>
      <c r="S24" s="1262" t="e">
        <f>'[1]w Machinery Ex'!$S$24+'[2]w Machinery Ex'!$S$24+'[3]w Machinery Ex'!$S$24+'[4]w Machinery Ex'!$S$24+'[5]w Machinery Ex'!$S$24+'[6]w Machinery Ex'!$S$24+'[7]w Machinery Ex'!$S$24</f>
        <v>#REF!</v>
      </c>
      <c r="T24" s="1024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  <c r="CE24" s="90"/>
      <c r="CF24" s="90"/>
      <c r="CG24" s="90"/>
      <c r="CH24" s="90"/>
      <c r="CI24" s="90"/>
      <c r="CJ24" s="90"/>
      <c r="CK24" s="90"/>
      <c r="CL24" s="90"/>
      <c r="CM24" s="90"/>
      <c r="CN24" s="90"/>
      <c r="CO24" s="90"/>
      <c r="CP24" s="90"/>
      <c r="CQ24" s="90"/>
      <c r="CR24" s="90"/>
      <c r="CS24" s="90"/>
      <c r="CT24" s="90"/>
      <c r="CU24" s="90"/>
      <c r="CV24" s="90"/>
      <c r="CW24" s="90"/>
      <c r="CX24" s="90"/>
      <c r="CY24" s="90"/>
      <c r="CZ24" s="90"/>
      <c r="DA24" s="90"/>
      <c r="DB24" s="90"/>
      <c r="DC24" s="90"/>
      <c r="DD24" s="90"/>
      <c r="DE24" s="90"/>
      <c r="DF24" s="90"/>
      <c r="DG24" s="90"/>
      <c r="DH24" s="90"/>
      <c r="DI24" s="90"/>
      <c r="DJ24" s="90"/>
      <c r="DK24" s="90"/>
      <c r="DL24" s="90"/>
      <c r="DM24" s="90"/>
      <c r="DN24" s="90"/>
      <c r="DO24" s="90"/>
      <c r="DP24" s="90"/>
      <c r="DQ24" s="90"/>
      <c r="DR24" s="90"/>
      <c r="DS24" s="90"/>
      <c r="DT24" s="90"/>
    </row>
    <row r="25" spans="1:124" s="974" customFormat="1" ht="27.75" customHeight="1" thickBot="1">
      <c r="A25" s="975"/>
      <c r="B25" s="1272" t="s">
        <v>193</v>
      </c>
      <c r="C25" s="1272"/>
      <c r="D25" s="1272"/>
      <c r="E25" s="1127">
        <f>SUM(E21:E23)</f>
        <v>204</v>
      </c>
      <c r="F25" s="971">
        <f>SUM(F21:F23)</f>
        <v>115.82000000000001</v>
      </c>
      <c r="G25" s="971">
        <f>SUM(G21:G23)</f>
        <v>73.08</v>
      </c>
      <c r="H25" s="971">
        <f>SUM(H21:H23)</f>
        <v>0</v>
      </c>
      <c r="I25" s="971"/>
      <c r="J25" s="976">
        <f>SUM(J21:J23)</f>
        <v>69360</v>
      </c>
      <c r="K25" s="976">
        <f t="shared" ref="K25:M25" si="4">SUM(K21:K23)</f>
        <v>39378.800000000003</v>
      </c>
      <c r="L25" s="976">
        <f t="shared" si="4"/>
        <v>3727.08</v>
      </c>
      <c r="M25" s="976">
        <f t="shared" si="4"/>
        <v>0</v>
      </c>
      <c r="N25" s="971">
        <f>SUM(N21:N23)</f>
        <v>1.7032352941176472</v>
      </c>
      <c r="O25" s="971">
        <f>SUM(O21:O23)</f>
        <v>1.8282584600617029</v>
      </c>
      <c r="P25" s="971">
        <f>SUM(P21:P23)</f>
        <v>2.7779411764705881</v>
      </c>
      <c r="Q25" s="973"/>
      <c r="R25" s="973">
        <f>SUM(R21:R23)</f>
        <v>1389.8400000000001</v>
      </c>
      <c r="S25" s="1255">
        <f>SUM(S21:S23)</f>
        <v>1450</v>
      </c>
      <c r="T25" s="1278">
        <f>SUM(T21:T22)</f>
        <v>1632</v>
      </c>
    </row>
    <row r="26" spans="1:124" s="94" customFormat="1" ht="27.75" customHeight="1">
      <c r="A26" s="1917" t="s">
        <v>195</v>
      </c>
      <c r="B26" s="1918"/>
      <c r="C26" s="1918"/>
      <c r="D26" s="1918"/>
      <c r="E26" s="1919"/>
      <c r="F26" s="1919"/>
      <c r="G26" s="1919"/>
      <c r="H26" s="1919"/>
      <c r="I26" s="1919"/>
      <c r="J26" s="1919"/>
      <c r="K26" s="1919"/>
      <c r="L26" s="1919"/>
      <c r="M26" s="1919"/>
      <c r="N26" s="1919"/>
      <c r="O26" s="1919"/>
      <c r="P26" s="1919"/>
      <c r="Q26" s="1919"/>
      <c r="R26" s="1919"/>
      <c r="S26" s="1920"/>
      <c r="T26" s="1024">
        <f t="shared" si="0"/>
        <v>0</v>
      </c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0"/>
      <c r="CO26" s="90"/>
      <c r="CP26" s="90"/>
      <c r="CQ26" s="90"/>
      <c r="CR26" s="90"/>
      <c r="CS26" s="90"/>
      <c r="CT26" s="90"/>
      <c r="CU26" s="90"/>
      <c r="CV26" s="90"/>
      <c r="CW26" s="90"/>
      <c r="CX26" s="90"/>
      <c r="CY26" s="90"/>
      <c r="CZ26" s="90"/>
      <c r="DA26" s="90"/>
      <c r="DB26" s="90"/>
      <c r="DC26" s="90"/>
      <c r="DD26" s="90"/>
      <c r="DE26" s="90"/>
      <c r="DF26" s="90"/>
      <c r="DG26" s="90"/>
      <c r="DH26" s="90"/>
      <c r="DI26" s="90"/>
      <c r="DJ26" s="90"/>
      <c r="DK26" s="90"/>
      <c r="DL26" s="90"/>
      <c r="DM26" s="90"/>
      <c r="DN26" s="90"/>
      <c r="DO26" s="90"/>
      <c r="DP26" s="90"/>
      <c r="DQ26" s="90"/>
      <c r="DR26" s="90"/>
      <c r="DS26" s="90"/>
      <c r="DT26" s="90"/>
    </row>
    <row r="27" spans="1:124" s="95" customFormat="1" ht="27.75" customHeight="1">
      <c r="A27" s="1143">
        <v>1</v>
      </c>
      <c r="B27" s="1144" t="s">
        <v>195</v>
      </c>
      <c r="C27" s="1145">
        <v>5657</v>
      </c>
      <c r="D27" s="1145" t="str">
        <f>'D M S'!D55</f>
        <v>DX-340</v>
      </c>
      <c r="E27" s="1147">
        <f>(12*6)+8</f>
        <v>80</v>
      </c>
      <c r="F27" s="1148">
        <f>'D M S'!M55</f>
        <v>38.5</v>
      </c>
      <c r="G27" s="1148">
        <f>'D M S'!M56</f>
        <v>15.8</v>
      </c>
      <c r="H27" s="1148">
        <f>'D M S'!M57</f>
        <v>0</v>
      </c>
      <c r="I27" s="1149">
        <f>800*0.85</f>
        <v>680</v>
      </c>
      <c r="J27" s="1367">
        <f>E27*I27</f>
        <v>54400</v>
      </c>
      <c r="K27" s="1151">
        <f>I27*F27</f>
        <v>26180</v>
      </c>
      <c r="L27" s="1151">
        <f>(I27*G27)*0.15</f>
        <v>1611.6</v>
      </c>
      <c r="M27" s="1151">
        <f>I27*H27</f>
        <v>0</v>
      </c>
      <c r="N27" s="1368">
        <f>F27/E27</f>
        <v>0.48125000000000001</v>
      </c>
      <c r="O27" s="1153">
        <f>IF((F27+G27)=0,0,F27/(F27+G27))</f>
        <v>0.70902394106814004</v>
      </c>
      <c r="P27" s="1153">
        <f>IF((G27+H27)=0,0,G27/(G27+H27))</f>
        <v>1</v>
      </c>
      <c r="Q27" s="1369">
        <v>20</v>
      </c>
      <c r="R27" s="1369">
        <f>F27*Q27</f>
        <v>770</v>
      </c>
      <c r="S27" s="1592">
        <f>'[8]w Machinery Ex'!$S27+'[2]w Machinery Ex'!$S27+'[3]w Machinery Ex'!$S27+'[9]w Machinery Ex'!$S27+'[5]w Machinery Ex'!$S27+'[6]w Machinery Ex'!$S27+'[7]w Machinery Ex'!$S27</f>
        <v>586</v>
      </c>
      <c r="T27" s="1024">
        <f t="shared" si="0"/>
        <v>1600</v>
      </c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</row>
    <row r="28" spans="1:124" s="95" customFormat="1" ht="27.75" hidden="1" customHeight="1">
      <c r="A28" s="1143">
        <v>2</v>
      </c>
      <c r="B28" s="1144" t="s">
        <v>195</v>
      </c>
      <c r="C28" s="1145" t="str">
        <f>'D M S'!C58</f>
        <v>N6LA4888</v>
      </c>
      <c r="D28" s="1145" t="str">
        <f>'D M S'!D58</f>
        <v>E385</v>
      </c>
      <c r="E28" s="1147"/>
      <c r="F28" s="1148">
        <f>'D M S'!M58</f>
        <v>0</v>
      </c>
      <c r="G28" s="1148">
        <f>'D M S'!M59</f>
        <v>0</v>
      </c>
      <c r="H28" s="1148">
        <f>'D M S'!M60</f>
        <v>0</v>
      </c>
      <c r="I28" s="1149">
        <v>840</v>
      </c>
      <c r="J28" s="1367">
        <f>E28*I28</f>
        <v>0</v>
      </c>
      <c r="K28" s="1151">
        <f>I28*F28</f>
        <v>0</v>
      </c>
      <c r="L28" s="1151">
        <f>(I28*G28)*0.15</f>
        <v>0</v>
      </c>
      <c r="M28" s="1151">
        <f>I28*H28</f>
        <v>0</v>
      </c>
      <c r="N28" s="1368" t="e">
        <f>F28/E28</f>
        <v>#DIV/0!</v>
      </c>
      <c r="O28" s="1153">
        <f>IF((F28+G28)=0,0,F28/(F28+G28))</f>
        <v>0</v>
      </c>
      <c r="P28" s="1153">
        <f>IF((G28+H28)=0,0,G28/(G28+H28))</f>
        <v>0</v>
      </c>
      <c r="Q28" s="1369">
        <v>20</v>
      </c>
      <c r="R28" s="1369">
        <f>F28*Q28</f>
        <v>0</v>
      </c>
      <c r="S28" s="1156" t="e">
        <f>'[1]w Machinery Ex'!$S28+'[2]w Machinery Ex'!$S28+'[3]w Machinery Ex'!$S28+'[4]w Machinery Ex'!$S28+'[5]w Machinery Ex'!$S28+'[6]w Machinery Ex'!$S28+'[7]w Machinery Ex'!$S28</f>
        <v>#REF!</v>
      </c>
      <c r="T28" s="1024">
        <f t="shared" si="0"/>
        <v>0</v>
      </c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</row>
    <row r="29" spans="1:124" s="646" customFormat="1" ht="27.75" customHeight="1">
      <c r="A29" s="1370"/>
      <c r="B29" s="1964" t="s">
        <v>193</v>
      </c>
      <c r="C29" s="1964"/>
      <c r="D29" s="1964"/>
      <c r="E29" s="1371">
        <f>SUM(E27:E28)</f>
        <v>80</v>
      </c>
      <c r="F29" s="1372">
        <f>SUM(F27:F28)</f>
        <v>38.5</v>
      </c>
      <c r="G29" s="1372">
        <f>SUM(G27:G28)</f>
        <v>15.8</v>
      </c>
      <c r="H29" s="1372">
        <f>SUM(H27:H28)</f>
        <v>0</v>
      </c>
      <c r="I29" s="1372">
        <f>SUM(I27:I27)</f>
        <v>680</v>
      </c>
      <c r="J29" s="1372">
        <f>SUM(J27:J27)</f>
        <v>54400</v>
      </c>
      <c r="K29" s="1373">
        <f>SUM(K27:K28)</f>
        <v>26180</v>
      </c>
      <c r="L29" s="1373">
        <f>SUM(L27:L28)</f>
        <v>1611.6</v>
      </c>
      <c r="M29" s="1373">
        <f>SUM(M27:M28)</f>
        <v>0</v>
      </c>
      <c r="N29" s="1371"/>
      <c r="O29" s="1371"/>
      <c r="P29" s="1371">
        <f>SUM(P27:P28)</f>
        <v>1</v>
      </c>
      <c r="Q29" s="1371"/>
      <c r="R29" s="1371">
        <f>SUM(R27:R28)</f>
        <v>770</v>
      </c>
      <c r="S29" s="1374">
        <f>SUM(S27:S27)</f>
        <v>586</v>
      </c>
      <c r="T29" s="1024">
        <f t="shared" si="0"/>
        <v>0</v>
      </c>
    </row>
    <row r="30" spans="1:124" s="94" customFormat="1" ht="23.25" customHeight="1">
      <c r="A30" s="1927" t="s">
        <v>132</v>
      </c>
      <c r="B30" s="1928"/>
      <c r="C30" s="1928"/>
      <c r="D30" s="1928"/>
      <c r="E30" s="1929"/>
      <c r="F30" s="1929"/>
      <c r="G30" s="1929"/>
      <c r="H30" s="1929"/>
      <c r="I30" s="1929"/>
      <c r="J30" s="1929"/>
      <c r="K30" s="1929"/>
      <c r="L30" s="1929"/>
      <c r="M30" s="1929"/>
      <c r="N30" s="1929"/>
      <c r="O30" s="1929"/>
      <c r="P30" s="1929"/>
      <c r="Q30" s="1929"/>
      <c r="R30" s="1929"/>
      <c r="S30" s="1930"/>
      <c r="T30" s="1024">
        <f t="shared" si="0"/>
        <v>0</v>
      </c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</row>
    <row r="31" spans="1:124" s="95" customFormat="1" ht="32.25" customHeight="1" thickBot="1">
      <c r="A31" s="1184">
        <v>1</v>
      </c>
      <c r="B31" s="1185" t="s">
        <v>693</v>
      </c>
      <c r="C31" s="1186" t="str">
        <f>'D M S'!C62</f>
        <v>XXX-06-20500153</v>
      </c>
      <c r="D31" s="1186" t="str">
        <f>'D M S'!D62</f>
        <v>495AG</v>
      </c>
      <c r="E31" s="1187">
        <f>(10*6)</f>
        <v>60</v>
      </c>
      <c r="F31" s="1188">
        <f>'D M S'!M62</f>
        <v>32.5</v>
      </c>
      <c r="G31" s="1188">
        <f>'D M S'!M63</f>
        <v>24.5</v>
      </c>
      <c r="H31" s="1188">
        <f>'D M S'!M64</f>
        <v>0</v>
      </c>
      <c r="I31" s="1189">
        <v>476</v>
      </c>
      <c r="J31" s="1190">
        <f>I31*E31</f>
        <v>28560</v>
      </c>
      <c r="K31" s="1191">
        <f>F31*I31</f>
        <v>15470</v>
      </c>
      <c r="L31" s="1191">
        <f>I31*G31*0.15</f>
        <v>1749.3</v>
      </c>
      <c r="M31" s="1191">
        <f>I31*H31</f>
        <v>0</v>
      </c>
      <c r="N31" s="1192">
        <f>F31/(E31)</f>
        <v>0.54166666666666663</v>
      </c>
      <c r="O31" s="1193">
        <f>IF((F31+G31)=0,0,F31/(F31+G31))</f>
        <v>0.57017543859649122</v>
      </c>
      <c r="P31" s="1193">
        <f>(F31+G31)/(E31)</f>
        <v>0.95</v>
      </c>
      <c r="Q31" s="1194">
        <v>2</v>
      </c>
      <c r="R31" s="1194">
        <f>F31*Q31</f>
        <v>65</v>
      </c>
      <c r="S31" s="1592">
        <f>'[8]w Machinery Ex'!$S31+'[2]w Machinery Ex'!$S31+'[3]w Machinery Ex'!$S31+'[9]w Machinery Ex'!$S31+'[5]w Machinery Ex'!$S31+'[6]w Machinery Ex'!$S31+'[7]w Machinery Ex'!$S31</f>
        <v>21</v>
      </c>
      <c r="T31" s="1024">
        <f t="shared" si="0"/>
        <v>120</v>
      </c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</row>
    <row r="32" spans="1:124" s="645" customFormat="1" ht="27.75" customHeight="1" thickBot="1">
      <c r="A32" s="671"/>
      <c r="B32" s="1274" t="s">
        <v>193</v>
      </c>
      <c r="C32" s="1274"/>
      <c r="D32" s="1274"/>
      <c r="E32" s="668">
        <f>SUM(E31:E31)</f>
        <v>60</v>
      </c>
      <c r="F32" s="674">
        <f>SUM(F31:F31)</f>
        <v>32.5</v>
      </c>
      <c r="G32" s="674">
        <f>SUM(G31:G31)</f>
        <v>24.5</v>
      </c>
      <c r="H32" s="674">
        <f>SUM(H31:H31)</f>
        <v>0</v>
      </c>
      <c r="I32" s="668"/>
      <c r="J32" s="668">
        <f t="shared" ref="J32:P32" si="5">SUM(J31:J31)</f>
        <v>28560</v>
      </c>
      <c r="K32" s="669">
        <f t="shared" si="5"/>
        <v>15470</v>
      </c>
      <c r="L32" s="669">
        <f t="shared" si="5"/>
        <v>1749.3</v>
      </c>
      <c r="M32" s="1130">
        <f t="shared" si="5"/>
        <v>0</v>
      </c>
      <c r="N32" s="668">
        <f t="shared" si="5"/>
        <v>0.54166666666666663</v>
      </c>
      <c r="O32" s="668">
        <f t="shared" si="5"/>
        <v>0.57017543859649122</v>
      </c>
      <c r="P32" s="668">
        <f t="shared" si="5"/>
        <v>0.95</v>
      </c>
      <c r="Q32" s="670"/>
      <c r="R32" s="670">
        <f>SUM(R31)</f>
        <v>65</v>
      </c>
      <c r="S32" s="1374">
        <f>SUM(S31)</f>
        <v>21</v>
      </c>
      <c r="T32" s="1279">
        <f>SUM(T31)</f>
        <v>120</v>
      </c>
    </row>
    <row r="33" spans="1:124" s="109" customFormat="1" ht="23.25" customHeight="1">
      <c r="A33" s="1913" t="s">
        <v>196</v>
      </c>
      <c r="B33" s="1914"/>
      <c r="C33" s="1914"/>
      <c r="D33" s="1914"/>
      <c r="E33" s="1933"/>
      <c r="F33" s="1933"/>
      <c r="G33" s="1933"/>
      <c r="H33" s="1933"/>
      <c r="I33" s="1933"/>
      <c r="J33" s="1933"/>
      <c r="K33" s="1933"/>
      <c r="L33" s="1933"/>
      <c r="M33" s="1933"/>
      <c r="N33" s="1933"/>
      <c r="O33" s="1933"/>
      <c r="P33" s="1933"/>
      <c r="Q33" s="1933"/>
      <c r="R33" s="1933"/>
      <c r="S33" s="1934"/>
      <c r="T33" s="1024">
        <f t="shared" si="0"/>
        <v>0</v>
      </c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01"/>
      <c r="CE33" s="101"/>
      <c r="CF33" s="101"/>
      <c r="CG33" s="101"/>
      <c r="CH33" s="101"/>
      <c r="CI33" s="101"/>
      <c r="CJ33" s="101"/>
      <c r="CK33" s="101"/>
      <c r="CL33" s="101"/>
      <c r="CM33" s="101"/>
      <c r="CN33" s="101"/>
      <c r="CO33" s="101"/>
      <c r="CP33" s="101"/>
      <c r="CQ33" s="101"/>
      <c r="CR33" s="101"/>
      <c r="CS33" s="101"/>
      <c r="CT33" s="101"/>
      <c r="CU33" s="101"/>
      <c r="CV33" s="101"/>
      <c r="CW33" s="101"/>
      <c r="CX33" s="101"/>
      <c r="CY33" s="101"/>
      <c r="CZ33" s="101"/>
      <c r="DA33" s="101"/>
      <c r="DB33" s="101"/>
      <c r="DC33" s="101"/>
      <c r="DD33" s="101"/>
      <c r="DE33" s="101"/>
      <c r="DF33" s="101"/>
      <c r="DG33" s="101"/>
      <c r="DH33" s="101"/>
      <c r="DI33" s="101"/>
      <c r="DJ33" s="101"/>
      <c r="DK33" s="101"/>
      <c r="DL33" s="101"/>
      <c r="DM33" s="101"/>
      <c r="DN33" s="101"/>
      <c r="DO33" s="101"/>
      <c r="DP33" s="101"/>
      <c r="DQ33" s="101"/>
      <c r="DR33" s="101"/>
      <c r="DS33" s="101"/>
      <c r="DT33" s="101"/>
    </row>
    <row r="34" spans="1:124" s="1041" customFormat="1" ht="30.75" customHeight="1" thickBot="1">
      <c r="A34" s="1196">
        <v>1</v>
      </c>
      <c r="B34" s="1197" t="str">
        <f>'D M S'!B69</f>
        <v>MIXER LOMBARDINI</v>
      </c>
      <c r="C34" s="1197" t="str">
        <f>'D M S'!C69</f>
        <v>1DK/M486</v>
      </c>
      <c r="D34" s="1197" t="str">
        <f>'D M S'!D69</f>
        <v>15D3505.360</v>
      </c>
      <c r="E34" s="1295">
        <f>3*1</f>
        <v>3</v>
      </c>
      <c r="F34" s="1295">
        <f>'D M S'!M69</f>
        <v>0</v>
      </c>
      <c r="G34" s="1295">
        <f>'D M S'!M70</f>
        <v>0</v>
      </c>
      <c r="H34" s="1295">
        <f>'D M S'!M71</f>
        <v>0</v>
      </c>
      <c r="I34" s="1198">
        <v>21.25</v>
      </c>
      <c r="J34" s="1198">
        <f>I34*E34</f>
        <v>63.75</v>
      </c>
      <c r="K34" s="1296">
        <f>F34*I34</f>
        <v>0</v>
      </c>
      <c r="L34" s="1296">
        <f>I34*G34*0.15</f>
        <v>0</v>
      </c>
      <c r="M34" s="1296">
        <f>I34*H34</f>
        <v>0</v>
      </c>
      <c r="N34" s="1297">
        <f>F34/(E34)</f>
        <v>0</v>
      </c>
      <c r="O34" s="1297">
        <f>IF((F34+G34)=0,0,F34/(F34+G34))</f>
        <v>0</v>
      </c>
      <c r="P34" s="1298">
        <f>(F34+G34)/(E34)</f>
        <v>0</v>
      </c>
      <c r="Q34" s="1198">
        <v>1</v>
      </c>
      <c r="R34" s="1198">
        <f>F34*Q34</f>
        <v>0</v>
      </c>
      <c r="S34" s="1198">
        <f>'[8]w Machinery Ex'!$S34+'[2]w Machinery Ex'!$S34+'[3]w Machinery Ex'!$S34+'[9]w Machinery Ex'!$S34+'[5]w Machinery Ex'!$S34+'[6]w Machinery Ex'!$S34+'[7]w Machinery Ex'!$S34</f>
        <v>0</v>
      </c>
      <c r="T34" s="1039">
        <f t="shared" si="0"/>
        <v>3</v>
      </c>
      <c r="U34" s="1040"/>
      <c r="V34" s="1040"/>
      <c r="W34" s="1040"/>
      <c r="X34" s="1040"/>
      <c r="Y34" s="1040"/>
      <c r="Z34" s="1040"/>
      <c r="AA34" s="1040"/>
      <c r="AB34" s="1040"/>
      <c r="AC34" s="1040"/>
      <c r="AD34" s="1040"/>
      <c r="AE34" s="1040"/>
      <c r="AF34" s="1040"/>
      <c r="AG34" s="1040"/>
      <c r="AH34" s="1040"/>
      <c r="AI34" s="1040"/>
      <c r="AJ34" s="1040"/>
      <c r="AK34" s="1040"/>
      <c r="AL34" s="1040"/>
      <c r="AM34" s="1040"/>
      <c r="AN34" s="1040"/>
      <c r="AO34" s="1040"/>
      <c r="AP34" s="1040"/>
      <c r="AQ34" s="1040"/>
      <c r="AR34" s="1040"/>
      <c r="AS34" s="1040"/>
      <c r="AT34" s="1040"/>
      <c r="AU34" s="1040"/>
      <c r="AV34" s="1040"/>
      <c r="AW34" s="1040"/>
      <c r="AX34" s="1040"/>
      <c r="AY34" s="1040"/>
      <c r="AZ34" s="1040"/>
      <c r="BA34" s="1040"/>
      <c r="BB34" s="1040"/>
      <c r="BC34" s="1040"/>
      <c r="BD34" s="1040"/>
      <c r="BE34" s="1040"/>
      <c r="BF34" s="1040"/>
      <c r="BG34" s="1040"/>
      <c r="BH34" s="1040"/>
      <c r="BI34" s="1040"/>
      <c r="BJ34" s="1040"/>
      <c r="BK34" s="1040"/>
      <c r="BL34" s="1040"/>
      <c r="BM34" s="1040"/>
      <c r="BN34" s="1040"/>
      <c r="BO34" s="1040"/>
      <c r="BP34" s="1040"/>
      <c r="BQ34" s="1040"/>
      <c r="BR34" s="1040"/>
      <c r="BS34" s="1040"/>
      <c r="BT34" s="1040"/>
      <c r="BU34" s="1040"/>
      <c r="BV34" s="1040"/>
      <c r="BW34" s="1040"/>
      <c r="BX34" s="1040"/>
      <c r="BY34" s="1040"/>
      <c r="BZ34" s="1040"/>
      <c r="CA34" s="1040"/>
      <c r="CB34" s="1040"/>
      <c r="CC34" s="1040"/>
      <c r="CD34" s="1040"/>
      <c r="CE34" s="1040"/>
      <c r="CF34" s="1040"/>
      <c r="CG34" s="1040"/>
      <c r="CH34" s="1040"/>
      <c r="CI34" s="1040"/>
      <c r="CJ34" s="1040"/>
      <c r="CK34" s="1040"/>
      <c r="CL34" s="1040"/>
      <c r="CM34" s="1040"/>
      <c r="CN34" s="1040"/>
      <c r="CO34" s="1040"/>
      <c r="CP34" s="1040"/>
      <c r="CQ34" s="1040"/>
      <c r="CR34" s="1040"/>
      <c r="CS34" s="1040"/>
      <c r="CT34" s="1040"/>
      <c r="CU34" s="1040"/>
      <c r="CV34" s="1040"/>
      <c r="CW34" s="1040"/>
      <c r="CX34" s="1040"/>
      <c r="CY34" s="1040"/>
      <c r="CZ34" s="1040"/>
      <c r="DA34" s="1040"/>
      <c r="DB34" s="1040"/>
      <c r="DC34" s="1040"/>
      <c r="DD34" s="1040"/>
      <c r="DE34" s="1040"/>
      <c r="DF34" s="1040"/>
      <c r="DG34" s="1040"/>
      <c r="DH34" s="1040"/>
      <c r="DI34" s="1040"/>
      <c r="DJ34" s="1040"/>
      <c r="DK34" s="1040"/>
      <c r="DL34" s="1040"/>
      <c r="DM34" s="1040"/>
      <c r="DN34" s="1040"/>
      <c r="DO34" s="1040"/>
      <c r="DP34" s="1040"/>
      <c r="DQ34" s="1040"/>
      <c r="DR34" s="1040"/>
      <c r="DS34" s="1040"/>
      <c r="DT34" s="1040"/>
    </row>
    <row r="35" spans="1:124" s="102" customFormat="1" ht="33" hidden="1">
      <c r="A35" s="1001">
        <v>2</v>
      </c>
      <c r="B35" s="1002" t="str">
        <f>'D M S'!B72</f>
        <v>MIXER LOMBARDINI</v>
      </c>
      <c r="C35" s="1136" t="s">
        <v>680</v>
      </c>
      <c r="D35" s="1002" t="str">
        <f>'D M S'!D72</f>
        <v>5750 HOPPER</v>
      </c>
      <c r="E35" s="1141"/>
      <c r="F35" s="1299">
        <f>'D M S'!M72</f>
        <v>0</v>
      </c>
      <c r="G35" s="1299">
        <f>'D M S'!M73</f>
        <v>0</v>
      </c>
      <c r="H35" s="1299">
        <f>'D M S'!M74</f>
        <v>0</v>
      </c>
      <c r="I35" s="686">
        <v>21.25</v>
      </c>
      <c r="J35" s="686">
        <f>I35*E35</f>
        <v>0</v>
      </c>
      <c r="K35" s="1300">
        <f>F35*I35</f>
        <v>0</v>
      </c>
      <c r="L35" s="1300">
        <f>I35*G35*0.15</f>
        <v>0</v>
      </c>
      <c r="M35" s="1300">
        <f>I35*H35</f>
        <v>0</v>
      </c>
      <c r="N35" s="1301" t="e">
        <f>F35/(E35)</f>
        <v>#DIV/0!</v>
      </c>
      <c r="O35" s="1301">
        <f t="shared" ref="O35:O38" si="6">IF((F35+G35)=0,0,F35/(F35+G35))</f>
        <v>0</v>
      </c>
      <c r="P35" s="1301">
        <f>IF((G35+H35)=0,0,G35/(G35+H35))</f>
        <v>0</v>
      </c>
      <c r="Q35" s="686"/>
      <c r="R35" s="686">
        <f>F35*Q35</f>
        <v>0</v>
      </c>
      <c r="S35" s="1195" t="e">
        <f>'[1]w Machinery Ex'!S35+'[2]w Machinery Ex'!S35+'[3]w Machinery Ex'!S35+'[4]w Machinery Ex'!S35+'[5]w Machinery Ex'!S35+'[6]w Machinery Ex'!S35+'[7]w Machinery Ex'!S35</f>
        <v>#REF!</v>
      </c>
      <c r="T35" s="1024">
        <f t="shared" si="0"/>
        <v>0</v>
      </c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01"/>
      <c r="CE35" s="101"/>
      <c r="CF35" s="101"/>
      <c r="CG35" s="101"/>
      <c r="CH35" s="101"/>
      <c r="CI35" s="101"/>
      <c r="CJ35" s="101"/>
      <c r="CK35" s="101"/>
      <c r="CL35" s="101"/>
      <c r="CM35" s="101"/>
      <c r="CN35" s="101"/>
      <c r="CO35" s="101"/>
      <c r="CP35" s="101"/>
      <c r="CQ35" s="101"/>
      <c r="CR35" s="101"/>
      <c r="CS35" s="101"/>
      <c r="CT35" s="101"/>
      <c r="CU35" s="101"/>
      <c r="CV35" s="101"/>
      <c r="CW35" s="101"/>
      <c r="CX35" s="101"/>
      <c r="CY35" s="101"/>
      <c r="CZ35" s="101"/>
      <c r="DA35" s="101"/>
      <c r="DB35" s="101"/>
      <c r="DC35" s="101"/>
      <c r="DD35" s="101"/>
      <c r="DE35" s="101"/>
      <c r="DF35" s="101"/>
      <c r="DG35" s="101"/>
      <c r="DH35" s="101"/>
      <c r="DI35" s="101"/>
      <c r="DJ35" s="101"/>
      <c r="DK35" s="101"/>
      <c r="DL35" s="101"/>
      <c r="DM35" s="101"/>
      <c r="DN35" s="101"/>
      <c r="DO35" s="101"/>
      <c r="DP35" s="101"/>
      <c r="DQ35" s="101"/>
      <c r="DR35" s="101"/>
      <c r="DS35" s="101"/>
      <c r="DT35" s="101"/>
    </row>
    <row r="36" spans="1:124" s="102" customFormat="1" ht="24" hidden="1" customHeight="1">
      <c r="A36" s="986">
        <v>3</v>
      </c>
      <c r="B36" s="1270" t="s">
        <v>196</v>
      </c>
      <c r="C36" s="660">
        <f>'D M S'!C71</f>
        <v>0</v>
      </c>
      <c r="D36" s="660">
        <f>'D M S'!D71</f>
        <v>0</v>
      </c>
      <c r="E36" s="653"/>
      <c r="F36" s="1034">
        <f>'D M S'!M78</f>
        <v>0</v>
      </c>
      <c r="G36" s="1034">
        <f>'D M S'!M79</f>
        <v>0</v>
      </c>
      <c r="H36" s="1034">
        <f>'D M S'!M80</f>
        <v>0</v>
      </c>
      <c r="I36" s="653">
        <v>50</v>
      </c>
      <c r="J36" s="653">
        <f>I36*E36</f>
        <v>0</v>
      </c>
      <c r="K36" s="1302">
        <f>F36*I36</f>
        <v>0</v>
      </c>
      <c r="L36" s="1302">
        <f>I36*G36*0.15</f>
        <v>0</v>
      </c>
      <c r="M36" s="1302">
        <f>I36*H36</f>
        <v>0</v>
      </c>
      <c r="N36" s="1303" t="e">
        <f>F36/(E36)</f>
        <v>#DIV/0!</v>
      </c>
      <c r="O36" s="1303">
        <f t="shared" si="6"/>
        <v>0</v>
      </c>
      <c r="P36" s="1303">
        <f>IF((G36+H36)=0,0,G36/(G36+H36))</f>
        <v>0</v>
      </c>
      <c r="Q36" s="653"/>
      <c r="R36" s="653"/>
      <c r="S36" s="654"/>
      <c r="T36" s="1024">
        <f t="shared" si="0"/>
        <v>0</v>
      </c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01"/>
      <c r="CE36" s="101"/>
      <c r="CF36" s="101"/>
      <c r="CG36" s="101"/>
      <c r="CH36" s="101"/>
      <c r="CI36" s="101"/>
      <c r="CJ36" s="101"/>
      <c r="CK36" s="101"/>
      <c r="CL36" s="101"/>
      <c r="CM36" s="101"/>
      <c r="CN36" s="101"/>
      <c r="CO36" s="101"/>
      <c r="CP36" s="101"/>
      <c r="CQ36" s="101"/>
      <c r="CR36" s="101"/>
      <c r="CS36" s="101"/>
      <c r="CT36" s="101"/>
      <c r="CU36" s="101"/>
      <c r="CV36" s="101"/>
      <c r="CW36" s="101"/>
      <c r="CX36" s="101"/>
      <c r="CY36" s="101"/>
      <c r="CZ36" s="101"/>
      <c r="DA36" s="101"/>
      <c r="DB36" s="101"/>
      <c r="DC36" s="101"/>
      <c r="DD36" s="101"/>
      <c r="DE36" s="101"/>
      <c r="DF36" s="101"/>
      <c r="DG36" s="101"/>
      <c r="DH36" s="101"/>
      <c r="DI36" s="101"/>
      <c r="DJ36" s="101"/>
      <c r="DK36" s="101"/>
      <c r="DL36" s="101"/>
      <c r="DM36" s="101"/>
      <c r="DN36" s="101"/>
      <c r="DO36" s="101"/>
      <c r="DP36" s="101"/>
      <c r="DQ36" s="101"/>
      <c r="DR36" s="101"/>
      <c r="DS36" s="101"/>
      <c r="DT36" s="101"/>
    </row>
    <row r="37" spans="1:124" s="95" customFormat="1" ht="24" hidden="1" customHeight="1">
      <c r="A37" s="986">
        <v>4</v>
      </c>
      <c r="B37" s="1270" t="s">
        <v>196</v>
      </c>
      <c r="C37" s="660">
        <f>'D M S'!C72</f>
        <v>0</v>
      </c>
      <c r="D37" s="660" t="str">
        <f>'D M S'!D72</f>
        <v>5750 HOPPER</v>
      </c>
      <c r="E37" s="653"/>
      <c r="F37" s="1034">
        <f>'D M S'!M81</f>
        <v>0</v>
      </c>
      <c r="G37" s="1034">
        <f>'D M S'!M82</f>
        <v>0</v>
      </c>
      <c r="H37" s="1034">
        <f>'D M S'!M83</f>
        <v>0</v>
      </c>
      <c r="I37" s="653">
        <v>50</v>
      </c>
      <c r="J37" s="653">
        <f>I37*E37</f>
        <v>0</v>
      </c>
      <c r="K37" s="1302">
        <f>F37*I37</f>
        <v>0</v>
      </c>
      <c r="L37" s="1302">
        <f>I37*G37*0.15</f>
        <v>0</v>
      </c>
      <c r="M37" s="1302">
        <f>I37*H37</f>
        <v>0</v>
      </c>
      <c r="N37" s="1303">
        <v>0</v>
      </c>
      <c r="O37" s="1303">
        <f t="shared" si="6"/>
        <v>0</v>
      </c>
      <c r="P37" s="1303">
        <f>IF((G37+H37)=0,0,G37/(G37+H37))</f>
        <v>0</v>
      </c>
      <c r="Q37" s="653"/>
      <c r="R37" s="653"/>
      <c r="S37" s="654"/>
      <c r="T37" s="1024">
        <f t="shared" si="0"/>
        <v>0</v>
      </c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</row>
    <row r="38" spans="1:124" s="95" customFormat="1" ht="24" hidden="1" customHeight="1" thickBot="1">
      <c r="A38" s="986">
        <v>4</v>
      </c>
      <c r="B38" s="1270" t="s">
        <v>196</v>
      </c>
      <c r="C38" s="1273"/>
      <c r="D38" s="1273"/>
      <c r="E38" s="653"/>
      <c r="F38" s="1034">
        <f>'D M S'!M72</f>
        <v>0</v>
      </c>
      <c r="G38" s="1034">
        <f>'D M S'!M76</f>
        <v>0</v>
      </c>
      <c r="H38" s="1034">
        <f>'D M S'!M77</f>
        <v>0</v>
      </c>
      <c r="I38" s="653">
        <v>50</v>
      </c>
      <c r="J38" s="653">
        <f>I38*E38</f>
        <v>0</v>
      </c>
      <c r="K38" s="1302">
        <f>F38*I38</f>
        <v>0</v>
      </c>
      <c r="L38" s="1302">
        <f>I38*G38*0.15</f>
        <v>0</v>
      </c>
      <c r="M38" s="1302">
        <f>I38*H38</f>
        <v>0</v>
      </c>
      <c r="N38" s="1303"/>
      <c r="O38" s="1303">
        <f t="shared" si="6"/>
        <v>0</v>
      </c>
      <c r="P38" s="1303">
        <f>IF((G38+H38)=0,0,G38/(G38+H38))</f>
        <v>0</v>
      </c>
      <c r="Q38" s="653">
        <v>0</v>
      </c>
      <c r="R38" s="653">
        <v>0</v>
      </c>
      <c r="S38" s="654">
        <v>0</v>
      </c>
      <c r="T38" s="1024">
        <f t="shared" si="0"/>
        <v>0</v>
      </c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</row>
    <row r="39" spans="1:124" s="974" customFormat="1" ht="21.75" customHeight="1" thickBot="1">
      <c r="A39" s="975"/>
      <c r="B39" s="1272" t="s">
        <v>193</v>
      </c>
      <c r="C39" s="1272"/>
      <c r="D39" s="1272"/>
      <c r="E39" s="1127"/>
      <c r="F39" s="1127">
        <f>SUM(F34:F37)</f>
        <v>0</v>
      </c>
      <c r="G39" s="1127">
        <f>SUM(G34:G37)</f>
        <v>0</v>
      </c>
      <c r="H39" s="1127">
        <f>SUM(H34:H37)</f>
        <v>0</v>
      </c>
      <c r="I39" s="1127"/>
      <c r="J39" s="1304">
        <f>SUM(J34:J37)</f>
        <v>63.75</v>
      </c>
      <c r="K39" s="1038">
        <f>SUM(K34:K38)</f>
        <v>0</v>
      </c>
      <c r="L39" s="1038">
        <f>SUM(L34:L38)</f>
        <v>0</v>
      </c>
      <c r="M39" s="1305">
        <f>SUM(M34:M37)</f>
        <v>0</v>
      </c>
      <c r="N39" s="1127"/>
      <c r="O39" s="1127"/>
      <c r="P39" s="1127"/>
      <c r="Q39" s="1306"/>
      <c r="R39" s="1306">
        <f>SUM(R34)</f>
        <v>0</v>
      </c>
      <c r="S39" s="1263">
        <f>SUM(S34)</f>
        <v>0</v>
      </c>
      <c r="T39" s="1024">
        <f t="shared" si="0"/>
        <v>0</v>
      </c>
    </row>
    <row r="40" spans="1:124" s="110" customFormat="1" ht="25.5" hidden="1" customHeight="1">
      <c r="A40" s="1935" t="s">
        <v>197</v>
      </c>
      <c r="B40" s="1936"/>
      <c r="C40" s="1936"/>
      <c r="D40" s="1936"/>
      <c r="E40" s="1937"/>
      <c r="F40" s="1937"/>
      <c r="G40" s="1937"/>
      <c r="H40" s="1937"/>
      <c r="I40" s="1937"/>
      <c r="J40" s="1937"/>
      <c r="K40" s="1937"/>
      <c r="L40" s="1937"/>
      <c r="M40" s="1937"/>
      <c r="N40" s="1937"/>
      <c r="O40" s="1937"/>
      <c r="P40" s="1937"/>
      <c r="Q40" s="1937"/>
      <c r="R40" s="1937"/>
      <c r="S40" s="1938"/>
      <c r="T40" s="1024">
        <f t="shared" si="0"/>
        <v>0</v>
      </c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1"/>
      <c r="CR40" s="101"/>
      <c r="CS40" s="101"/>
      <c r="CT40" s="101"/>
      <c r="CU40" s="101"/>
      <c r="CV40" s="101"/>
      <c r="CW40" s="101"/>
      <c r="CX40" s="101"/>
      <c r="CY40" s="101"/>
      <c r="CZ40" s="101"/>
      <c r="DA40" s="101"/>
      <c r="DB40" s="101"/>
      <c r="DC40" s="101"/>
      <c r="DD40" s="101"/>
      <c r="DE40" s="101"/>
      <c r="DF40" s="101"/>
      <c r="DG40" s="101"/>
      <c r="DH40" s="101"/>
      <c r="DI40" s="101"/>
      <c r="DJ40" s="101"/>
      <c r="DK40" s="101"/>
      <c r="DL40" s="101"/>
      <c r="DM40" s="101"/>
      <c r="DN40" s="101"/>
      <c r="DO40" s="101"/>
      <c r="DP40" s="101"/>
      <c r="DQ40" s="101"/>
      <c r="DR40" s="101"/>
      <c r="DS40" s="101"/>
      <c r="DT40" s="101"/>
    </row>
    <row r="41" spans="1:124" s="111" customFormat="1" ht="24" hidden="1" customHeight="1">
      <c r="A41" s="985">
        <v>1</v>
      </c>
      <c r="B41" s="661" t="s">
        <v>135</v>
      </c>
      <c r="C41" s="1273"/>
      <c r="D41" s="1273"/>
      <c r="E41" s="1307">
        <v>60</v>
      </c>
      <c r="F41" s="1034">
        <f>'D M S'!M85</f>
        <v>0</v>
      </c>
      <c r="G41" s="1034">
        <f>'D M S'!M86</f>
        <v>0</v>
      </c>
      <c r="H41" s="1308">
        <f>'D M S'!M87</f>
        <v>0</v>
      </c>
      <c r="I41" s="658">
        <v>5</v>
      </c>
      <c r="J41" s="653">
        <f t="shared" ref="J41:J46" si="7">I41*E41</f>
        <v>300</v>
      </c>
      <c r="K41" s="1302">
        <f t="shared" ref="K41:K46" si="8">F41*I41</f>
        <v>0</v>
      </c>
      <c r="L41" s="1302">
        <f t="shared" ref="L41:L46" si="9">I41*G41*0.15</f>
        <v>0</v>
      </c>
      <c r="M41" s="1302">
        <f t="shared" ref="M41:M46" si="10">I41*H41</f>
        <v>0</v>
      </c>
      <c r="N41" s="1303">
        <f t="shared" ref="N41:N46" si="11">F41/(E41)</f>
        <v>0</v>
      </c>
      <c r="O41" s="1303">
        <f>IF((F41+G41)=0,0,F41/(F41+G41))</f>
        <v>0</v>
      </c>
      <c r="P41" s="1303">
        <f>IF((G41+H41)=0,0,G41/(G41+H41))</f>
        <v>0</v>
      </c>
      <c r="Q41" s="653"/>
      <c r="R41" s="653"/>
      <c r="S41" s="654"/>
      <c r="T41" s="1024">
        <f t="shared" si="0"/>
        <v>0</v>
      </c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</row>
    <row r="42" spans="1:124" s="95" customFormat="1" ht="24" hidden="1" customHeight="1">
      <c r="A42" s="985">
        <v>2</v>
      </c>
      <c r="B42" s="661" t="s">
        <v>135</v>
      </c>
      <c r="C42" s="1273"/>
      <c r="D42" s="1273"/>
      <c r="E42" s="1307">
        <v>60</v>
      </c>
      <c r="F42" s="1034">
        <f>'D M S'!M88</f>
        <v>0</v>
      </c>
      <c r="G42" s="1308">
        <f>'D M S'!M89</f>
        <v>0</v>
      </c>
      <c r="H42" s="1034">
        <f>'D M S'!M90</f>
        <v>0</v>
      </c>
      <c r="I42" s="658">
        <v>5</v>
      </c>
      <c r="J42" s="653">
        <f t="shared" si="7"/>
        <v>300</v>
      </c>
      <c r="K42" s="1302">
        <f t="shared" si="8"/>
        <v>0</v>
      </c>
      <c r="L42" s="1302">
        <f t="shared" si="9"/>
        <v>0</v>
      </c>
      <c r="M42" s="1302">
        <f t="shared" si="10"/>
        <v>0</v>
      </c>
      <c r="N42" s="1303">
        <f t="shared" si="11"/>
        <v>0</v>
      </c>
      <c r="O42" s="1303">
        <f t="shared" ref="O42:O46" si="12">IF((F42+G42)=0,0,F42/(F42+G42))</f>
        <v>0</v>
      </c>
      <c r="P42" s="1303">
        <f>IF((G42+H42)=0,0,G42/(G42+H42))</f>
        <v>0</v>
      </c>
      <c r="Q42" s="653"/>
      <c r="R42" s="653"/>
      <c r="S42" s="654"/>
      <c r="T42" s="1024">
        <f t="shared" si="0"/>
        <v>0</v>
      </c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</row>
    <row r="43" spans="1:124" s="95" customFormat="1" ht="24" hidden="1" customHeight="1">
      <c r="A43" s="985">
        <v>3</v>
      </c>
      <c r="B43" s="661" t="s">
        <v>135</v>
      </c>
      <c r="C43" s="1273"/>
      <c r="D43" s="1273"/>
      <c r="E43" s="1307">
        <v>60</v>
      </c>
      <c r="F43" s="1034">
        <f>'D M S'!M91</f>
        <v>0</v>
      </c>
      <c r="G43" s="1308">
        <f>'D M S'!M92</f>
        <v>0</v>
      </c>
      <c r="H43" s="1034">
        <f>'D M S'!M93</f>
        <v>0</v>
      </c>
      <c r="I43" s="658">
        <v>5</v>
      </c>
      <c r="J43" s="653">
        <f t="shared" si="7"/>
        <v>300</v>
      </c>
      <c r="K43" s="1302">
        <f t="shared" si="8"/>
        <v>0</v>
      </c>
      <c r="L43" s="1302">
        <f t="shared" si="9"/>
        <v>0</v>
      </c>
      <c r="M43" s="1302">
        <f t="shared" si="10"/>
        <v>0</v>
      </c>
      <c r="N43" s="1303">
        <f t="shared" si="11"/>
        <v>0</v>
      </c>
      <c r="O43" s="1303">
        <f t="shared" si="12"/>
        <v>0</v>
      </c>
      <c r="P43" s="1303">
        <f>IF((G43+H43)=0,0,G43/(G43+H43))</f>
        <v>0</v>
      </c>
      <c r="Q43" s="653"/>
      <c r="R43" s="653"/>
      <c r="S43" s="654"/>
      <c r="T43" s="1024">
        <f t="shared" si="0"/>
        <v>0</v>
      </c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</row>
    <row r="44" spans="1:124" s="111" customFormat="1" ht="24" hidden="1" customHeight="1">
      <c r="A44" s="985">
        <v>4</v>
      </c>
      <c r="B44" s="661" t="s">
        <v>135</v>
      </c>
      <c r="C44" s="1273"/>
      <c r="D44" s="1273"/>
      <c r="E44" s="1307">
        <v>60</v>
      </c>
      <c r="F44" s="1034">
        <f>'D M S'!M94</f>
        <v>0</v>
      </c>
      <c r="G44" s="1034">
        <f>'D M S'!M95</f>
        <v>0</v>
      </c>
      <c r="H44" s="1308">
        <f>'D M S'!M96</f>
        <v>0</v>
      </c>
      <c r="I44" s="658">
        <v>5</v>
      </c>
      <c r="J44" s="653">
        <f t="shared" si="7"/>
        <v>300</v>
      </c>
      <c r="K44" s="1302">
        <f t="shared" si="8"/>
        <v>0</v>
      </c>
      <c r="L44" s="1302">
        <f t="shared" si="9"/>
        <v>0</v>
      </c>
      <c r="M44" s="1302">
        <f t="shared" si="10"/>
        <v>0</v>
      </c>
      <c r="N44" s="1303">
        <f t="shared" si="11"/>
        <v>0</v>
      </c>
      <c r="O44" s="1303">
        <f t="shared" si="12"/>
        <v>0</v>
      </c>
      <c r="P44" s="1303">
        <f>IF((G44+H44)=0,0,G44/(G44+H44))</f>
        <v>0</v>
      </c>
      <c r="Q44" s="653"/>
      <c r="R44" s="653"/>
      <c r="S44" s="654"/>
      <c r="T44" s="1024">
        <f t="shared" si="0"/>
        <v>0</v>
      </c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</row>
    <row r="45" spans="1:124" s="95" customFormat="1" ht="24" hidden="1" customHeight="1">
      <c r="A45" s="985">
        <v>5</v>
      </c>
      <c r="B45" s="661" t="s">
        <v>135</v>
      </c>
      <c r="C45" s="1273"/>
      <c r="D45" s="1273"/>
      <c r="E45" s="1307">
        <v>60</v>
      </c>
      <c r="F45" s="1034">
        <f>'D M S'!M97</f>
        <v>0</v>
      </c>
      <c r="G45" s="1308">
        <f>'D M S'!M98</f>
        <v>0</v>
      </c>
      <c r="H45" s="1034">
        <f>'D M S'!M99</f>
        <v>0</v>
      </c>
      <c r="I45" s="658">
        <v>5</v>
      </c>
      <c r="J45" s="653">
        <f t="shared" si="7"/>
        <v>300</v>
      </c>
      <c r="K45" s="1302">
        <f t="shared" si="8"/>
        <v>0</v>
      </c>
      <c r="L45" s="1302">
        <f t="shared" si="9"/>
        <v>0</v>
      </c>
      <c r="M45" s="1302">
        <f t="shared" si="10"/>
        <v>0</v>
      </c>
      <c r="N45" s="1303">
        <f t="shared" si="11"/>
        <v>0</v>
      </c>
      <c r="O45" s="1303">
        <f t="shared" si="12"/>
        <v>0</v>
      </c>
      <c r="P45" s="1303">
        <f>IF((G45+H45)=0,0,G45/(G45+H45))</f>
        <v>0</v>
      </c>
      <c r="Q45" s="653"/>
      <c r="R45" s="653"/>
      <c r="S45" s="654"/>
      <c r="T45" s="1024">
        <f t="shared" si="0"/>
        <v>0</v>
      </c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</row>
    <row r="46" spans="1:124" s="95" customFormat="1" ht="24" hidden="1" customHeight="1">
      <c r="A46" s="985">
        <v>6</v>
      </c>
      <c r="B46" s="661" t="s">
        <v>135</v>
      </c>
      <c r="C46" s="1273"/>
      <c r="D46" s="1273"/>
      <c r="E46" s="1307">
        <v>60</v>
      </c>
      <c r="F46" s="1034">
        <f>'D M S'!M100</f>
        <v>0</v>
      </c>
      <c r="G46" s="1308">
        <f>'D M S'!M101</f>
        <v>0</v>
      </c>
      <c r="H46" s="1034">
        <f>'D M S'!M102</f>
        <v>0</v>
      </c>
      <c r="I46" s="658">
        <v>5</v>
      </c>
      <c r="J46" s="653">
        <f t="shared" si="7"/>
        <v>300</v>
      </c>
      <c r="K46" s="1302">
        <f t="shared" si="8"/>
        <v>0</v>
      </c>
      <c r="L46" s="1302">
        <f t="shared" si="9"/>
        <v>0</v>
      </c>
      <c r="M46" s="1302">
        <f t="shared" si="10"/>
        <v>0</v>
      </c>
      <c r="N46" s="1303">
        <f t="shared" si="11"/>
        <v>0</v>
      </c>
      <c r="O46" s="1303">
        <f t="shared" si="12"/>
        <v>0</v>
      </c>
      <c r="P46" s="1303">
        <f>IF((G46+H46)=0,0,G46/(G46+H46))</f>
        <v>0</v>
      </c>
      <c r="Q46" s="653"/>
      <c r="R46" s="653"/>
      <c r="S46" s="654"/>
      <c r="T46" s="1024">
        <f t="shared" si="0"/>
        <v>0</v>
      </c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</row>
    <row r="47" spans="1:124" s="108" customFormat="1" ht="21" hidden="1" customHeight="1">
      <c r="A47" s="987"/>
      <c r="B47" s="1963" t="s">
        <v>193</v>
      </c>
      <c r="C47" s="1963"/>
      <c r="D47" s="1963"/>
      <c r="E47" s="1309">
        <f>SUM(E41:E46)</f>
        <v>360</v>
      </c>
      <c r="F47" s="1310">
        <f>SUM(F41:F46)</f>
        <v>0</v>
      </c>
      <c r="G47" s="1310">
        <f>SUM(G41:G46)</f>
        <v>0</v>
      </c>
      <c r="H47" s="1310">
        <f>SUM(H41:H46)</f>
        <v>0</v>
      </c>
      <c r="I47" s="1309"/>
      <c r="J47" s="1309">
        <f>SUM(J41:J46)</f>
        <v>1800</v>
      </c>
      <c r="K47" s="1311">
        <f>SUM(K41:K46)</f>
        <v>0</v>
      </c>
      <c r="L47" s="1309">
        <f>SUM(L41:L46)</f>
        <v>0</v>
      </c>
      <c r="M47" s="1309">
        <f>SUM(M41:M46)</f>
        <v>0</v>
      </c>
      <c r="N47" s="1309">
        <f>SUM(N41:N43)</f>
        <v>0</v>
      </c>
      <c r="O47" s="1309">
        <f>SUM(O41:O43)</f>
        <v>0</v>
      </c>
      <c r="P47" s="1309">
        <f>SUM(P41:P43)</f>
        <v>0</v>
      </c>
      <c r="Q47" s="1309">
        <f>SUM(Q41:Q46)</f>
        <v>0</v>
      </c>
      <c r="R47" s="1309">
        <f>SUM(R41:R46)</f>
        <v>0</v>
      </c>
      <c r="S47" s="1257">
        <f>SUM(S41:S46)</f>
        <v>0</v>
      </c>
      <c r="T47" s="1024">
        <f t="shared" si="0"/>
        <v>0</v>
      </c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</row>
    <row r="48" spans="1:124" s="113" customFormat="1" ht="30" hidden="1" customHeight="1">
      <c r="A48" s="1290"/>
      <c r="B48" s="1939" t="s">
        <v>193</v>
      </c>
      <c r="C48" s="1939"/>
      <c r="D48" s="1939"/>
      <c r="E48" s="1312">
        <f>E46+E45+E44+E43+E42+E41</f>
        <v>360</v>
      </c>
      <c r="F48" s="1313">
        <f>F46+F45+F44+F43+F42+F41</f>
        <v>0</v>
      </c>
      <c r="G48" s="1313">
        <f>G46+G45+G44+G43+G42+G41</f>
        <v>0</v>
      </c>
      <c r="H48" s="1313">
        <f>H46+H45+H44+H43+H42+H41</f>
        <v>0</v>
      </c>
      <c r="I48" s="1312"/>
      <c r="J48" s="1312">
        <f>J46+J45+J44+J43+J42+J41</f>
        <v>1800</v>
      </c>
      <c r="K48" s="1312">
        <f>K46+K45+K44+K43+K42+K41</f>
        <v>0</v>
      </c>
      <c r="L48" s="1312">
        <f>L46+L45+L44+L43+L42+L41</f>
        <v>0</v>
      </c>
      <c r="M48" s="1312">
        <f>M46+M45+M44+M43+M42+M41</f>
        <v>0</v>
      </c>
      <c r="N48" s="1312"/>
      <c r="O48" s="1312"/>
      <c r="P48" s="1312"/>
      <c r="Q48" s="1312">
        <f>Q46+Q45+Q44+Q43+Q42+Q41</f>
        <v>0</v>
      </c>
      <c r="R48" s="1312">
        <f>R46+R45+R44+R43+R42+R41</f>
        <v>0</v>
      </c>
      <c r="S48" s="1291">
        <f>S46+S45+S44+S43+S42+S41</f>
        <v>0</v>
      </c>
      <c r="T48" s="1024">
        <f t="shared" si="0"/>
        <v>0</v>
      </c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112"/>
      <c r="BS48" s="112"/>
      <c r="BT48" s="112"/>
      <c r="BU48" s="112"/>
      <c r="BV48" s="112"/>
      <c r="BW48" s="112"/>
      <c r="BX48" s="112"/>
      <c r="BY48" s="112"/>
      <c r="BZ48" s="112"/>
      <c r="CA48" s="112"/>
      <c r="CB48" s="112"/>
      <c r="CC48" s="112"/>
      <c r="CD48" s="112"/>
      <c r="CE48" s="112"/>
      <c r="CF48" s="112"/>
      <c r="CG48" s="112"/>
      <c r="CH48" s="112"/>
      <c r="CI48" s="112"/>
      <c r="CJ48" s="112"/>
      <c r="CK48" s="112"/>
      <c r="CL48" s="112"/>
      <c r="CM48" s="112"/>
      <c r="CN48" s="112"/>
      <c r="CO48" s="112"/>
      <c r="CP48" s="112"/>
      <c r="CQ48" s="112"/>
      <c r="CR48" s="112"/>
      <c r="CS48" s="112"/>
      <c r="CT48" s="112"/>
      <c r="CU48" s="112"/>
      <c r="CV48" s="112"/>
      <c r="CW48" s="112"/>
      <c r="CX48" s="112"/>
      <c r="CY48" s="112"/>
      <c r="CZ48" s="112"/>
      <c r="DA48" s="112"/>
      <c r="DB48" s="112"/>
      <c r="DC48" s="112"/>
      <c r="DD48" s="112"/>
      <c r="DE48" s="112"/>
      <c r="DF48" s="112"/>
      <c r="DG48" s="112"/>
      <c r="DH48" s="112"/>
      <c r="DI48" s="112"/>
      <c r="DJ48" s="112"/>
      <c r="DK48" s="112"/>
      <c r="DL48" s="112"/>
      <c r="DM48" s="112"/>
      <c r="DN48" s="112"/>
      <c r="DO48" s="112"/>
      <c r="DP48" s="112"/>
      <c r="DQ48" s="112"/>
      <c r="DR48" s="112"/>
      <c r="DS48" s="112"/>
      <c r="DT48" s="112"/>
    </row>
    <row r="49" spans="1:124" s="1289" customFormat="1" ht="23.25" customHeight="1">
      <c r="A49" s="1950" t="s">
        <v>137</v>
      </c>
      <c r="B49" s="1951"/>
      <c r="C49" s="1951"/>
      <c r="D49" s="1951"/>
      <c r="E49" s="1940"/>
      <c r="F49" s="1940"/>
      <c r="G49" s="1940"/>
      <c r="H49" s="1940"/>
      <c r="I49" s="1940"/>
      <c r="J49" s="1940"/>
      <c r="K49" s="1940"/>
      <c r="L49" s="1940"/>
      <c r="M49" s="1940"/>
      <c r="N49" s="1940"/>
      <c r="O49" s="1940"/>
      <c r="P49" s="1940"/>
      <c r="Q49" s="1940"/>
      <c r="R49" s="1940"/>
      <c r="S49" s="1941"/>
      <c r="T49" s="1287">
        <f t="shared" si="0"/>
        <v>0</v>
      </c>
      <c r="U49" s="1288"/>
      <c r="V49" s="1288"/>
      <c r="W49" s="1288"/>
      <c r="X49" s="1288"/>
      <c r="Y49" s="1288"/>
      <c r="Z49" s="1288"/>
      <c r="AA49" s="1288"/>
      <c r="AB49" s="1288"/>
      <c r="AC49" s="1288"/>
      <c r="AD49" s="1288"/>
      <c r="AE49" s="1288"/>
      <c r="AF49" s="1288"/>
      <c r="AG49" s="1288"/>
      <c r="AH49" s="1288"/>
      <c r="AI49" s="1288"/>
      <c r="AJ49" s="1288"/>
      <c r="AK49" s="1288"/>
      <c r="AL49" s="1288"/>
      <c r="AM49" s="1288"/>
      <c r="AN49" s="1288"/>
      <c r="AO49" s="1288"/>
      <c r="AP49" s="1288"/>
      <c r="AQ49" s="1288"/>
      <c r="AR49" s="1288"/>
      <c r="AS49" s="1288"/>
      <c r="AT49" s="1288"/>
      <c r="AU49" s="1288"/>
      <c r="AV49" s="1288"/>
      <c r="AW49" s="1288"/>
      <c r="AX49" s="1288"/>
      <c r="AY49" s="1288"/>
      <c r="AZ49" s="1288"/>
      <c r="BA49" s="1288"/>
      <c r="BB49" s="1288"/>
      <c r="BC49" s="1288"/>
      <c r="BD49" s="1288"/>
      <c r="BE49" s="1288"/>
      <c r="BF49" s="1288"/>
      <c r="BG49" s="1288"/>
      <c r="BH49" s="1288"/>
      <c r="BI49" s="1288"/>
      <c r="BJ49" s="1288"/>
      <c r="BK49" s="1288"/>
      <c r="BL49" s="1288"/>
      <c r="BM49" s="1288"/>
      <c r="BN49" s="1288"/>
      <c r="BO49" s="1288"/>
      <c r="BP49" s="1288"/>
      <c r="BQ49" s="1288"/>
      <c r="BR49" s="1288"/>
      <c r="BS49" s="1288"/>
      <c r="BT49" s="1288"/>
      <c r="BU49" s="1288"/>
      <c r="BV49" s="1288"/>
      <c r="BW49" s="1288"/>
      <c r="BX49" s="1288"/>
      <c r="BY49" s="1288"/>
      <c r="BZ49" s="1288"/>
      <c r="CA49" s="1288"/>
      <c r="CB49" s="1288"/>
      <c r="CC49" s="1288"/>
      <c r="CD49" s="1288"/>
      <c r="CE49" s="1288"/>
      <c r="CF49" s="1288"/>
      <c r="CG49" s="1288"/>
      <c r="CH49" s="1288"/>
      <c r="CI49" s="1288"/>
      <c r="CJ49" s="1288"/>
      <c r="CK49" s="1288"/>
      <c r="CL49" s="1288"/>
      <c r="CM49" s="1288"/>
      <c r="CN49" s="1288"/>
      <c r="CO49" s="1288"/>
      <c r="CP49" s="1288"/>
      <c r="CQ49" s="1288"/>
      <c r="CR49" s="1288"/>
      <c r="CS49" s="1288"/>
      <c r="CT49" s="1288"/>
      <c r="CU49" s="1288"/>
      <c r="CV49" s="1288"/>
      <c r="CW49" s="1288"/>
      <c r="CX49" s="1288"/>
      <c r="CY49" s="1288"/>
      <c r="CZ49" s="1288"/>
      <c r="DA49" s="1288"/>
      <c r="DB49" s="1288"/>
      <c r="DC49" s="1288"/>
      <c r="DD49" s="1288"/>
      <c r="DE49" s="1288"/>
      <c r="DF49" s="1288"/>
      <c r="DG49" s="1288"/>
      <c r="DH49" s="1288"/>
      <c r="DI49" s="1288"/>
      <c r="DJ49" s="1288"/>
      <c r="DK49" s="1288"/>
      <c r="DL49" s="1288"/>
      <c r="DM49" s="1288"/>
      <c r="DN49" s="1288"/>
      <c r="DO49" s="1288"/>
      <c r="DP49" s="1288"/>
      <c r="DQ49" s="1288"/>
      <c r="DR49" s="1288"/>
      <c r="DS49" s="1288"/>
      <c r="DT49" s="1288"/>
    </row>
    <row r="50" spans="1:124" s="95" customFormat="1" ht="24.75" customHeight="1">
      <c r="A50" s="1217">
        <v>1</v>
      </c>
      <c r="B50" s="1292" t="s">
        <v>137</v>
      </c>
      <c r="C50" s="1220"/>
      <c r="D50" s="1220"/>
      <c r="E50" s="1245">
        <v>10</v>
      </c>
      <c r="F50" s="1299">
        <f>'D M S'!M107</f>
        <v>0</v>
      </c>
      <c r="G50" s="1299">
        <f>'D M S'!M108</f>
        <v>0</v>
      </c>
      <c r="H50" s="1299">
        <f>'D M S'!M109</f>
        <v>0</v>
      </c>
      <c r="I50" s="1245">
        <v>5</v>
      </c>
      <c r="J50" s="686">
        <f t="shared" ref="J50:J55" si="13">I50*E50</f>
        <v>50</v>
      </c>
      <c r="K50" s="1300">
        <f t="shared" ref="K50:K55" si="14">F50*I50</f>
        <v>0</v>
      </c>
      <c r="L50" s="1300">
        <f t="shared" ref="L50:L55" si="15">I50*G50*0.15</f>
        <v>0</v>
      </c>
      <c r="M50" s="1300">
        <f t="shared" ref="M50:M55" si="16">I50*H50</f>
        <v>0</v>
      </c>
      <c r="N50" s="1301">
        <f t="shared" ref="N50:N55" si="17">F50/(E50)</f>
        <v>0</v>
      </c>
      <c r="O50" s="1301">
        <f>IF((F50+G50)=0,0,F50/(F50+G50))</f>
        <v>0</v>
      </c>
      <c r="P50" s="1301">
        <f>IF((G50+H50)=0,0,G50/(G50+H50))</f>
        <v>0</v>
      </c>
      <c r="Q50" s="1245"/>
      <c r="R50" s="1245"/>
      <c r="S50" s="1246">
        <f>'[6]w Machinery Ex'!$S$50</f>
        <v>0</v>
      </c>
      <c r="T50" s="1024">
        <f t="shared" si="0"/>
        <v>0</v>
      </c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</row>
    <row r="51" spans="1:124" s="95" customFormat="1" ht="24.75" hidden="1" customHeight="1">
      <c r="A51" s="985">
        <v>2</v>
      </c>
      <c r="B51" s="1275" t="s">
        <v>137</v>
      </c>
      <c r="C51" s="988"/>
      <c r="D51" s="1273"/>
      <c r="E51" s="658"/>
      <c r="F51" s="1034">
        <f>'D M S'!M110</f>
        <v>0</v>
      </c>
      <c r="G51" s="1034">
        <f>'D M S'!M111</f>
        <v>0</v>
      </c>
      <c r="H51" s="1034">
        <f>'D M S'!M112</f>
        <v>0</v>
      </c>
      <c r="I51" s="658">
        <v>5</v>
      </c>
      <c r="J51" s="653">
        <f t="shared" si="13"/>
        <v>0</v>
      </c>
      <c r="K51" s="1302">
        <f t="shared" si="14"/>
        <v>0</v>
      </c>
      <c r="L51" s="1302">
        <f t="shared" si="15"/>
        <v>0</v>
      </c>
      <c r="M51" s="1302">
        <f t="shared" si="16"/>
        <v>0</v>
      </c>
      <c r="N51" s="1303" t="e">
        <f t="shared" si="17"/>
        <v>#DIV/0!</v>
      </c>
      <c r="O51" s="1303">
        <f t="shared" ref="O51:O55" si="18">IF((F51+G51)=0,0,F51/(F51+G51))</f>
        <v>0</v>
      </c>
      <c r="P51" s="1303">
        <f>IF((G51+H51)=0,0,G51/(G51+H51))</f>
        <v>0</v>
      </c>
      <c r="Q51" s="658"/>
      <c r="R51" s="658"/>
      <c r="S51" s="659"/>
      <c r="T51" s="1024">
        <f t="shared" si="0"/>
        <v>0</v>
      </c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</row>
    <row r="52" spans="1:124" s="95" customFormat="1" ht="24" hidden="1" customHeight="1">
      <c r="A52" s="985">
        <v>3</v>
      </c>
      <c r="B52" s="1275" t="s">
        <v>137</v>
      </c>
      <c r="C52" s="1273"/>
      <c r="D52" s="1273"/>
      <c r="E52" s="658"/>
      <c r="F52" s="1034">
        <f>'D M S'!M113</f>
        <v>0</v>
      </c>
      <c r="G52" s="1034">
        <f>'D M S'!M114</f>
        <v>0</v>
      </c>
      <c r="H52" s="1034">
        <f>'D M S'!M115</f>
        <v>0</v>
      </c>
      <c r="I52" s="658">
        <v>5</v>
      </c>
      <c r="J52" s="653">
        <f t="shared" si="13"/>
        <v>0</v>
      </c>
      <c r="K52" s="1302">
        <f t="shared" si="14"/>
        <v>0</v>
      </c>
      <c r="L52" s="1302">
        <f t="shared" si="15"/>
        <v>0</v>
      </c>
      <c r="M52" s="1302">
        <f t="shared" si="16"/>
        <v>0</v>
      </c>
      <c r="N52" s="1303" t="e">
        <f t="shared" si="17"/>
        <v>#DIV/0!</v>
      </c>
      <c r="O52" s="1303">
        <f t="shared" si="18"/>
        <v>0</v>
      </c>
      <c r="P52" s="1303">
        <f>IF((G52+H52)=0,0,G52/(G52+H52))</f>
        <v>0</v>
      </c>
      <c r="Q52" s="653"/>
      <c r="R52" s="653"/>
      <c r="S52" s="654"/>
      <c r="T52" s="1024">
        <f t="shared" si="0"/>
        <v>0</v>
      </c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</row>
    <row r="53" spans="1:124" s="95" customFormat="1" ht="24" hidden="1" customHeight="1">
      <c r="A53" s="985">
        <v>4</v>
      </c>
      <c r="B53" s="1275" t="s">
        <v>137</v>
      </c>
      <c r="C53" s="1273"/>
      <c r="D53" s="1273"/>
      <c r="E53" s="658"/>
      <c r="F53" s="1034">
        <f>'D M S'!M116</f>
        <v>0</v>
      </c>
      <c r="G53" s="1034">
        <f>'D M S'!M117</f>
        <v>0</v>
      </c>
      <c r="H53" s="1034">
        <f>'D M S'!M118</f>
        <v>0</v>
      </c>
      <c r="I53" s="658">
        <v>5</v>
      </c>
      <c r="J53" s="653">
        <f t="shared" si="13"/>
        <v>0</v>
      </c>
      <c r="K53" s="1302">
        <f t="shared" si="14"/>
        <v>0</v>
      </c>
      <c r="L53" s="1302">
        <f t="shared" si="15"/>
        <v>0</v>
      </c>
      <c r="M53" s="1302">
        <f t="shared" si="16"/>
        <v>0</v>
      </c>
      <c r="N53" s="1303" t="e">
        <f t="shared" si="17"/>
        <v>#DIV/0!</v>
      </c>
      <c r="O53" s="1303">
        <f t="shared" si="18"/>
        <v>0</v>
      </c>
      <c r="P53" s="1303">
        <f>IF((G53+H53)=0,0,G53/(G53+H53))</f>
        <v>0</v>
      </c>
      <c r="Q53" s="658"/>
      <c r="R53" s="658"/>
      <c r="S53" s="659"/>
      <c r="T53" s="1024">
        <f t="shared" si="0"/>
        <v>0</v>
      </c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</row>
    <row r="54" spans="1:124" s="95" customFormat="1" ht="24" hidden="1" customHeight="1">
      <c r="A54" s="985">
        <v>5</v>
      </c>
      <c r="B54" s="1275" t="s">
        <v>137</v>
      </c>
      <c r="C54" s="1273"/>
      <c r="D54" s="1273"/>
      <c r="E54" s="658"/>
      <c r="F54" s="1034">
        <f>'D M S'!M119</f>
        <v>0</v>
      </c>
      <c r="G54" s="1034">
        <f>'D M S'!M120</f>
        <v>0</v>
      </c>
      <c r="H54" s="1034">
        <f>'D M S'!M118</f>
        <v>0</v>
      </c>
      <c r="I54" s="658">
        <v>5</v>
      </c>
      <c r="J54" s="653">
        <f t="shared" si="13"/>
        <v>0</v>
      </c>
      <c r="K54" s="1302">
        <f t="shared" si="14"/>
        <v>0</v>
      </c>
      <c r="L54" s="1302">
        <f t="shared" si="15"/>
        <v>0</v>
      </c>
      <c r="M54" s="1302">
        <f t="shared" si="16"/>
        <v>0</v>
      </c>
      <c r="N54" s="1303" t="e">
        <f t="shared" si="17"/>
        <v>#DIV/0!</v>
      </c>
      <c r="O54" s="1303">
        <f t="shared" si="18"/>
        <v>0</v>
      </c>
      <c r="P54" s="1303">
        <f>IF((G54+H54)=0,0,G54/(G54+H54))</f>
        <v>0</v>
      </c>
      <c r="Q54" s="653"/>
      <c r="R54" s="653"/>
      <c r="S54" s="654"/>
      <c r="T54" s="1024">
        <f t="shared" si="0"/>
        <v>0</v>
      </c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</row>
    <row r="55" spans="1:124" s="95" customFormat="1" ht="24" hidden="1" customHeight="1">
      <c r="A55" s="1206">
        <v>6</v>
      </c>
      <c r="B55" s="1207" t="s">
        <v>137</v>
      </c>
      <c r="C55" s="1209"/>
      <c r="D55" s="1209"/>
      <c r="E55" s="1316"/>
      <c r="F55" s="1317">
        <f>'D M S'!M122</f>
        <v>0</v>
      </c>
      <c r="G55" s="1317">
        <f>'D M S'!M123</f>
        <v>0</v>
      </c>
      <c r="H55" s="1317">
        <f>'D M S'!M124</f>
        <v>0</v>
      </c>
      <c r="I55" s="1316">
        <v>5</v>
      </c>
      <c r="J55" s="1215">
        <f t="shared" si="13"/>
        <v>0</v>
      </c>
      <c r="K55" s="1318">
        <f t="shared" si="14"/>
        <v>0</v>
      </c>
      <c r="L55" s="1318">
        <f t="shared" si="15"/>
        <v>0</v>
      </c>
      <c r="M55" s="1318">
        <f t="shared" si="16"/>
        <v>0</v>
      </c>
      <c r="N55" s="1319" t="e">
        <f t="shared" si="17"/>
        <v>#DIV/0!</v>
      </c>
      <c r="O55" s="1319">
        <f t="shared" si="18"/>
        <v>0</v>
      </c>
      <c r="P55" s="1319">
        <f>IF((G55+H55)=0,0,G55/(G55+H55))</f>
        <v>0</v>
      </c>
      <c r="Q55" s="1215"/>
      <c r="R55" s="1215"/>
      <c r="S55" s="1216"/>
      <c r="T55" s="1024">
        <f t="shared" si="0"/>
        <v>0</v>
      </c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</row>
    <row r="56" spans="1:124" s="104" customFormat="1" ht="22.5" customHeight="1">
      <c r="A56" s="1326"/>
      <c r="B56" s="1327" t="s">
        <v>193</v>
      </c>
      <c r="C56" s="1327"/>
      <c r="D56" s="1327"/>
      <c r="E56" s="1328">
        <f>SUM(E50:E55)</f>
        <v>10</v>
      </c>
      <c r="F56" s="1328">
        <f>SUM(F50:F55)</f>
        <v>0</v>
      </c>
      <c r="G56" s="1328">
        <f>G55+G54+G53+G52+G51+G50</f>
        <v>0</v>
      </c>
      <c r="H56" s="1328">
        <f>SUM(H50:H55)</f>
        <v>0</v>
      </c>
      <c r="I56" s="1328"/>
      <c r="J56" s="1328">
        <f>SUM(J50:J55)</f>
        <v>50</v>
      </c>
      <c r="K56" s="1329">
        <f>SUM(K50:K55)</f>
        <v>0</v>
      </c>
      <c r="L56" s="1329">
        <f>SUM(L50:L55)</f>
        <v>0</v>
      </c>
      <c r="M56" s="1329">
        <f>SUM(M50:M55)</f>
        <v>0</v>
      </c>
      <c r="N56" s="1330"/>
      <c r="O56" s="1330"/>
      <c r="P56" s="1330"/>
      <c r="Q56" s="1328">
        <f>SUM(Q50:Q55)</f>
        <v>0</v>
      </c>
      <c r="R56" s="1328">
        <f>SUM(R50:R55)</f>
        <v>0</v>
      </c>
      <c r="S56" s="1331">
        <f>SUM(S50:S55)</f>
        <v>0</v>
      </c>
      <c r="T56" s="1024">
        <f t="shared" si="0"/>
        <v>0</v>
      </c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</row>
    <row r="57" spans="1:124" s="115" customFormat="1" hidden="1">
      <c r="A57" s="1320"/>
      <c r="B57" s="1321" t="s">
        <v>198</v>
      </c>
      <c r="C57" s="1321"/>
      <c r="D57" s="1321"/>
      <c r="E57" s="1322"/>
      <c r="F57" s="1323"/>
      <c r="G57" s="1323"/>
      <c r="H57" s="1323"/>
      <c r="I57" s="1322"/>
      <c r="J57" s="1322"/>
      <c r="K57" s="1324"/>
      <c r="L57" s="1324"/>
      <c r="M57" s="1324"/>
      <c r="N57" s="1322"/>
      <c r="O57" s="1322"/>
      <c r="P57" s="1322"/>
      <c r="Q57" s="1322"/>
      <c r="R57" s="1322"/>
      <c r="S57" s="1325"/>
      <c r="T57" s="1024">
        <f t="shared" si="0"/>
        <v>0</v>
      </c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  <c r="BP57" s="114"/>
      <c r="BQ57" s="114"/>
      <c r="BR57" s="114"/>
      <c r="BS57" s="114"/>
      <c r="BT57" s="114"/>
      <c r="BU57" s="114"/>
      <c r="BV57" s="114"/>
      <c r="BW57" s="114"/>
      <c r="BX57" s="114"/>
      <c r="BY57" s="114"/>
      <c r="BZ57" s="114"/>
      <c r="CA57" s="114"/>
      <c r="CB57" s="114"/>
      <c r="CC57" s="114"/>
      <c r="CD57" s="114"/>
      <c r="CE57" s="114"/>
      <c r="CF57" s="114"/>
      <c r="CG57" s="114"/>
      <c r="CH57" s="114"/>
      <c r="CI57" s="114"/>
      <c r="CJ57" s="114"/>
      <c r="CK57" s="114"/>
      <c r="CL57" s="114"/>
      <c r="CM57" s="114"/>
      <c r="CN57" s="114"/>
      <c r="CO57" s="114"/>
      <c r="CP57" s="114"/>
      <c r="CQ57" s="114"/>
      <c r="CR57" s="114"/>
      <c r="CS57" s="114"/>
      <c r="CT57" s="114"/>
      <c r="CU57" s="114"/>
      <c r="CV57" s="114"/>
      <c r="CW57" s="114"/>
      <c r="CX57" s="114"/>
      <c r="CY57" s="114"/>
      <c r="CZ57" s="114"/>
      <c r="DA57" s="114"/>
      <c r="DB57" s="114"/>
      <c r="DC57" s="114"/>
      <c r="DD57" s="114"/>
      <c r="DE57" s="114"/>
      <c r="DF57" s="114"/>
      <c r="DG57" s="114"/>
      <c r="DH57" s="114"/>
      <c r="DI57" s="114"/>
      <c r="DJ57" s="114"/>
      <c r="DK57" s="114"/>
      <c r="DL57" s="114"/>
      <c r="DM57" s="114"/>
      <c r="DN57" s="114"/>
      <c r="DO57" s="114"/>
      <c r="DP57" s="114"/>
      <c r="DQ57" s="114"/>
      <c r="DR57" s="114"/>
      <c r="DS57" s="114"/>
      <c r="DT57" s="114"/>
    </row>
    <row r="58" spans="1:124" s="95" customFormat="1" ht="24" hidden="1" customHeight="1">
      <c r="A58" s="985">
        <v>1</v>
      </c>
      <c r="B58" s="1275" t="s">
        <v>198</v>
      </c>
      <c r="C58" s="1273"/>
      <c r="D58" s="1273"/>
      <c r="E58" s="653">
        <v>60</v>
      </c>
      <c r="F58" s="1034">
        <f>'D M S'!M103</f>
        <v>0</v>
      </c>
      <c r="G58" s="1034">
        <f>'D M S'!M104</f>
        <v>0</v>
      </c>
      <c r="H58" s="1034">
        <f>'D M S'!M105</f>
        <v>0</v>
      </c>
      <c r="I58" s="658">
        <v>5</v>
      </c>
      <c r="J58" s="653">
        <f>I58*E58</f>
        <v>300</v>
      </c>
      <c r="K58" s="1302">
        <f>F58*I58</f>
        <v>0</v>
      </c>
      <c r="L58" s="1302">
        <f>I58*G58*0.25</f>
        <v>0</v>
      </c>
      <c r="M58" s="1302">
        <f>I58*H58</f>
        <v>0</v>
      </c>
      <c r="N58" s="658"/>
      <c r="O58" s="658"/>
      <c r="P58" s="658"/>
      <c r="Q58" s="653"/>
      <c r="R58" s="653"/>
      <c r="S58" s="654"/>
      <c r="T58" s="1024">
        <f t="shared" si="0"/>
        <v>0</v>
      </c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90"/>
      <c r="CG58" s="90"/>
      <c r="CH58" s="90"/>
      <c r="CI58" s="90"/>
      <c r="CJ58" s="90"/>
      <c r="CK58" s="90"/>
      <c r="CL58" s="90"/>
      <c r="CM58" s="90"/>
      <c r="CN58" s="90"/>
      <c r="CO58" s="90"/>
      <c r="CP58" s="90"/>
      <c r="CQ58" s="90"/>
      <c r="CR58" s="90"/>
      <c r="CS58" s="90"/>
      <c r="CT58" s="90"/>
      <c r="CU58" s="90"/>
      <c r="CV58" s="90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</row>
    <row r="59" spans="1:124" s="104" customFormat="1" ht="30" hidden="1" customHeight="1">
      <c r="A59" s="1293"/>
      <c r="B59" s="1949" t="s">
        <v>193</v>
      </c>
      <c r="C59" s="1949"/>
      <c r="D59" s="1949"/>
      <c r="E59" s="1314"/>
      <c r="F59" s="1314">
        <f>F58</f>
        <v>0</v>
      </c>
      <c r="G59" s="1314">
        <f>G58</f>
        <v>0</v>
      </c>
      <c r="H59" s="1314">
        <f>H58</f>
        <v>0</v>
      </c>
      <c r="I59" s="1314"/>
      <c r="J59" s="1314">
        <f>SUM(J58)</f>
        <v>300</v>
      </c>
      <c r="K59" s="1315">
        <f>K58</f>
        <v>0</v>
      </c>
      <c r="L59" s="1315">
        <f>SUM(L58)</f>
        <v>0</v>
      </c>
      <c r="M59" s="1315">
        <f>SUM(M58)</f>
        <v>0</v>
      </c>
      <c r="N59" s="1314">
        <f>SUM(N58)</f>
        <v>0</v>
      </c>
      <c r="O59" s="1314">
        <f>SUM(O58)</f>
        <v>0</v>
      </c>
      <c r="P59" s="1314"/>
      <c r="Q59" s="1314">
        <f>Q58</f>
        <v>0</v>
      </c>
      <c r="R59" s="1314">
        <f>R58</f>
        <v>0</v>
      </c>
      <c r="S59" s="1294"/>
      <c r="T59" s="1024">
        <f t="shared" si="0"/>
        <v>0</v>
      </c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</row>
    <row r="60" spans="1:124" s="109" customFormat="1" ht="23.25" customHeight="1">
      <c r="A60" s="1913" t="s">
        <v>199</v>
      </c>
      <c r="B60" s="1914"/>
      <c r="C60" s="1914"/>
      <c r="D60" s="1914"/>
      <c r="E60" s="1933"/>
      <c r="F60" s="1933"/>
      <c r="G60" s="1933"/>
      <c r="H60" s="1933"/>
      <c r="I60" s="1933"/>
      <c r="J60" s="1933"/>
      <c r="K60" s="1933"/>
      <c r="L60" s="1933"/>
      <c r="M60" s="1933"/>
      <c r="N60" s="1933"/>
      <c r="O60" s="1933"/>
      <c r="P60" s="1933"/>
      <c r="Q60" s="1933"/>
      <c r="R60" s="1933"/>
      <c r="S60" s="1934"/>
      <c r="T60" s="1024">
        <f t="shared" si="0"/>
        <v>0</v>
      </c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01"/>
      <c r="AX60" s="101"/>
      <c r="AY60" s="101"/>
      <c r="AZ60" s="101"/>
      <c r="BA60" s="101"/>
      <c r="BB60" s="101"/>
      <c r="BC60" s="101"/>
      <c r="BD60" s="101"/>
      <c r="BE60" s="101"/>
      <c r="BF60" s="101"/>
      <c r="BG60" s="101"/>
      <c r="BH60" s="101"/>
      <c r="BI60" s="101"/>
      <c r="BJ60" s="101"/>
      <c r="BK60" s="101"/>
      <c r="BL60" s="101"/>
      <c r="BM60" s="101"/>
      <c r="BN60" s="101"/>
      <c r="BO60" s="101"/>
      <c r="BP60" s="101"/>
      <c r="BQ60" s="101"/>
      <c r="BR60" s="101"/>
      <c r="BS60" s="101"/>
      <c r="BT60" s="101"/>
      <c r="BU60" s="101"/>
      <c r="BV60" s="101"/>
      <c r="BW60" s="101"/>
      <c r="BX60" s="101"/>
      <c r="BY60" s="101"/>
      <c r="BZ60" s="101"/>
      <c r="CA60" s="101"/>
      <c r="CB60" s="101"/>
      <c r="CC60" s="101"/>
      <c r="CD60" s="101"/>
      <c r="CE60" s="101"/>
      <c r="CF60" s="101"/>
      <c r="CG60" s="101"/>
      <c r="CH60" s="101"/>
      <c r="CI60" s="101"/>
      <c r="CJ60" s="101"/>
      <c r="CK60" s="101"/>
      <c r="CL60" s="101"/>
      <c r="CM60" s="101"/>
      <c r="CN60" s="101"/>
      <c r="CO60" s="101"/>
      <c r="CP60" s="101"/>
      <c r="CQ60" s="101"/>
      <c r="CR60" s="101"/>
      <c r="CS60" s="101"/>
      <c r="CT60" s="101"/>
      <c r="CU60" s="101"/>
      <c r="CV60" s="101"/>
      <c r="CW60" s="101"/>
      <c r="CX60" s="101"/>
      <c r="CY60" s="101"/>
      <c r="CZ60" s="101"/>
      <c r="DA60" s="101"/>
      <c r="DB60" s="101"/>
      <c r="DC60" s="101"/>
      <c r="DD60" s="101"/>
      <c r="DE60" s="101"/>
      <c r="DF60" s="101"/>
      <c r="DG60" s="101"/>
      <c r="DH60" s="101"/>
      <c r="DI60" s="101"/>
      <c r="DJ60" s="101"/>
      <c r="DK60" s="101"/>
      <c r="DL60" s="101"/>
      <c r="DM60" s="101"/>
      <c r="DN60" s="101"/>
      <c r="DO60" s="101"/>
      <c r="DP60" s="101"/>
      <c r="DQ60" s="101"/>
      <c r="DR60" s="101"/>
      <c r="DS60" s="101"/>
      <c r="DT60" s="101"/>
    </row>
    <row r="61" spans="1:124" s="102" customFormat="1" ht="33">
      <c r="A61" s="1178">
        <v>1</v>
      </c>
      <c r="B61" s="1199" t="str">
        <f>'D M S'!B129</f>
        <v>Dump truck  (Genlyon)</v>
      </c>
      <c r="C61" s="1199" t="str">
        <f>'D M S'!C129</f>
        <v>3-ET-61220</v>
      </c>
      <c r="D61" s="1199" t="str">
        <f>'D M S'!D129</f>
        <v>Genlyon 380</v>
      </c>
      <c r="E61" s="1277">
        <f>10*6+8</f>
        <v>68</v>
      </c>
      <c r="F61" s="1162">
        <f>'D M S'!M129</f>
        <v>54</v>
      </c>
      <c r="G61" s="1162">
        <f>'D M S'!M130</f>
        <v>0</v>
      </c>
      <c r="H61" s="1162">
        <f>'D M S'!M131</f>
        <v>0</v>
      </c>
      <c r="I61" s="1164">
        <v>212.5</v>
      </c>
      <c r="J61" s="1164">
        <f>I61*E61</f>
        <v>14450</v>
      </c>
      <c r="K61" s="1165">
        <f>+I61*F61</f>
        <v>11475</v>
      </c>
      <c r="L61" s="1165">
        <f>I61*G61*0.15</f>
        <v>0</v>
      </c>
      <c r="M61" s="1165">
        <f>I61*H61</f>
        <v>0</v>
      </c>
      <c r="N61" s="1166">
        <f>F61/(E61)</f>
        <v>0.79411764705882348</v>
      </c>
      <c r="O61" s="1166">
        <f>IF((F61+G61)=0,0,F61/(F61+G61))</f>
        <v>1</v>
      </c>
      <c r="P61" s="1167">
        <f>(F61+G61)/(E61)</f>
        <v>0.79411764705882348</v>
      </c>
      <c r="Q61" s="1183">
        <v>10</v>
      </c>
      <c r="R61" s="1183">
        <f>F61*Q61</f>
        <v>540</v>
      </c>
      <c r="S61" s="1592">
        <f>'[8]w Machinery Ex'!$S61+'[2]w Machinery Ex'!$S61+'[3]w Machinery Ex'!$S61+'[9]w Machinery Ex'!$S61+'[5]w Machinery Ex'!$S61+'[6]w Machinery Ex'!$S61+'[7]w Machinery Ex'!$S61</f>
        <v>432</v>
      </c>
      <c r="T61" s="1024">
        <f t="shared" si="0"/>
        <v>680</v>
      </c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01"/>
      <c r="AX61" s="101"/>
      <c r="AY61" s="101"/>
      <c r="AZ61" s="101"/>
      <c r="BA61" s="101"/>
      <c r="BB61" s="101"/>
      <c r="BC61" s="101"/>
      <c r="BD61" s="101"/>
      <c r="BE61" s="101"/>
      <c r="BF61" s="101"/>
      <c r="BG61" s="101"/>
      <c r="BH61" s="101"/>
      <c r="BI61" s="101"/>
      <c r="BJ61" s="101"/>
      <c r="BK61" s="101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101"/>
      <c r="BY61" s="101"/>
      <c r="BZ61" s="101"/>
      <c r="CA61" s="101"/>
      <c r="CB61" s="101"/>
      <c r="CC61" s="101"/>
      <c r="CD61" s="101"/>
      <c r="CE61" s="101"/>
      <c r="CF61" s="101"/>
      <c r="CG61" s="101"/>
      <c r="CH61" s="101"/>
      <c r="CI61" s="101"/>
      <c r="CJ61" s="101"/>
      <c r="CK61" s="101"/>
      <c r="CL61" s="101"/>
      <c r="CM61" s="101"/>
      <c r="CN61" s="101"/>
      <c r="CO61" s="101"/>
      <c r="CP61" s="101"/>
      <c r="CQ61" s="101"/>
      <c r="CR61" s="101"/>
      <c r="CS61" s="101"/>
      <c r="CT61" s="101"/>
      <c r="CU61" s="101"/>
      <c r="CV61" s="101"/>
      <c r="CW61" s="101"/>
      <c r="CX61" s="101"/>
      <c r="CY61" s="101"/>
      <c r="CZ61" s="101"/>
      <c r="DA61" s="101"/>
      <c r="DB61" s="101"/>
      <c r="DC61" s="101"/>
      <c r="DD61" s="101"/>
      <c r="DE61" s="101"/>
      <c r="DF61" s="101"/>
      <c r="DG61" s="101"/>
      <c r="DH61" s="101"/>
      <c r="DI61" s="101"/>
      <c r="DJ61" s="101"/>
      <c r="DK61" s="101"/>
      <c r="DL61" s="101"/>
      <c r="DM61" s="101"/>
      <c r="DN61" s="101"/>
      <c r="DO61" s="101"/>
      <c r="DP61" s="101"/>
      <c r="DQ61" s="101"/>
      <c r="DR61" s="101"/>
      <c r="DS61" s="101"/>
      <c r="DT61" s="101"/>
    </row>
    <row r="62" spans="1:124" s="102" customFormat="1" ht="33">
      <c r="A62" s="986">
        <v>2</v>
      </c>
      <c r="B62" s="1358" t="str">
        <f>'D M S'!B132</f>
        <v xml:space="preserve">Small Dump Truck (Nissan) </v>
      </c>
      <c r="C62" s="1359" t="str">
        <f>'D M S'!C132</f>
        <v>3-ET-10467</v>
      </c>
      <c r="D62" s="1360" t="str">
        <f>'D M S'!D132</f>
        <v>Nissan</v>
      </c>
      <c r="E62" s="656">
        <f>8*7</f>
        <v>56</v>
      </c>
      <c r="F62" s="673">
        <f>'D M S'!M132</f>
        <v>0</v>
      </c>
      <c r="G62" s="673">
        <f>'D M S'!M133</f>
        <v>0</v>
      </c>
      <c r="H62" s="673">
        <f>'D M S'!M134</f>
        <v>48</v>
      </c>
      <c r="I62" s="656">
        <f>80*0.85</f>
        <v>68</v>
      </c>
      <c r="J62" s="656">
        <f>I62*E62</f>
        <v>3808</v>
      </c>
      <c r="K62" s="651">
        <f>+I62*F62</f>
        <v>0</v>
      </c>
      <c r="L62" s="651">
        <f>I62*G62*0.15</f>
        <v>0</v>
      </c>
      <c r="M62" s="651">
        <f>I62*H62</f>
        <v>3264</v>
      </c>
      <c r="N62" s="652">
        <f t="shared" ref="N62:N64" si="19">F62/(E62)</f>
        <v>0</v>
      </c>
      <c r="O62" s="652">
        <f t="shared" ref="O62:O63" si="20">IF((F62+G62)=0,0,F62/(F62+G62))</f>
        <v>0</v>
      </c>
      <c r="P62" s="652">
        <f>IF((G62+H62)=0,0,G62/(G62+H62))</f>
        <v>0</v>
      </c>
      <c r="Q62" s="653">
        <v>10</v>
      </c>
      <c r="R62" s="653">
        <f t="shared" ref="R62:R70" si="21">F62*Q62</f>
        <v>0</v>
      </c>
      <c r="S62" s="654">
        <f>'[8]w Machinery Ex'!$S62+'[2]w Machinery Ex'!$S62+'[3]w Machinery Ex'!$S62+'[9]w Machinery Ex'!$S62+'[5]w Machinery Ex'!$S62+'[6]w Machinery Ex'!$S62+'[7]w Machinery Ex'!$S62</f>
        <v>0</v>
      </c>
      <c r="T62" s="1024">
        <f t="shared" si="0"/>
        <v>560</v>
      </c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01"/>
      <c r="AX62" s="101"/>
      <c r="AY62" s="101"/>
      <c r="AZ62" s="101"/>
      <c r="BA62" s="101"/>
      <c r="BB62" s="101"/>
      <c r="BC62" s="101"/>
      <c r="BD62" s="101"/>
      <c r="BE62" s="101"/>
      <c r="BF62" s="101"/>
      <c r="BG62" s="101"/>
      <c r="BH62" s="101"/>
      <c r="BI62" s="101"/>
      <c r="BJ62" s="101"/>
      <c r="BK62" s="101"/>
      <c r="BL62" s="101"/>
      <c r="BM62" s="101"/>
      <c r="BN62" s="101"/>
      <c r="BO62" s="101"/>
      <c r="BP62" s="101"/>
      <c r="BQ62" s="101"/>
      <c r="BR62" s="101"/>
      <c r="BS62" s="101"/>
      <c r="BT62" s="101"/>
      <c r="BU62" s="101"/>
      <c r="BV62" s="101"/>
      <c r="BW62" s="101"/>
      <c r="BX62" s="101"/>
      <c r="BY62" s="101"/>
      <c r="BZ62" s="101"/>
      <c r="CA62" s="101"/>
      <c r="CB62" s="101"/>
      <c r="CC62" s="101"/>
      <c r="CD62" s="101"/>
      <c r="CE62" s="101"/>
      <c r="CF62" s="101"/>
      <c r="CG62" s="101"/>
      <c r="CH62" s="101"/>
      <c r="CI62" s="101"/>
      <c r="CJ62" s="101"/>
      <c r="CK62" s="101"/>
      <c r="CL62" s="101"/>
      <c r="CM62" s="101"/>
      <c r="CN62" s="101"/>
      <c r="CO62" s="101"/>
      <c r="CP62" s="101"/>
      <c r="CQ62" s="101"/>
      <c r="CR62" s="101"/>
      <c r="CS62" s="101"/>
      <c r="CT62" s="101"/>
      <c r="CU62" s="101"/>
      <c r="CV62" s="101"/>
      <c r="CW62" s="101"/>
      <c r="CX62" s="101"/>
      <c r="CY62" s="101"/>
      <c r="CZ62" s="101"/>
      <c r="DA62" s="101"/>
      <c r="DB62" s="101"/>
      <c r="DC62" s="101"/>
      <c r="DD62" s="101"/>
      <c r="DE62" s="101"/>
      <c r="DF62" s="101"/>
      <c r="DG62" s="101"/>
      <c r="DH62" s="101"/>
      <c r="DI62" s="101"/>
      <c r="DJ62" s="101"/>
      <c r="DK62" s="101"/>
      <c r="DL62" s="101"/>
      <c r="DM62" s="101"/>
      <c r="DN62" s="101"/>
      <c r="DO62" s="101"/>
      <c r="DP62" s="101"/>
      <c r="DQ62" s="101"/>
      <c r="DR62" s="101"/>
      <c r="DS62" s="101"/>
      <c r="DT62" s="101"/>
    </row>
    <row r="63" spans="1:124" s="117" customFormat="1" ht="27.75" customHeight="1" thickBot="1">
      <c r="A63" s="986">
        <v>3</v>
      </c>
      <c r="B63" s="1361" t="str">
        <f>'D M S'!B135</f>
        <v>Dump truck</v>
      </c>
      <c r="C63" s="1361" t="str">
        <f>'D M S'!C135</f>
        <v>3-ET-70117</v>
      </c>
      <c r="D63" s="1361" t="str">
        <f>'D M S'!D135</f>
        <v>SINOTRUCK</v>
      </c>
      <c r="E63" s="1026">
        <f>10*6+8</f>
        <v>68</v>
      </c>
      <c r="F63" s="673">
        <f>'D M S'!M135</f>
        <v>48</v>
      </c>
      <c r="G63" s="673">
        <f>'D M S'!M136</f>
        <v>10</v>
      </c>
      <c r="H63" s="673">
        <f>'D M S'!M137</f>
        <v>0</v>
      </c>
      <c r="I63" s="656">
        <v>212.5</v>
      </c>
      <c r="J63" s="656">
        <f>I63*E63</f>
        <v>14450</v>
      </c>
      <c r="K63" s="651">
        <f>+I63*F63</f>
        <v>10200</v>
      </c>
      <c r="L63" s="651">
        <f>I63*G63*0.15</f>
        <v>318.75</v>
      </c>
      <c r="M63" s="651">
        <f>I63*H63</f>
        <v>0</v>
      </c>
      <c r="N63" s="652">
        <f t="shared" si="19"/>
        <v>0.70588235294117652</v>
      </c>
      <c r="O63" s="652">
        <f t="shared" si="20"/>
        <v>0.82758620689655171</v>
      </c>
      <c r="P63" s="652">
        <f>IF((G63+H63)=0,0,G63/(G63+H63))</f>
        <v>1</v>
      </c>
      <c r="Q63" s="1362">
        <v>10</v>
      </c>
      <c r="R63" s="653">
        <f t="shared" si="21"/>
        <v>480</v>
      </c>
      <c r="S63" s="654">
        <f>'[8]w Machinery Ex'!$S63+'[2]w Machinery Ex'!$S63+'[3]w Machinery Ex'!$S63+'[9]w Machinery Ex'!$S63+'[5]w Machinery Ex'!$S63+'[6]w Machinery Ex'!$S63+'[7]w Machinery Ex'!$S63</f>
        <v>213</v>
      </c>
      <c r="T63" s="1024">
        <f t="shared" si="0"/>
        <v>680</v>
      </c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591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6"/>
      <c r="CI63" s="116"/>
      <c r="CJ63" s="116"/>
      <c r="CK63" s="116"/>
      <c r="CL63" s="116"/>
      <c r="CM63" s="116"/>
      <c r="CN63" s="116"/>
      <c r="CO63" s="116"/>
      <c r="CP63" s="116"/>
      <c r="CQ63" s="116"/>
      <c r="CR63" s="116"/>
      <c r="CS63" s="116"/>
      <c r="CT63" s="116"/>
      <c r="CU63" s="116"/>
      <c r="CV63" s="116"/>
      <c r="CW63" s="116"/>
      <c r="CX63" s="116"/>
      <c r="CY63" s="116"/>
      <c r="CZ63" s="116"/>
      <c r="DA63" s="116"/>
      <c r="DB63" s="116"/>
      <c r="DC63" s="116"/>
      <c r="DD63" s="116"/>
      <c r="DE63" s="116"/>
      <c r="DF63" s="116"/>
      <c r="DG63" s="116"/>
      <c r="DH63" s="116"/>
      <c r="DI63" s="116"/>
      <c r="DJ63" s="116"/>
      <c r="DK63" s="116"/>
      <c r="DL63" s="116"/>
      <c r="DM63" s="116"/>
      <c r="DN63" s="116"/>
      <c r="DO63" s="116"/>
      <c r="DP63" s="116"/>
      <c r="DQ63" s="116"/>
      <c r="DR63" s="116"/>
      <c r="DS63" s="116"/>
      <c r="DT63" s="116"/>
    </row>
    <row r="64" spans="1:124" s="117" customFormat="1" ht="28.5" hidden="1" customHeight="1" thickBot="1">
      <c r="A64" s="1036">
        <v>4</v>
      </c>
      <c r="B64" s="1361" t="str">
        <f>'D M S'!B138</f>
        <v>Dump truck</v>
      </c>
      <c r="C64" s="1361" t="str">
        <f>'D M S'!C138</f>
        <v>3-ET-57870</v>
      </c>
      <c r="D64" s="1361" t="str">
        <f>'D M S'!D138</f>
        <v>SINOTRUCK</v>
      </c>
      <c r="E64" s="1363">
        <f>10+10</f>
        <v>20</v>
      </c>
      <c r="F64" s="673">
        <f>'D M S'!M138</f>
        <v>0</v>
      </c>
      <c r="G64" s="673">
        <f>'D M S'!N139</f>
        <v>0</v>
      </c>
      <c r="H64" s="673">
        <f>'D M S'!O140</f>
        <v>0</v>
      </c>
      <c r="I64" s="656">
        <v>212.5</v>
      </c>
      <c r="J64" s="656">
        <f>I64*E64</f>
        <v>4250</v>
      </c>
      <c r="K64" s="651">
        <f>+I64*F64</f>
        <v>0</v>
      </c>
      <c r="L64" s="651">
        <f>I64*G64*0.15</f>
        <v>0</v>
      </c>
      <c r="M64" s="651">
        <f>I64*H64</f>
        <v>0</v>
      </c>
      <c r="N64" s="652">
        <f t="shared" si="19"/>
        <v>0</v>
      </c>
      <c r="O64" s="652">
        <f>IF((F64+G64)=0,0,F64/(F64+G64))</f>
        <v>0</v>
      </c>
      <c r="P64" s="652">
        <f>IF((G64+H64)=0,0,G64/(G64+H64))</f>
        <v>0</v>
      </c>
      <c r="Q64" s="1364">
        <v>10</v>
      </c>
      <c r="R64" s="653">
        <f t="shared" si="21"/>
        <v>0</v>
      </c>
      <c r="S64" s="654"/>
      <c r="T64" s="1024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116"/>
      <c r="BO64" s="116"/>
      <c r="BP64" s="116"/>
      <c r="BQ64" s="116"/>
      <c r="BR64" s="116"/>
      <c r="BS64" s="116"/>
      <c r="BT64" s="116"/>
      <c r="BU64" s="116"/>
      <c r="BV64" s="116"/>
      <c r="BW64" s="116"/>
      <c r="BX64" s="116"/>
      <c r="BY64" s="116"/>
      <c r="BZ64" s="116"/>
      <c r="CA64" s="116"/>
      <c r="CB64" s="116"/>
      <c r="CC64" s="116"/>
      <c r="CD64" s="116"/>
      <c r="CE64" s="116"/>
      <c r="CF64" s="116"/>
      <c r="CG64" s="116"/>
      <c r="CH64" s="116"/>
      <c r="CI64" s="116"/>
      <c r="CJ64" s="116"/>
      <c r="CK64" s="116"/>
      <c r="CL64" s="116"/>
      <c r="CM64" s="116"/>
      <c r="CN64" s="116"/>
      <c r="CO64" s="116"/>
      <c r="CP64" s="116"/>
      <c r="CQ64" s="116"/>
      <c r="CR64" s="116"/>
      <c r="CS64" s="116"/>
      <c r="CT64" s="116"/>
      <c r="CU64" s="116"/>
      <c r="CV64" s="116"/>
      <c r="CW64" s="116"/>
      <c r="CX64" s="116"/>
      <c r="CY64" s="116"/>
      <c r="CZ64" s="116"/>
      <c r="DA64" s="116"/>
      <c r="DB64" s="116"/>
      <c r="DC64" s="116"/>
      <c r="DD64" s="116"/>
      <c r="DE64" s="116"/>
      <c r="DF64" s="116"/>
      <c r="DG64" s="116"/>
      <c r="DH64" s="116"/>
      <c r="DI64" s="116"/>
      <c r="DJ64" s="116"/>
      <c r="DK64" s="116"/>
      <c r="DL64" s="116"/>
      <c r="DM64" s="116"/>
      <c r="DN64" s="116"/>
      <c r="DO64" s="116"/>
      <c r="DP64" s="116"/>
      <c r="DQ64" s="116"/>
      <c r="DR64" s="116"/>
      <c r="DS64" s="116"/>
      <c r="DT64" s="116"/>
    </row>
    <row r="65" spans="1:124" s="974" customFormat="1" ht="27.75" customHeight="1" thickBot="1">
      <c r="A65" s="975"/>
      <c r="B65" s="1943" t="s">
        <v>193</v>
      </c>
      <c r="C65" s="1943"/>
      <c r="D65" s="1943"/>
      <c r="E65" s="971">
        <f>SUM(E61:E63)</f>
        <v>192</v>
      </c>
      <c r="F65" s="971">
        <f>SUM(F61:F63)</f>
        <v>102</v>
      </c>
      <c r="G65" s="971">
        <f>SUM(G61:G63)</f>
        <v>10</v>
      </c>
      <c r="H65" s="971">
        <f>SUM(H61:H63)</f>
        <v>48</v>
      </c>
      <c r="I65" s="971"/>
      <c r="J65" s="976">
        <f>SUM(J61:J63)</f>
        <v>32708</v>
      </c>
      <c r="K65" s="972">
        <f>SUM(K61:K63)</f>
        <v>21675</v>
      </c>
      <c r="L65" s="972">
        <f>SUM(L61:L63)</f>
        <v>318.75</v>
      </c>
      <c r="M65" s="1128">
        <f>SUM(M61:M63)</f>
        <v>3264</v>
      </c>
      <c r="N65" s="971"/>
      <c r="O65" s="971"/>
      <c r="P65" s="971"/>
      <c r="Q65" s="973"/>
      <c r="R65" s="973">
        <f>SUM(R61:R63)</f>
        <v>1020</v>
      </c>
      <c r="S65" s="1255">
        <f>SUM(S61:S63)</f>
        <v>645</v>
      </c>
      <c r="T65" s="1278">
        <f>SUM(T61:T63)</f>
        <v>1920</v>
      </c>
    </row>
    <row r="66" spans="1:124" s="102" customFormat="1" ht="31.5" customHeight="1">
      <c r="A66" s="986">
        <v>1</v>
      </c>
      <c r="B66" s="1135" t="str">
        <f>'D M S'!B190</f>
        <v>Shower Truck</v>
      </c>
      <c r="C66" s="660" t="str">
        <f>'D M S'!C190</f>
        <v>3-ET-00821</v>
      </c>
      <c r="D66" s="660" t="str">
        <f>'D M S'!D190</f>
        <v>FIAT 682N3</v>
      </c>
      <c r="E66" s="1332">
        <f>8*7</f>
        <v>56</v>
      </c>
      <c r="F66" s="673">
        <f>'D M S'!M190</f>
        <v>40</v>
      </c>
      <c r="G66" s="673">
        <f>'D M S'!M191</f>
        <v>8</v>
      </c>
      <c r="H66" s="673">
        <f>'D M S'!M192</f>
        <v>0</v>
      </c>
      <c r="I66" s="656">
        <f>80*0.85</f>
        <v>68</v>
      </c>
      <c r="J66" s="656">
        <f>I66*E66</f>
        <v>3808</v>
      </c>
      <c r="K66" s="651">
        <f>+I66*F66</f>
        <v>2720</v>
      </c>
      <c r="L66" s="651">
        <f>I66*G66*0.15</f>
        <v>81.599999999999994</v>
      </c>
      <c r="M66" s="651">
        <f>H66*I66</f>
        <v>0</v>
      </c>
      <c r="N66" s="652">
        <f>F66/(E66)</f>
        <v>0.7142857142857143</v>
      </c>
      <c r="O66" s="652">
        <f>IF((F66+G66)=0,0,F66/(F66+G66))</f>
        <v>0.83333333333333337</v>
      </c>
      <c r="P66" s="1016">
        <f>(F66+G66)/(E66)</f>
        <v>0.8571428571428571</v>
      </c>
      <c r="Q66" s="653">
        <v>8</v>
      </c>
      <c r="R66" s="653">
        <f t="shared" si="21"/>
        <v>320</v>
      </c>
      <c r="S66" s="654">
        <f>'[8]w Machinery Ex'!$S65+'[2]w Machinery Ex'!$S65+'[3]w Machinery Ex'!$S65+'[9]w Machinery Ex'!$S65+'[5]w Machinery Ex'!$S65+'[6]w Machinery Ex'!$S65+'[7]w Machinery Ex'!$S65</f>
        <v>175</v>
      </c>
      <c r="T66" s="1024">
        <f t="shared" si="0"/>
        <v>448</v>
      </c>
      <c r="U66" s="118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101"/>
      <c r="BA66" s="101"/>
      <c r="BB66" s="101"/>
      <c r="BC66" s="101"/>
      <c r="BD66" s="101"/>
      <c r="BE66" s="101"/>
      <c r="BF66" s="101"/>
      <c r="BG66" s="101"/>
      <c r="BH66" s="101"/>
      <c r="BI66" s="101"/>
      <c r="BJ66" s="101"/>
      <c r="BK66" s="101"/>
      <c r="BL66" s="101"/>
      <c r="BM66" s="101"/>
      <c r="BN66" s="101"/>
      <c r="BO66" s="101"/>
      <c r="BP66" s="101"/>
      <c r="BQ66" s="101"/>
      <c r="BR66" s="101"/>
      <c r="BS66" s="101"/>
      <c r="BT66" s="101"/>
      <c r="BU66" s="101"/>
      <c r="BV66" s="101"/>
      <c r="BW66" s="101"/>
      <c r="BX66" s="101"/>
      <c r="BY66" s="101"/>
      <c r="BZ66" s="101"/>
      <c r="CA66" s="101"/>
      <c r="CB66" s="101"/>
      <c r="CC66" s="101"/>
      <c r="CD66" s="101"/>
      <c r="CE66" s="101"/>
      <c r="CF66" s="101"/>
      <c r="CG66" s="101"/>
      <c r="CH66" s="101"/>
      <c r="CI66" s="101"/>
      <c r="CJ66" s="101"/>
      <c r="CK66" s="101"/>
      <c r="CL66" s="101"/>
      <c r="CM66" s="101"/>
      <c r="CN66" s="101"/>
      <c r="CO66" s="101"/>
      <c r="CP66" s="101"/>
      <c r="CQ66" s="101"/>
      <c r="CR66" s="101"/>
      <c r="CS66" s="101"/>
      <c r="CT66" s="101"/>
      <c r="CU66" s="101"/>
      <c r="CV66" s="101"/>
      <c r="CW66" s="101"/>
      <c r="CX66" s="101"/>
      <c r="CY66" s="101"/>
      <c r="CZ66" s="101"/>
      <c r="DA66" s="101"/>
      <c r="DB66" s="101"/>
      <c r="DC66" s="101"/>
      <c r="DD66" s="101"/>
      <c r="DE66" s="101"/>
      <c r="DF66" s="101"/>
      <c r="DG66" s="101"/>
      <c r="DH66" s="101"/>
      <c r="DI66" s="101"/>
      <c r="DJ66" s="101"/>
      <c r="DK66" s="101"/>
      <c r="DL66" s="101"/>
      <c r="DM66" s="101"/>
      <c r="DN66" s="101"/>
      <c r="DO66" s="101"/>
      <c r="DP66" s="101"/>
      <c r="DQ66" s="101"/>
      <c r="DR66" s="101"/>
      <c r="DS66" s="101"/>
      <c r="DT66" s="101"/>
    </row>
    <row r="67" spans="1:124" s="102" customFormat="1" ht="31.5" customHeight="1">
      <c r="A67" s="986">
        <v>2</v>
      </c>
      <c r="B67" s="1135" t="s">
        <v>711</v>
      </c>
      <c r="C67" s="660" t="s">
        <v>712</v>
      </c>
      <c r="D67" s="660" t="s">
        <v>643</v>
      </c>
      <c r="E67" s="1332">
        <f>8*7</f>
        <v>56</v>
      </c>
      <c r="F67" s="673">
        <f>'D M S'!M193</f>
        <v>34</v>
      </c>
      <c r="G67" s="673">
        <f>'D M S'!M194</f>
        <v>8</v>
      </c>
      <c r="H67" s="673">
        <f>'D M S'!M195</f>
        <v>0</v>
      </c>
      <c r="I67" s="656">
        <f t="shared" ref="I67:I68" si="22">80*0.85</f>
        <v>68</v>
      </c>
      <c r="J67" s="656">
        <f>I67*E67</f>
        <v>3808</v>
      </c>
      <c r="K67" s="651">
        <f>+I67*F67</f>
        <v>2312</v>
      </c>
      <c r="L67" s="651">
        <f>I67*G67*0.15</f>
        <v>81.599999999999994</v>
      </c>
      <c r="M67" s="651">
        <f>H67*I67</f>
        <v>0</v>
      </c>
      <c r="N67" s="652">
        <f>F67/(E67)</f>
        <v>0.6071428571428571</v>
      </c>
      <c r="O67" s="652">
        <f>IF((F67+G67)=0,0,F67/(F67+G67))</f>
        <v>0.80952380952380953</v>
      </c>
      <c r="P67" s="1016">
        <f>(F67+G67)/(E67)</f>
        <v>0.75</v>
      </c>
      <c r="Q67" s="653">
        <v>8</v>
      </c>
      <c r="R67" s="653">
        <f t="shared" si="21"/>
        <v>272</v>
      </c>
      <c r="S67" s="654">
        <f>'[8]w Machinery Ex'!$S66+'[2]w Machinery Ex'!$S66+'[3]w Machinery Ex'!$S66+'[9]w Machinery Ex'!$S66+'[5]w Machinery Ex'!$S66+'[6]w Machinery Ex'!$S66+'[7]w Machinery Ex'!$S66</f>
        <v>91</v>
      </c>
      <c r="T67" s="1024">
        <f t="shared" si="0"/>
        <v>448</v>
      </c>
      <c r="U67" s="118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  <c r="AX67" s="101"/>
      <c r="AY67" s="101"/>
      <c r="AZ67" s="101"/>
      <c r="BA67" s="101"/>
      <c r="BB67" s="101"/>
      <c r="BC67" s="101"/>
      <c r="BD67" s="101"/>
      <c r="BE67" s="101"/>
      <c r="BF67" s="101"/>
      <c r="BG67" s="101"/>
      <c r="BH67" s="1591"/>
      <c r="BI67" s="101"/>
      <c r="BJ67" s="101"/>
      <c r="BK67" s="101"/>
      <c r="BL67" s="101"/>
      <c r="BM67" s="101"/>
      <c r="BN67" s="101"/>
      <c r="BO67" s="101"/>
      <c r="BP67" s="101"/>
      <c r="BQ67" s="101"/>
      <c r="BR67" s="101"/>
      <c r="BS67" s="101"/>
      <c r="BT67" s="101"/>
      <c r="BU67" s="101"/>
      <c r="BV67" s="101"/>
      <c r="BW67" s="101"/>
      <c r="BX67" s="101"/>
      <c r="BY67" s="101"/>
      <c r="BZ67" s="101"/>
      <c r="CA67" s="101"/>
      <c r="CB67" s="101"/>
      <c r="CC67" s="101"/>
      <c r="CD67" s="101"/>
      <c r="CE67" s="101"/>
      <c r="CF67" s="101"/>
      <c r="CG67" s="101"/>
      <c r="CH67" s="101"/>
      <c r="CI67" s="101"/>
      <c r="CJ67" s="101"/>
      <c r="CK67" s="101"/>
      <c r="CL67" s="101"/>
      <c r="CM67" s="101"/>
      <c r="CN67" s="101"/>
      <c r="CO67" s="101"/>
      <c r="CP67" s="101"/>
      <c r="CQ67" s="101"/>
      <c r="CR67" s="101"/>
      <c r="CS67" s="101"/>
      <c r="CT67" s="101"/>
      <c r="CU67" s="101"/>
      <c r="CV67" s="101"/>
      <c r="CW67" s="101"/>
      <c r="CX67" s="101"/>
      <c r="CY67" s="101"/>
      <c r="CZ67" s="101"/>
      <c r="DA67" s="101"/>
      <c r="DB67" s="101"/>
      <c r="DC67" s="101"/>
      <c r="DD67" s="101"/>
      <c r="DE67" s="101"/>
      <c r="DF67" s="101"/>
      <c r="DG67" s="101"/>
      <c r="DH67" s="101"/>
      <c r="DI67" s="101"/>
      <c r="DJ67" s="101"/>
      <c r="DK67" s="101"/>
      <c r="DL67" s="101"/>
      <c r="DM67" s="101"/>
      <c r="DN67" s="101"/>
      <c r="DO67" s="101"/>
      <c r="DP67" s="101"/>
      <c r="DQ67" s="101"/>
      <c r="DR67" s="101"/>
      <c r="DS67" s="101"/>
      <c r="DT67" s="101"/>
    </row>
    <row r="68" spans="1:124" s="102" customFormat="1" ht="31.5" customHeight="1" thickBot="1">
      <c r="A68" s="1036">
        <v>3</v>
      </c>
      <c r="B68" s="1135" t="s">
        <v>711</v>
      </c>
      <c r="C68" s="660" t="s">
        <v>752</v>
      </c>
      <c r="D68" s="660" t="s">
        <v>643</v>
      </c>
      <c r="E68" s="1332">
        <f>8*7</f>
        <v>56</v>
      </c>
      <c r="F68" s="1032">
        <f>'D M S'!M196</f>
        <v>30</v>
      </c>
      <c r="G68" s="1032">
        <f>'D M S'!M197</f>
        <v>3</v>
      </c>
      <c r="H68" s="1032">
        <f>'D M S'!M198</f>
        <v>0</v>
      </c>
      <c r="I68" s="656">
        <f t="shared" si="22"/>
        <v>68</v>
      </c>
      <c r="J68" s="656">
        <f>I68*E68</f>
        <v>3808</v>
      </c>
      <c r="K68" s="651">
        <f>+I68*F68</f>
        <v>2040</v>
      </c>
      <c r="L68" s="651">
        <f>I68*G68*0.15</f>
        <v>30.599999999999998</v>
      </c>
      <c r="M68" s="651">
        <f>H68*I68</f>
        <v>0</v>
      </c>
      <c r="N68" s="652">
        <f>F68/(E68)</f>
        <v>0.5357142857142857</v>
      </c>
      <c r="O68" s="652">
        <f>IF((F68+G68)=0,0,F68/(F68+G68))</f>
        <v>0.90909090909090906</v>
      </c>
      <c r="P68" s="1016">
        <f>(F68+G68)/(E68)</f>
        <v>0.5892857142857143</v>
      </c>
      <c r="Q68" s="1033">
        <v>8</v>
      </c>
      <c r="R68" s="1033">
        <f t="shared" si="21"/>
        <v>240</v>
      </c>
      <c r="S68" s="654">
        <f>'[8]w Machinery Ex'!$S67+'[2]w Machinery Ex'!$S67+'[3]w Machinery Ex'!$S67+'[9]w Machinery Ex'!$S67+'[5]w Machinery Ex'!$S67+'[6]w Machinery Ex'!$S67+'[7]w Machinery Ex'!$S67</f>
        <v>130</v>
      </c>
      <c r="T68" s="1024">
        <f t="shared" si="0"/>
        <v>448</v>
      </c>
      <c r="U68" s="118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101"/>
      <c r="BG68" s="101"/>
      <c r="BH68" s="1591"/>
      <c r="BI68" s="101"/>
      <c r="BJ68" s="101"/>
      <c r="BK68" s="101"/>
      <c r="BL68" s="101"/>
      <c r="BM68" s="101"/>
      <c r="BN68" s="101"/>
      <c r="BO68" s="101"/>
      <c r="BP68" s="101"/>
      <c r="BQ68" s="101"/>
      <c r="BR68" s="101"/>
      <c r="BS68" s="101"/>
      <c r="BT68" s="101"/>
      <c r="BU68" s="101"/>
      <c r="BV68" s="101"/>
      <c r="BW68" s="101"/>
      <c r="BX68" s="101"/>
      <c r="BY68" s="101"/>
      <c r="BZ68" s="101"/>
      <c r="CA68" s="101"/>
      <c r="CB68" s="101"/>
      <c r="CC68" s="101"/>
      <c r="CD68" s="101"/>
      <c r="CE68" s="101"/>
      <c r="CF68" s="101"/>
      <c r="CG68" s="101"/>
      <c r="CH68" s="101"/>
      <c r="CI68" s="101"/>
      <c r="CJ68" s="101"/>
      <c r="CK68" s="101"/>
      <c r="CL68" s="101"/>
      <c r="CM68" s="101"/>
      <c r="CN68" s="101"/>
      <c r="CO68" s="101"/>
      <c r="CP68" s="101"/>
      <c r="CQ68" s="101"/>
      <c r="CR68" s="101"/>
      <c r="CS68" s="101"/>
      <c r="CT68" s="101"/>
      <c r="CU68" s="101"/>
      <c r="CV68" s="101"/>
      <c r="CW68" s="101"/>
      <c r="CX68" s="101"/>
      <c r="CY68" s="101"/>
      <c r="CZ68" s="101"/>
      <c r="DA68" s="101"/>
      <c r="DB68" s="101"/>
      <c r="DC68" s="101"/>
      <c r="DD68" s="101"/>
      <c r="DE68" s="101"/>
      <c r="DF68" s="101"/>
      <c r="DG68" s="101"/>
      <c r="DH68" s="101"/>
      <c r="DI68" s="101"/>
      <c r="DJ68" s="101"/>
      <c r="DK68" s="101"/>
      <c r="DL68" s="101"/>
      <c r="DM68" s="101"/>
      <c r="DN68" s="101"/>
      <c r="DO68" s="101"/>
      <c r="DP68" s="101"/>
      <c r="DQ68" s="101"/>
      <c r="DR68" s="101"/>
      <c r="DS68" s="101"/>
      <c r="DT68" s="101"/>
    </row>
    <row r="69" spans="1:124" s="974" customFormat="1" ht="18.75" customHeight="1" thickBot="1">
      <c r="A69" s="975"/>
      <c r="B69" s="1272" t="s">
        <v>193</v>
      </c>
      <c r="C69" s="1272"/>
      <c r="D69" s="1272"/>
      <c r="E69" s="1127">
        <f>SUM(E66:E68)</f>
        <v>168</v>
      </c>
      <c r="F69" s="971">
        <f>SUM(F66:F68)</f>
        <v>104</v>
      </c>
      <c r="G69" s="971">
        <f>SUM(G66:G68)</f>
        <v>19</v>
      </c>
      <c r="H69" s="971">
        <f>SUM(H66:H68)</f>
        <v>0</v>
      </c>
      <c r="I69" s="971"/>
      <c r="J69" s="976">
        <f>SUM(J66:J68)</f>
        <v>11424</v>
      </c>
      <c r="K69" s="976">
        <f t="shared" ref="K69" si="23">SUM(K66:K68)</f>
        <v>7072</v>
      </c>
      <c r="L69" s="976">
        <f t="shared" ref="L69" si="24">SUM(L66:L68)</f>
        <v>193.79999999999998</v>
      </c>
      <c r="M69" s="976">
        <f t="shared" ref="M69" si="25">SUM(M66:M68)</f>
        <v>0</v>
      </c>
      <c r="N69" s="971">
        <f>SUM(N66:N68)</f>
        <v>1.8571428571428572</v>
      </c>
      <c r="O69" s="971">
        <f>SUM(O66:O68)</f>
        <v>2.551948051948052</v>
      </c>
      <c r="P69" s="971">
        <f>SUM(P66:P68)</f>
        <v>2.1964285714285716</v>
      </c>
      <c r="Q69" s="973"/>
      <c r="R69" s="973">
        <f>SUM(R66:R68)</f>
        <v>832</v>
      </c>
      <c r="S69" s="1255">
        <f>SUM(S66:S68)</f>
        <v>396</v>
      </c>
      <c r="T69" s="1278">
        <f>SUM(T66:T68)</f>
        <v>1344</v>
      </c>
    </row>
    <row r="70" spans="1:124" s="102" customFormat="1" ht="35.25" customHeight="1" thickBot="1">
      <c r="A70" s="986">
        <v>1</v>
      </c>
      <c r="B70" s="1270" t="s">
        <v>720</v>
      </c>
      <c r="C70" s="660">
        <f>'D M S'!C220</f>
        <v>63495</v>
      </c>
      <c r="D70" s="660" t="str">
        <f>'D M S'!D220</f>
        <v>Genlyon 380</v>
      </c>
      <c r="E70" s="1026"/>
      <c r="F70" s="673">
        <f>'D M S'!M220</f>
        <v>0</v>
      </c>
      <c r="G70" s="673">
        <f>'D M S'!M221</f>
        <v>0</v>
      </c>
      <c r="H70" s="981">
        <f>'D M S'!M222</f>
        <v>0</v>
      </c>
      <c r="I70" s="656">
        <v>255</v>
      </c>
      <c r="J70" s="656">
        <f>I70*E70</f>
        <v>0</v>
      </c>
      <c r="K70" s="651">
        <f>+I70*F70</f>
        <v>0</v>
      </c>
      <c r="L70" s="651">
        <f>I70*G70*0.15</f>
        <v>0</v>
      </c>
      <c r="M70" s="651">
        <f>H70*I70</f>
        <v>0</v>
      </c>
      <c r="N70" s="652"/>
      <c r="O70" s="663">
        <f t="shared" ref="O70" si="26">IF((F70+G70)=0,0,F70/(F70+G70))</f>
        <v>0</v>
      </c>
      <c r="P70" s="1016"/>
      <c r="Q70" s="653">
        <v>15</v>
      </c>
      <c r="R70" s="653">
        <f t="shared" si="21"/>
        <v>0</v>
      </c>
      <c r="S70" s="654">
        <f>'[8]w Machinery Ex'!$S69+'[2]w Machinery Ex'!$S69+'[3]w Machinery Ex'!$S69+'[9]w Machinery Ex'!$S69+'[5]w Machinery Ex'!$S69+'[6]w Machinery Ex'!$S69+'[7]w Machinery Ex'!$S69</f>
        <v>0</v>
      </c>
      <c r="T70" s="1024">
        <f t="shared" si="0"/>
        <v>0</v>
      </c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  <c r="BA70" s="101"/>
      <c r="BB70" s="101"/>
      <c r="BC70" s="101"/>
      <c r="BD70" s="101"/>
      <c r="BE70" s="101"/>
      <c r="BF70" s="101"/>
      <c r="BG70" s="101"/>
      <c r="BH70" s="101"/>
      <c r="BI70" s="101"/>
      <c r="BJ70" s="101"/>
      <c r="BK70" s="101"/>
      <c r="BL70" s="101"/>
      <c r="BM70" s="101"/>
      <c r="BN70" s="101"/>
      <c r="BO70" s="101"/>
      <c r="BP70" s="101"/>
      <c r="BQ70" s="101"/>
      <c r="BR70" s="101"/>
      <c r="BS70" s="101"/>
      <c r="BT70" s="101"/>
      <c r="BU70" s="101"/>
      <c r="BV70" s="101"/>
      <c r="BW70" s="101"/>
      <c r="BX70" s="101"/>
      <c r="BY70" s="101"/>
      <c r="BZ70" s="101"/>
      <c r="CA70" s="101"/>
      <c r="CB70" s="101"/>
      <c r="CC70" s="101"/>
      <c r="CD70" s="101"/>
      <c r="CE70" s="101"/>
      <c r="CF70" s="101"/>
      <c r="CG70" s="101"/>
      <c r="CH70" s="101"/>
      <c r="CI70" s="101"/>
      <c r="CJ70" s="101"/>
      <c r="CK70" s="101"/>
      <c r="CL70" s="101"/>
      <c r="CM70" s="101"/>
      <c r="CN70" s="101"/>
      <c r="CO70" s="101"/>
      <c r="CP70" s="101"/>
      <c r="CQ70" s="101"/>
      <c r="CR70" s="101"/>
      <c r="CS70" s="101"/>
      <c r="CT70" s="101"/>
      <c r="CU70" s="101"/>
      <c r="CV70" s="101"/>
      <c r="CW70" s="101"/>
      <c r="CX70" s="101"/>
      <c r="CY70" s="101"/>
      <c r="CZ70" s="101"/>
      <c r="DA70" s="101"/>
      <c r="DB70" s="101"/>
      <c r="DC70" s="101"/>
      <c r="DD70" s="101"/>
      <c r="DE70" s="101"/>
      <c r="DF70" s="101"/>
      <c r="DG70" s="101"/>
      <c r="DH70" s="101"/>
      <c r="DI70" s="101"/>
      <c r="DJ70" s="101"/>
      <c r="DK70" s="101"/>
      <c r="DL70" s="101"/>
      <c r="DM70" s="101"/>
      <c r="DN70" s="101"/>
      <c r="DO70" s="101"/>
      <c r="DP70" s="101"/>
      <c r="DQ70" s="101"/>
      <c r="DR70" s="101"/>
      <c r="DS70" s="101"/>
      <c r="DT70" s="101"/>
    </row>
    <row r="71" spans="1:124" s="645" customFormat="1" ht="21.75" customHeight="1" thickBot="1">
      <c r="A71" s="671"/>
      <c r="B71" s="1948" t="s">
        <v>193</v>
      </c>
      <c r="C71" s="1948"/>
      <c r="D71" s="1948"/>
      <c r="E71" s="668">
        <f t="shared" ref="E71:M71" si="27">SUM(E70:E70)</f>
        <v>0</v>
      </c>
      <c r="F71" s="674">
        <f t="shared" si="27"/>
        <v>0</v>
      </c>
      <c r="G71" s="674">
        <f t="shared" si="27"/>
        <v>0</v>
      </c>
      <c r="H71" s="674">
        <f t="shared" si="27"/>
        <v>0</v>
      </c>
      <c r="I71" s="668">
        <f t="shared" si="27"/>
        <v>255</v>
      </c>
      <c r="J71" s="668">
        <f t="shared" si="27"/>
        <v>0</v>
      </c>
      <c r="K71" s="669">
        <f t="shared" si="27"/>
        <v>0</v>
      </c>
      <c r="L71" s="669">
        <f t="shared" si="27"/>
        <v>0</v>
      </c>
      <c r="M71" s="1130">
        <f t="shared" si="27"/>
        <v>0</v>
      </c>
      <c r="N71" s="668"/>
      <c r="O71" s="668"/>
      <c r="P71" s="668"/>
      <c r="Q71" s="670"/>
      <c r="R71" s="670">
        <f>SUM(R70)</f>
        <v>0</v>
      </c>
      <c r="S71" s="1256">
        <f>SUM(S70)</f>
        <v>0</v>
      </c>
      <c r="T71" s="1279">
        <f>SUM(T70)</f>
        <v>0</v>
      </c>
    </row>
    <row r="72" spans="1:124" s="94" customFormat="1" ht="23.25" customHeight="1">
      <c r="A72" s="1959" t="s">
        <v>201</v>
      </c>
      <c r="B72" s="1960"/>
      <c r="C72" s="1960"/>
      <c r="D72" s="1960"/>
      <c r="E72" s="991"/>
      <c r="F72" s="989"/>
      <c r="G72" s="989"/>
      <c r="H72" s="989"/>
      <c r="I72" s="991"/>
      <c r="J72" s="991"/>
      <c r="K72" s="990"/>
      <c r="L72" s="990"/>
      <c r="M72" s="990"/>
      <c r="N72" s="991"/>
      <c r="O72" s="991"/>
      <c r="P72" s="991"/>
      <c r="Q72" s="991"/>
      <c r="R72" s="991"/>
      <c r="S72" s="1268"/>
      <c r="T72" s="1024">
        <f t="shared" si="0"/>
        <v>0</v>
      </c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</row>
    <row r="73" spans="1:124" s="95" customFormat="1" ht="21" customHeight="1" thickBot="1">
      <c r="A73" s="985">
        <v>1</v>
      </c>
      <c r="B73" s="664" t="s">
        <v>157</v>
      </c>
      <c r="C73" s="660" t="str">
        <f>'D M S'!C239</f>
        <v>10250</v>
      </c>
      <c r="D73" s="660" t="str">
        <f>'D M S'!D239</f>
        <v>Pickup</v>
      </c>
      <c r="E73" s="1026">
        <f>(10*7)</f>
        <v>70</v>
      </c>
      <c r="F73" s="673">
        <f>'D M S'!M239</f>
        <v>70</v>
      </c>
      <c r="G73" s="673">
        <f>'D M S'!M240</f>
        <v>0</v>
      </c>
      <c r="H73" s="673">
        <f>'D M S'!M241</f>
        <v>0</v>
      </c>
      <c r="I73" s="655">
        <v>119</v>
      </c>
      <c r="J73" s="656">
        <f>I73*E73</f>
        <v>8330</v>
      </c>
      <c r="K73" s="651">
        <f>+I73*F73</f>
        <v>8330</v>
      </c>
      <c r="L73" s="651">
        <f>I73*G73*0.15</f>
        <v>0</v>
      </c>
      <c r="M73" s="651">
        <f>I73*H73</f>
        <v>0</v>
      </c>
      <c r="N73" s="652">
        <f>F73/(E73)</f>
        <v>1</v>
      </c>
      <c r="O73" s="652">
        <f>IF((F73+G73)=0,0,F73/(F73+G73))</f>
        <v>1</v>
      </c>
      <c r="P73" s="1016">
        <f>(F73+G73)/(E73)</f>
        <v>1</v>
      </c>
      <c r="Q73" s="653">
        <v>4</v>
      </c>
      <c r="R73" s="653">
        <f t="shared" ref="R73:R77" si="28">F73*Q73</f>
        <v>280</v>
      </c>
      <c r="S73" s="654">
        <f>'[8]w Machinery Ex'!$S$72+'[2]w Machinery Ex'!$S$72+'[3]w Machinery Ex'!$S$72+'[9]w Machinery Ex'!$S$72+'[5]w Machinery Ex'!$S$72+'[6]w Machinery Ex'!$S$72+'[7]w Machinery Ex'!$S$72</f>
        <v>0</v>
      </c>
      <c r="T73" s="1024">
        <f t="shared" si="0"/>
        <v>280</v>
      </c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</row>
    <row r="74" spans="1:124" s="95" customFormat="1" ht="21" hidden="1" customHeight="1">
      <c r="A74" s="985">
        <v>2</v>
      </c>
      <c r="B74" s="1275" t="s">
        <v>157</v>
      </c>
      <c r="C74" s="988" t="s">
        <v>782</v>
      </c>
      <c r="D74" s="1273" t="str">
        <f>'D M S'!D248</f>
        <v>Pickup</v>
      </c>
      <c r="E74" s="1271"/>
      <c r="F74" s="673">
        <f>'D M S'!M248</f>
        <v>0</v>
      </c>
      <c r="G74" s="673">
        <f>'D M S'!M249</f>
        <v>0</v>
      </c>
      <c r="H74" s="673">
        <f>'D M S'!M250</f>
        <v>0</v>
      </c>
      <c r="I74" s="655">
        <v>119</v>
      </c>
      <c r="J74" s="656">
        <f>I74*E74</f>
        <v>0</v>
      </c>
      <c r="K74" s="651">
        <f>+I74*F74</f>
        <v>0</v>
      </c>
      <c r="L74" s="651">
        <f>I74*G74*0.15</f>
        <v>0</v>
      </c>
      <c r="M74" s="651">
        <f>I74*H74</f>
        <v>0</v>
      </c>
      <c r="N74" s="652"/>
      <c r="O74" s="652"/>
      <c r="P74" s="652"/>
      <c r="Q74" s="653"/>
      <c r="R74" s="653">
        <f t="shared" si="28"/>
        <v>0</v>
      </c>
      <c r="S74" s="654"/>
      <c r="T74" s="1024">
        <f t="shared" si="0"/>
        <v>0</v>
      </c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</row>
    <row r="75" spans="1:124" s="95" customFormat="1" ht="21" hidden="1" customHeight="1" thickBot="1">
      <c r="A75" s="985">
        <v>3</v>
      </c>
      <c r="B75" s="1275" t="s">
        <v>157</v>
      </c>
      <c r="C75" s="1273">
        <v>51307</v>
      </c>
      <c r="D75" s="1573" t="s">
        <v>158</v>
      </c>
      <c r="E75" s="1271"/>
      <c r="F75" s="673">
        <f>'D M S'!M251</f>
        <v>0</v>
      </c>
      <c r="G75" s="673">
        <f>'D M S'!M252</f>
        <v>0</v>
      </c>
      <c r="H75" s="673">
        <f>'D M S'!M253</f>
        <v>0</v>
      </c>
      <c r="I75" s="655">
        <v>113.75</v>
      </c>
      <c r="J75" s="656">
        <f>I75*E75</f>
        <v>0</v>
      </c>
      <c r="K75" s="651">
        <f>+I75*F75</f>
        <v>0</v>
      </c>
      <c r="L75" s="651">
        <f>I75*G75*0.15</f>
        <v>0</v>
      </c>
      <c r="M75" s="651">
        <f>I75*H75</f>
        <v>0</v>
      </c>
      <c r="N75" s="652"/>
      <c r="O75" s="652">
        <f t="shared" ref="O75:O77" si="29">IF((F75+G75)=0,0,F75/(F75+G75))</f>
        <v>0</v>
      </c>
      <c r="P75" s="652">
        <f>IF((G75+H75)=0,0,G75/(G75+H75))</f>
        <v>0</v>
      </c>
      <c r="Q75" s="653">
        <v>4</v>
      </c>
      <c r="R75" s="653">
        <f t="shared" si="28"/>
        <v>0</v>
      </c>
      <c r="S75" s="654">
        <f>'[8]w Machinery Ex'!$S75+'[2]w Machinery Ex'!$S75+'[3]w Machinery Ex'!$S75+'[9]w Machinery Ex'!$S75+'[5]w Machinery Ex'!$S75+'[6]w Machinery Ex'!$S75+'[7]w Machinery Ex'!$S75</f>
        <v>0</v>
      </c>
      <c r="T75" s="1024">
        <f t="shared" si="0"/>
        <v>0</v>
      </c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90"/>
      <c r="CK75" s="90"/>
      <c r="CL75" s="90"/>
      <c r="CM75" s="90"/>
      <c r="CN75" s="90"/>
      <c r="CO75" s="90"/>
      <c r="CP75" s="90"/>
      <c r="CQ75" s="90"/>
      <c r="CR75" s="90"/>
      <c r="CS75" s="90"/>
      <c r="CT75" s="90"/>
      <c r="CU75" s="90"/>
      <c r="CV75" s="90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90"/>
      <c r="DL75" s="90"/>
      <c r="DM75" s="90"/>
      <c r="DN75" s="90"/>
      <c r="DO75" s="90"/>
      <c r="DP75" s="90"/>
      <c r="DQ75" s="90"/>
      <c r="DR75" s="90"/>
      <c r="DS75" s="90"/>
      <c r="DT75" s="90"/>
    </row>
    <row r="76" spans="1:124" s="95" customFormat="1" hidden="1">
      <c r="A76" s="985">
        <v>4</v>
      </c>
      <c r="B76" s="1275" t="s">
        <v>157</v>
      </c>
      <c r="C76" s="1273">
        <f>'D M S'!C257</f>
        <v>46767</v>
      </c>
      <c r="D76" s="1273" t="str">
        <f>'D M S'!D257</f>
        <v>Pickup</v>
      </c>
      <c r="E76" s="1271"/>
      <c r="F76" s="673">
        <f>'D M S'!M248</f>
        <v>0</v>
      </c>
      <c r="G76" s="673">
        <f>'D M S'!M249</f>
        <v>0</v>
      </c>
      <c r="H76" s="673">
        <f>'D M S'!M250</f>
        <v>0</v>
      </c>
      <c r="I76" s="655">
        <v>113.75</v>
      </c>
      <c r="J76" s="656">
        <f>I76*E76</f>
        <v>0</v>
      </c>
      <c r="K76" s="651">
        <f>+I76*F76</f>
        <v>0</v>
      </c>
      <c r="L76" s="651">
        <f>I76*G76*0.15</f>
        <v>0</v>
      </c>
      <c r="M76" s="651">
        <f>I76*H76</f>
        <v>0</v>
      </c>
      <c r="N76" s="652"/>
      <c r="O76" s="652">
        <f t="shared" si="29"/>
        <v>0</v>
      </c>
      <c r="P76" s="652">
        <f>IF((G76+H76)=0,0,G76/(G76+H76))</f>
        <v>0</v>
      </c>
      <c r="Q76" s="653">
        <v>4</v>
      </c>
      <c r="R76" s="653">
        <f t="shared" si="28"/>
        <v>0</v>
      </c>
      <c r="S76" s="654" t="e">
        <f>'[1]w Machinery Ex'!$S75+'[2]w Machinery Ex'!$S75+'[3]w Machinery Ex'!$S75+'[4]w Machinery Ex'!$S75+'[5]w Machinery Ex'!$S75+'[6]w Machinery Ex'!$S75+'[7]w Machinery Ex'!$S75</f>
        <v>#REF!</v>
      </c>
      <c r="T76" s="1024">
        <f t="shared" si="0"/>
        <v>0</v>
      </c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</row>
    <row r="77" spans="1:124" s="95" customFormat="1" ht="21" hidden="1" thickBot="1">
      <c r="A77" s="985">
        <v>5</v>
      </c>
      <c r="B77" s="1275" t="s">
        <v>157</v>
      </c>
      <c r="C77" s="1273">
        <f>'D M S'!C260</f>
        <v>46799</v>
      </c>
      <c r="D77" s="1273" t="str">
        <f>'D M S'!D260</f>
        <v>Land cruizer</v>
      </c>
      <c r="E77" s="1271"/>
      <c r="F77" s="673">
        <f>'D M S'!M251</f>
        <v>0</v>
      </c>
      <c r="G77" s="673">
        <f>'D M S'!M252</f>
        <v>0</v>
      </c>
      <c r="H77" s="673">
        <f>'D M S'!M253</f>
        <v>0</v>
      </c>
      <c r="I77" s="655">
        <v>113.75</v>
      </c>
      <c r="J77" s="656">
        <f>I77*E77</f>
        <v>0</v>
      </c>
      <c r="K77" s="651">
        <f>+I77*F77</f>
        <v>0</v>
      </c>
      <c r="L77" s="651">
        <f>I77*G77*0.15</f>
        <v>0</v>
      </c>
      <c r="M77" s="651">
        <f>I77*H77</f>
        <v>0</v>
      </c>
      <c r="N77" s="652"/>
      <c r="O77" s="652">
        <f t="shared" si="29"/>
        <v>0</v>
      </c>
      <c r="P77" s="652">
        <f>IF((G77+H77)=0,0,G77/(G77+H77))</f>
        <v>0</v>
      </c>
      <c r="Q77" s="653">
        <v>4</v>
      </c>
      <c r="R77" s="653">
        <f t="shared" si="28"/>
        <v>0</v>
      </c>
      <c r="S77" s="654" t="e">
        <f>'[1]w Machinery Ex'!$S76+'[2]w Machinery Ex'!$S76+'[3]w Machinery Ex'!$S76+'[4]w Machinery Ex'!$S76+'[5]w Machinery Ex'!$S76+'[6]w Machinery Ex'!$S76+'[7]w Machinery Ex'!$S76</f>
        <v>#REF!</v>
      </c>
      <c r="T77" s="1024">
        <f t="shared" si="0"/>
        <v>0</v>
      </c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90"/>
      <c r="CK77" s="90"/>
      <c r="CL77" s="90"/>
      <c r="CM77" s="90"/>
      <c r="CN77" s="90"/>
      <c r="CO77" s="90"/>
      <c r="CP77" s="90"/>
      <c r="CQ77" s="90"/>
      <c r="CR77" s="90"/>
      <c r="CS77" s="90"/>
      <c r="CT77" s="90"/>
      <c r="CU77" s="90"/>
      <c r="CV77" s="90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90"/>
      <c r="DJ77" s="90"/>
      <c r="DK77" s="90"/>
      <c r="DL77" s="90"/>
      <c r="DM77" s="90"/>
      <c r="DN77" s="90"/>
      <c r="DO77" s="90"/>
      <c r="DP77" s="90"/>
      <c r="DQ77" s="90"/>
      <c r="DR77" s="90"/>
      <c r="DS77" s="90"/>
      <c r="DT77" s="90"/>
    </row>
    <row r="78" spans="1:124" s="974" customFormat="1" ht="27.75" customHeight="1" thickBot="1">
      <c r="A78" s="975"/>
      <c r="B78" s="1943" t="s">
        <v>193</v>
      </c>
      <c r="C78" s="1943"/>
      <c r="D78" s="1943"/>
      <c r="E78" s="971"/>
      <c r="F78" s="971">
        <f>SUM(F73:F77)</f>
        <v>70</v>
      </c>
      <c r="G78" s="971">
        <f>SUM(G73:G77)</f>
        <v>0</v>
      </c>
      <c r="H78" s="971">
        <f>SUM(H73:H77)</f>
        <v>0</v>
      </c>
      <c r="I78" s="971"/>
      <c r="J78" s="976">
        <f t="shared" ref="J78:P78" si="30">SUM(J73:J77)</f>
        <v>8330</v>
      </c>
      <c r="K78" s="1038">
        <f t="shared" si="30"/>
        <v>8330</v>
      </c>
      <c r="L78" s="972">
        <f t="shared" si="30"/>
        <v>0</v>
      </c>
      <c r="M78" s="1128">
        <f t="shared" si="30"/>
        <v>0</v>
      </c>
      <c r="N78" s="971">
        <f t="shared" si="30"/>
        <v>1</v>
      </c>
      <c r="O78" s="971">
        <f t="shared" si="30"/>
        <v>1</v>
      </c>
      <c r="P78" s="971">
        <f t="shared" si="30"/>
        <v>1</v>
      </c>
      <c r="Q78" s="973"/>
      <c r="R78" s="973">
        <f>SUM(R73:R77)</f>
        <v>280</v>
      </c>
      <c r="S78" s="1255">
        <f>SUM(S73:S75)</f>
        <v>0</v>
      </c>
      <c r="T78" s="1278">
        <f>SUM(T73:T77)</f>
        <v>280</v>
      </c>
    </row>
    <row r="79" spans="1:124" s="94" customFormat="1" ht="23.25" customHeight="1">
      <c r="A79" s="1959" t="s">
        <v>202</v>
      </c>
      <c r="B79" s="1960"/>
      <c r="C79" s="1960"/>
      <c r="D79" s="1960"/>
      <c r="E79" s="1961"/>
      <c r="F79" s="1961"/>
      <c r="G79" s="1961"/>
      <c r="H79" s="1961"/>
      <c r="I79" s="1961"/>
      <c r="J79" s="1961"/>
      <c r="K79" s="1961"/>
      <c r="L79" s="1961"/>
      <c r="M79" s="1961"/>
      <c r="N79" s="1961"/>
      <c r="O79" s="1961"/>
      <c r="P79" s="1961"/>
      <c r="Q79" s="1961"/>
      <c r="R79" s="1961"/>
      <c r="S79" s="1962"/>
      <c r="T79" s="1024">
        <f t="shared" ref="T79:T141" si="31">E79*Q79</f>
        <v>0</v>
      </c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90"/>
      <c r="CK79" s="90"/>
      <c r="CL79" s="90"/>
      <c r="CM79" s="90"/>
      <c r="CN79" s="90"/>
      <c r="CO79" s="90"/>
      <c r="CP79" s="90"/>
      <c r="CQ79" s="90"/>
      <c r="CR79" s="90"/>
      <c r="CS79" s="90"/>
      <c r="CT79" s="90"/>
      <c r="CU79" s="90"/>
      <c r="CV79" s="90"/>
      <c r="CW79" s="90"/>
      <c r="CX79" s="90"/>
      <c r="CY79" s="90"/>
      <c r="CZ79" s="90"/>
      <c r="DA79" s="90"/>
      <c r="DB79" s="90"/>
      <c r="DC79" s="90"/>
      <c r="DD79" s="90"/>
      <c r="DE79" s="90"/>
      <c r="DF79" s="90"/>
      <c r="DG79" s="90"/>
      <c r="DH79" s="90"/>
      <c r="DI79" s="90"/>
      <c r="DJ79" s="90"/>
      <c r="DK79" s="90"/>
      <c r="DL79" s="90"/>
      <c r="DM79" s="90"/>
      <c r="DN79" s="90"/>
      <c r="DO79" s="90"/>
      <c r="DP79" s="90"/>
      <c r="DQ79" s="90"/>
      <c r="DR79" s="90"/>
      <c r="DS79" s="90"/>
      <c r="DT79" s="90"/>
    </row>
    <row r="80" spans="1:124" s="120" customFormat="1" ht="21" hidden="1" customHeight="1">
      <c r="A80" s="985">
        <v>1</v>
      </c>
      <c r="B80" s="1275" t="s">
        <v>175</v>
      </c>
      <c r="C80" s="666" t="s">
        <v>549</v>
      </c>
      <c r="D80" s="1273" t="s">
        <v>176</v>
      </c>
      <c r="E80" s="1271"/>
      <c r="F80" s="673"/>
      <c r="G80" s="673"/>
      <c r="H80" s="673"/>
      <c r="I80" s="655"/>
      <c r="J80" s="656">
        <f t="shared" ref="J80:J85" si="32">I80*E80</f>
        <v>0</v>
      </c>
      <c r="K80" s="651"/>
      <c r="L80" s="651"/>
      <c r="M80" s="651"/>
      <c r="N80" s="652"/>
      <c r="O80" s="652"/>
      <c r="P80" s="652"/>
      <c r="Q80" s="653">
        <v>0</v>
      </c>
      <c r="R80" s="653">
        <v>0</v>
      </c>
      <c r="S80" s="654">
        <v>0</v>
      </c>
      <c r="T80" s="1024">
        <f t="shared" si="31"/>
        <v>0</v>
      </c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I80" s="119"/>
      <c r="CJ80" s="119"/>
      <c r="CK80" s="119"/>
      <c r="CL80" s="119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  <c r="DA80" s="119"/>
      <c r="DB80" s="119"/>
      <c r="DC80" s="119"/>
      <c r="DD80" s="119"/>
      <c r="DE80" s="119"/>
      <c r="DF80" s="119"/>
      <c r="DG80" s="119"/>
      <c r="DH80" s="119"/>
      <c r="DI80" s="119"/>
      <c r="DJ80" s="119"/>
      <c r="DK80" s="119"/>
      <c r="DL80" s="119"/>
      <c r="DM80" s="119"/>
      <c r="DN80" s="119"/>
      <c r="DO80" s="119"/>
      <c r="DP80" s="119"/>
      <c r="DQ80" s="119"/>
      <c r="DR80" s="119"/>
      <c r="DS80" s="119"/>
      <c r="DT80" s="119"/>
    </row>
    <row r="81" spans="1:124" s="120" customFormat="1" ht="21" hidden="1" customHeight="1">
      <c r="A81" s="1206">
        <v>1</v>
      </c>
      <c r="B81" s="1207" t="s">
        <v>175</v>
      </c>
      <c r="C81" s="1208">
        <v>253756</v>
      </c>
      <c r="D81" s="1209" t="s">
        <v>176</v>
      </c>
      <c r="E81" s="1269">
        <v>60</v>
      </c>
      <c r="F81" s="1210">
        <f>'D M S'!M390</f>
        <v>0</v>
      </c>
      <c r="G81" s="1210">
        <f>'D M S'!M391</f>
        <v>0</v>
      </c>
      <c r="H81" s="1210">
        <f>'D M S'!M392</f>
        <v>0</v>
      </c>
      <c r="I81" s="1211">
        <v>50</v>
      </c>
      <c r="J81" s="1212">
        <f t="shared" si="32"/>
        <v>3000</v>
      </c>
      <c r="K81" s="1213">
        <f>F81*I81</f>
        <v>0</v>
      </c>
      <c r="L81" s="1213">
        <f>G81*I81*0.15</f>
        <v>0</v>
      </c>
      <c r="M81" s="1213">
        <f>I81*H81</f>
        <v>0</v>
      </c>
      <c r="N81" s="1214" t="e">
        <f>F80/(E80)</f>
        <v>#DIV/0!</v>
      </c>
      <c r="O81" s="1214">
        <f>IF((F81+G81)=0,0,F81/(F81+G81))</f>
        <v>0</v>
      </c>
      <c r="P81" s="1214">
        <f>IF((G81+H81)=0,0,G81/(G81+H81))</f>
        <v>0</v>
      </c>
      <c r="Q81" s="1215">
        <v>0</v>
      </c>
      <c r="R81" s="1215">
        <v>0</v>
      </c>
      <c r="S81" s="1216">
        <v>0</v>
      </c>
      <c r="T81" s="1024">
        <f t="shared" si="31"/>
        <v>0</v>
      </c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119"/>
      <c r="BF81" s="119"/>
      <c r="BG81" s="119"/>
      <c r="BH81" s="119"/>
      <c r="BI81" s="119"/>
      <c r="BJ81" s="119"/>
      <c r="BK81" s="119"/>
      <c r="BL81" s="119"/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  <c r="BZ81" s="119"/>
      <c r="CA81" s="119"/>
      <c r="CB81" s="119"/>
      <c r="CC81" s="119"/>
      <c r="CD81" s="119"/>
      <c r="CE81" s="119"/>
      <c r="CF81" s="119"/>
      <c r="CG81" s="119"/>
      <c r="CH81" s="119"/>
      <c r="CI81" s="119"/>
      <c r="CJ81" s="119"/>
      <c r="CK81" s="119"/>
      <c r="CL81" s="119"/>
      <c r="CM81" s="119"/>
      <c r="CN81" s="119"/>
      <c r="CO81" s="119"/>
      <c r="CP81" s="119"/>
      <c r="CQ81" s="119"/>
      <c r="CR81" s="119"/>
      <c r="CS81" s="119"/>
      <c r="CT81" s="119"/>
      <c r="CU81" s="119"/>
      <c r="CV81" s="119"/>
      <c r="CW81" s="119"/>
      <c r="CX81" s="119"/>
      <c r="CY81" s="119"/>
      <c r="CZ81" s="119"/>
      <c r="DA81" s="119"/>
      <c r="DB81" s="119"/>
      <c r="DC81" s="119"/>
      <c r="DD81" s="119"/>
      <c r="DE81" s="119"/>
      <c r="DF81" s="119"/>
      <c r="DG81" s="119"/>
      <c r="DH81" s="119"/>
      <c r="DI81" s="119"/>
      <c r="DJ81" s="119"/>
      <c r="DK81" s="119"/>
      <c r="DL81" s="119"/>
      <c r="DM81" s="119"/>
      <c r="DN81" s="119"/>
      <c r="DO81" s="119"/>
      <c r="DP81" s="119"/>
      <c r="DQ81" s="119"/>
      <c r="DR81" s="119"/>
      <c r="DS81" s="119"/>
      <c r="DT81" s="119"/>
    </row>
    <row r="82" spans="1:124" s="120" customFormat="1" ht="31.5" hidden="1">
      <c r="A82" s="1157">
        <v>1</v>
      </c>
      <c r="B82" s="1222" t="str">
        <f>'D M S'!B387</f>
        <v>Cunmins Power Generator</v>
      </c>
      <c r="C82" s="1223" t="str">
        <f>'D M S'!C387</f>
        <v>C11213</v>
      </c>
      <c r="D82" s="1160" t="str">
        <f>'D M S'!D387</f>
        <v>X2562</v>
      </c>
      <c r="E82" s="1161">
        <f>(17.5*7)</f>
        <v>122.5</v>
      </c>
      <c r="F82" s="1162">
        <f>'D M S'!M387</f>
        <v>0</v>
      </c>
      <c r="G82" s="1162">
        <f>'D M S'!M388</f>
        <v>0</v>
      </c>
      <c r="H82" s="1162">
        <f>'D M S'!M389</f>
        <v>0</v>
      </c>
      <c r="I82" s="1224">
        <v>42.5</v>
      </c>
      <c r="J82" s="1164">
        <f t="shared" si="32"/>
        <v>5206.25</v>
      </c>
      <c r="K82" s="1165">
        <f>F82*I82</f>
        <v>0</v>
      </c>
      <c r="L82" s="1165">
        <f>G82*I82*0.15</f>
        <v>0</v>
      </c>
      <c r="M82" s="1165">
        <f>I82*H82</f>
        <v>0</v>
      </c>
      <c r="N82" s="1166">
        <f>F82/(E82)</f>
        <v>0</v>
      </c>
      <c r="O82" s="1166">
        <f>IF((F82+G82)=0,0,F82/(F82+G82))</f>
        <v>0</v>
      </c>
      <c r="P82" s="1167">
        <f>(F82+G82)/(E82)</f>
        <v>0</v>
      </c>
      <c r="Q82" s="1183">
        <v>5</v>
      </c>
      <c r="R82" s="1183">
        <f t="shared" ref="R82:R84" si="33">F82*Q82</f>
        <v>0</v>
      </c>
      <c r="S82" s="1592">
        <f>'[8]w Machinery Ex'!$S81+'[2]w Machinery Ex'!$S81+'[3]w Machinery Ex'!$S81+'[9]w Machinery Ex'!$S81+'[5]w Machinery Ex'!$S81+'[6]w Machinery Ex'!$S81+'[7]w Machinery Ex'!$S81</f>
        <v>0</v>
      </c>
      <c r="T82" s="1024">
        <f t="shared" si="31"/>
        <v>612.5</v>
      </c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119"/>
      <c r="BF82" s="119"/>
      <c r="BG82" s="119"/>
      <c r="BH82" s="1591"/>
      <c r="BI82" s="119"/>
      <c r="BJ82" s="119"/>
      <c r="BK82" s="119"/>
      <c r="BL82" s="119"/>
      <c r="BM82" s="119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  <c r="BY82" s="119"/>
      <c r="BZ82" s="119"/>
      <c r="CA82" s="119"/>
      <c r="CB82" s="119"/>
      <c r="CC82" s="119"/>
      <c r="CD82" s="119"/>
      <c r="CE82" s="119"/>
      <c r="CF82" s="119"/>
      <c r="CG82" s="119"/>
      <c r="CH82" s="119"/>
      <c r="CI82" s="119"/>
      <c r="CJ82" s="119"/>
      <c r="CK82" s="119"/>
      <c r="CL82" s="119"/>
      <c r="CM82" s="119"/>
      <c r="CN82" s="119"/>
      <c r="CO82" s="119"/>
      <c r="CP82" s="119"/>
      <c r="CQ82" s="119"/>
      <c r="CR82" s="119"/>
      <c r="CS82" s="119"/>
      <c r="CT82" s="119"/>
      <c r="CU82" s="119"/>
      <c r="CV82" s="119"/>
      <c r="CW82" s="119"/>
      <c r="CX82" s="119"/>
      <c r="CY82" s="119"/>
      <c r="CZ82" s="119"/>
      <c r="DA82" s="119"/>
      <c r="DB82" s="119"/>
      <c r="DC82" s="119"/>
      <c r="DD82" s="119"/>
      <c r="DE82" s="119"/>
      <c r="DF82" s="119"/>
      <c r="DG82" s="119"/>
      <c r="DH82" s="119"/>
      <c r="DI82" s="119"/>
      <c r="DJ82" s="119"/>
      <c r="DK82" s="119"/>
      <c r="DL82" s="119"/>
      <c r="DM82" s="119"/>
      <c r="DN82" s="119"/>
      <c r="DO82" s="119"/>
      <c r="DP82" s="119"/>
      <c r="DQ82" s="119"/>
      <c r="DR82" s="119"/>
      <c r="DS82" s="119"/>
      <c r="DT82" s="119"/>
    </row>
    <row r="83" spans="1:124" s="120" customFormat="1" ht="33">
      <c r="A83" s="985">
        <v>2</v>
      </c>
      <c r="B83" s="1275" t="str">
        <f>'D M S'!B396</f>
        <v>Generator Kama (Cons.)</v>
      </c>
      <c r="C83" s="1275" t="str">
        <f>'D M S'!C396</f>
        <v>G149100438</v>
      </c>
      <c r="D83" s="1594" t="str">
        <f>'D M S'!D396</f>
        <v>Kama</v>
      </c>
      <c r="E83" s="1131">
        <f>(7*11)</f>
        <v>77</v>
      </c>
      <c r="F83" s="673">
        <f>'D M S'!M396</f>
        <v>0</v>
      </c>
      <c r="G83" s="673">
        <f>'D M S'!M397</f>
        <v>0</v>
      </c>
      <c r="H83" s="673">
        <f>'D M S'!M395</f>
        <v>0</v>
      </c>
      <c r="I83" s="655">
        <v>42.5</v>
      </c>
      <c r="J83" s="656">
        <f t="shared" si="32"/>
        <v>3272.5</v>
      </c>
      <c r="K83" s="651">
        <f>F83*I83</f>
        <v>0</v>
      </c>
      <c r="L83" s="651">
        <f>G83*I83*0.15</f>
        <v>0</v>
      </c>
      <c r="M83" s="651">
        <f>I83*H83</f>
        <v>0</v>
      </c>
      <c r="N83" s="652">
        <f>F83/(E83)</f>
        <v>0</v>
      </c>
      <c r="O83" s="652">
        <f>IF((F83+G83)=0,0,F83/(F83+G83))</f>
        <v>0</v>
      </c>
      <c r="P83" s="1016">
        <f t="shared" ref="P83:P85" si="34">(F83+G83)/(E83)</f>
        <v>0</v>
      </c>
      <c r="Q83" s="653">
        <v>5</v>
      </c>
      <c r="R83" s="653">
        <f t="shared" si="33"/>
        <v>0</v>
      </c>
      <c r="S83" s="654">
        <f>'[8]w Machinery Ex'!$S82+'[2]w Machinery Ex'!$S82+'[3]w Machinery Ex'!$S82+'[9]w Machinery Ex'!$S82+'[5]w Machinery Ex'!$S82+'[6]w Machinery Ex'!$S82+'[7]w Machinery Ex'!$S82</f>
        <v>0</v>
      </c>
      <c r="T83" s="1024">
        <f t="shared" si="31"/>
        <v>385</v>
      </c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I83" s="119"/>
      <c r="CJ83" s="119"/>
      <c r="CK83" s="119"/>
      <c r="CL83" s="119"/>
      <c r="CM83" s="119"/>
      <c r="CN83" s="119"/>
      <c r="CO83" s="119"/>
      <c r="CP83" s="119"/>
      <c r="CQ83" s="119"/>
      <c r="CR83" s="119"/>
      <c r="CS83" s="119"/>
      <c r="CT83" s="119"/>
      <c r="CU83" s="119"/>
      <c r="CV83" s="119"/>
      <c r="CW83" s="119"/>
      <c r="CX83" s="119"/>
      <c r="CY83" s="119"/>
      <c r="CZ83" s="119"/>
      <c r="DA83" s="119"/>
      <c r="DB83" s="119"/>
      <c r="DC83" s="119"/>
      <c r="DD83" s="119"/>
      <c r="DE83" s="119"/>
      <c r="DF83" s="119"/>
      <c r="DG83" s="119"/>
      <c r="DH83" s="119"/>
      <c r="DI83" s="119"/>
      <c r="DJ83" s="119"/>
      <c r="DK83" s="119"/>
      <c r="DL83" s="119"/>
      <c r="DM83" s="119"/>
      <c r="DN83" s="119"/>
      <c r="DO83" s="119"/>
      <c r="DP83" s="119"/>
      <c r="DQ83" s="119"/>
      <c r="DR83" s="119"/>
      <c r="DS83" s="119"/>
      <c r="DT83" s="119"/>
    </row>
    <row r="84" spans="1:124" s="120" customFormat="1" ht="33.75" customHeight="1" thickBot="1">
      <c r="A84" s="1225">
        <v>3</v>
      </c>
      <c r="B84" s="1226" t="str">
        <f>'D M S'!B393</f>
        <v>Generator Kama</v>
      </c>
      <c r="C84" s="1227" t="s">
        <v>795</v>
      </c>
      <c r="D84" s="1228" t="str">
        <f>'D M S'!D393</f>
        <v>KDE12EW</v>
      </c>
      <c r="E84" s="1131">
        <f>(3*11)</f>
        <v>33</v>
      </c>
      <c r="F84" s="673">
        <f>'D M S'!M393</f>
        <v>92</v>
      </c>
      <c r="G84" s="1202">
        <f>'D M S'!M394</f>
        <v>0</v>
      </c>
      <c r="H84" s="1202">
        <f>'D M S'!M395</f>
        <v>0</v>
      </c>
      <c r="I84" s="1229">
        <v>42.5</v>
      </c>
      <c r="J84" s="1201">
        <f t="shared" si="32"/>
        <v>1402.5</v>
      </c>
      <c r="K84" s="1203">
        <f>F84*I84</f>
        <v>3910</v>
      </c>
      <c r="L84" s="1203">
        <f>G84*I84*0.15</f>
        <v>0</v>
      </c>
      <c r="M84" s="1203">
        <f>I84*H84</f>
        <v>0</v>
      </c>
      <c r="N84" s="1204">
        <f>F84/(E84)</f>
        <v>2.7878787878787881</v>
      </c>
      <c r="O84" s="1204">
        <f>IF((F84+G84)=0,0,F84/(F84+G84))</f>
        <v>1</v>
      </c>
      <c r="P84" s="1230">
        <f t="shared" si="34"/>
        <v>2.7878787878787881</v>
      </c>
      <c r="Q84" s="1205">
        <v>5</v>
      </c>
      <c r="R84" s="1205">
        <f t="shared" si="33"/>
        <v>460</v>
      </c>
      <c r="S84" s="654">
        <f>'[8]w Machinery Ex'!$S83+'[2]w Machinery Ex'!$S83+'[3]w Machinery Ex'!$S83+'[9]w Machinery Ex'!$S83+'[5]w Machinery Ex'!$S83+'[6]w Machinery Ex'!$S83+'[7]w Machinery Ex'!$S83</f>
        <v>70</v>
      </c>
      <c r="T84" s="1024">
        <f t="shared" si="31"/>
        <v>165</v>
      </c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119"/>
      <c r="BF84" s="119"/>
      <c r="BG84" s="119"/>
      <c r="BH84" s="119"/>
      <c r="BI84" s="119"/>
      <c r="BJ84" s="119"/>
      <c r="BK84" s="119"/>
      <c r="BL84" s="119"/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  <c r="BY84" s="119"/>
      <c r="BZ84" s="119"/>
      <c r="CA84" s="119"/>
      <c r="CB84" s="119"/>
      <c r="CC84" s="119"/>
      <c r="CD84" s="119"/>
      <c r="CE84" s="119"/>
      <c r="CF84" s="119"/>
      <c r="CG84" s="119"/>
      <c r="CH84" s="119"/>
      <c r="CI84" s="119"/>
      <c r="CJ84" s="119"/>
      <c r="CK84" s="119"/>
      <c r="CL84" s="119"/>
      <c r="CM84" s="119"/>
      <c r="CN84" s="119"/>
      <c r="CO84" s="119"/>
      <c r="CP84" s="119"/>
      <c r="CQ84" s="119"/>
      <c r="CR84" s="119"/>
      <c r="CS84" s="119"/>
      <c r="CT84" s="119"/>
      <c r="CU84" s="119"/>
      <c r="CV84" s="119"/>
      <c r="CW84" s="119"/>
      <c r="CX84" s="119"/>
      <c r="CY84" s="119"/>
      <c r="CZ84" s="119"/>
      <c r="DA84" s="119"/>
      <c r="DB84" s="119"/>
      <c r="DC84" s="119"/>
      <c r="DD84" s="119"/>
      <c r="DE84" s="119"/>
      <c r="DF84" s="119"/>
      <c r="DG84" s="119"/>
      <c r="DH84" s="119"/>
      <c r="DI84" s="119"/>
      <c r="DJ84" s="119"/>
      <c r="DK84" s="119"/>
      <c r="DL84" s="119"/>
      <c r="DM84" s="119"/>
      <c r="DN84" s="119"/>
      <c r="DO84" s="119"/>
      <c r="DP84" s="119"/>
      <c r="DQ84" s="119"/>
      <c r="DR84" s="119"/>
      <c r="DS84" s="119"/>
      <c r="DT84" s="119"/>
    </row>
    <row r="85" spans="1:124" s="120" customFormat="1" ht="21" hidden="1" customHeight="1" thickBot="1">
      <c r="A85" s="1217">
        <v>6</v>
      </c>
      <c r="B85" s="1218" t="s">
        <v>175</v>
      </c>
      <c r="C85" s="1219" t="s">
        <v>203</v>
      </c>
      <c r="D85" s="1220"/>
      <c r="E85" s="1141">
        <v>70</v>
      </c>
      <c r="F85" s="683">
        <f>'D M S'!M394</f>
        <v>0</v>
      </c>
      <c r="G85" s="683">
        <f>'D M S'!M409</f>
        <v>0</v>
      </c>
      <c r="H85" s="683">
        <f>'D M S'!M410</f>
        <v>0</v>
      </c>
      <c r="I85" s="1138">
        <v>50</v>
      </c>
      <c r="J85" s="1134">
        <f t="shared" si="32"/>
        <v>3500</v>
      </c>
      <c r="K85" s="684">
        <f>F85*I85</f>
        <v>0</v>
      </c>
      <c r="L85" s="684">
        <f>G85*I85*0.15</f>
        <v>0</v>
      </c>
      <c r="M85" s="684">
        <f>I85*H85</f>
        <v>0</v>
      </c>
      <c r="N85" s="685">
        <f>F84/(E84)</f>
        <v>2.7878787878787881</v>
      </c>
      <c r="O85" s="685">
        <f t="shared" ref="O85" si="35">IF((F85+G85)=0,0,F85/(F85+G85))</f>
        <v>0</v>
      </c>
      <c r="P85" s="1221">
        <f t="shared" si="34"/>
        <v>0</v>
      </c>
      <c r="Q85" s="686">
        <v>0</v>
      </c>
      <c r="R85" s="686">
        <v>0</v>
      </c>
      <c r="S85" s="1593">
        <f>'[8]w Machinery Ex'!$S84+'[2]w Machinery Ex'!$S84+'[3]w Machinery Ex'!$S84+'[9]w Machinery Ex'!$S84+'[5]w Machinery Ex'!$S84+'[6]w Machinery Ex'!$S84+'[7]w Machinery Ex'!$S84</f>
        <v>0</v>
      </c>
      <c r="T85" s="1024">
        <f t="shared" si="31"/>
        <v>0</v>
      </c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  <c r="BZ85" s="119"/>
      <c r="CA85" s="119"/>
      <c r="CB85" s="119"/>
      <c r="CC85" s="119"/>
      <c r="CD85" s="119"/>
      <c r="CE85" s="119"/>
      <c r="CF85" s="119"/>
      <c r="CG85" s="119"/>
      <c r="CH85" s="119"/>
      <c r="CI85" s="119"/>
      <c r="CJ85" s="119"/>
      <c r="CK85" s="119"/>
      <c r="CL85" s="119"/>
      <c r="CM85" s="119"/>
      <c r="CN85" s="119"/>
      <c r="CO85" s="119"/>
      <c r="CP85" s="119"/>
      <c r="CQ85" s="119"/>
      <c r="CR85" s="119"/>
      <c r="CS85" s="119"/>
      <c r="CT85" s="119"/>
      <c r="CU85" s="119"/>
      <c r="CV85" s="119"/>
      <c r="CW85" s="119"/>
      <c r="CX85" s="119"/>
      <c r="CY85" s="119"/>
      <c r="CZ85" s="119"/>
      <c r="DA85" s="119"/>
      <c r="DB85" s="119"/>
      <c r="DC85" s="119"/>
      <c r="DD85" s="119"/>
      <c r="DE85" s="119"/>
      <c r="DF85" s="119"/>
      <c r="DG85" s="119"/>
      <c r="DH85" s="119"/>
      <c r="DI85" s="119"/>
      <c r="DJ85" s="119"/>
      <c r="DK85" s="119"/>
      <c r="DL85" s="119"/>
      <c r="DM85" s="119"/>
      <c r="DN85" s="119"/>
      <c r="DO85" s="119"/>
      <c r="DP85" s="119"/>
      <c r="DQ85" s="119"/>
      <c r="DR85" s="119"/>
      <c r="DS85" s="119"/>
      <c r="DT85" s="119"/>
    </row>
    <row r="86" spans="1:124" s="974" customFormat="1" ht="27.75" customHeight="1" thickBot="1">
      <c r="A86" s="975"/>
      <c r="B86" s="1943" t="s">
        <v>193</v>
      </c>
      <c r="C86" s="1943"/>
      <c r="D86" s="1943"/>
      <c r="E86" s="971"/>
      <c r="F86" s="971">
        <f>SUM(F81:F85)</f>
        <v>92</v>
      </c>
      <c r="G86" s="971">
        <f>SUM(G81:G85)</f>
        <v>0</v>
      </c>
      <c r="H86" s="971">
        <f>SUM(H80:H85)</f>
        <v>0</v>
      </c>
      <c r="I86" s="971"/>
      <c r="J86" s="976">
        <f>SUM(J81:J85)</f>
        <v>16381.25</v>
      </c>
      <c r="K86" s="976">
        <f>SUM(K81:K85)</f>
        <v>3910</v>
      </c>
      <c r="L86" s="972">
        <f>SUM(L81:L85)</f>
        <v>0</v>
      </c>
      <c r="M86" s="1128">
        <f>SUM(M80:M85)</f>
        <v>0</v>
      </c>
      <c r="N86" s="971"/>
      <c r="O86" s="971"/>
      <c r="P86" s="971"/>
      <c r="Q86" s="973"/>
      <c r="R86" s="973">
        <f>SUM(R80:R85)</f>
        <v>460</v>
      </c>
      <c r="S86" s="1263">
        <f>SUM(S80:S85)</f>
        <v>70</v>
      </c>
      <c r="T86" s="1278">
        <f>SUM(T80:T85)</f>
        <v>1162.5</v>
      </c>
    </row>
    <row r="87" spans="1:124" s="120" customFormat="1" ht="21" hidden="1" customHeight="1">
      <c r="A87" s="985">
        <v>6</v>
      </c>
      <c r="B87" s="1275" t="s">
        <v>204</v>
      </c>
      <c r="C87" s="665">
        <v>21760080016</v>
      </c>
      <c r="D87" s="1273" t="s">
        <v>176</v>
      </c>
      <c r="E87" s="1271">
        <v>60</v>
      </c>
      <c r="F87" s="673">
        <f>'D M S'!M402</f>
        <v>0</v>
      </c>
      <c r="G87" s="673">
        <f>'D M S'!M403</f>
        <v>0</v>
      </c>
      <c r="H87" s="673">
        <f>'D M S'!M404</f>
        <v>0</v>
      </c>
      <c r="I87" s="655">
        <v>50</v>
      </c>
      <c r="J87" s="656">
        <f>I87*E87</f>
        <v>3000</v>
      </c>
      <c r="K87" s="650">
        <f>F87*I87</f>
        <v>0</v>
      </c>
      <c r="L87" s="656">
        <f>I87*G87*0.15</f>
        <v>0</v>
      </c>
      <c r="M87" s="655">
        <f>I87*H87</f>
        <v>0</v>
      </c>
      <c r="N87" s="652">
        <f t="shared" ref="N87:N91" si="36">F87/E87</f>
        <v>0</v>
      </c>
      <c r="O87" s="652">
        <f>IF((F87+G87)=0,0,F87/(F87+G87))</f>
        <v>0</v>
      </c>
      <c r="P87" s="652">
        <f>IF((G87+H87)=0,0,G87/(G87+H87))</f>
        <v>0</v>
      </c>
      <c r="Q87" s="653"/>
      <c r="R87" s="653"/>
      <c r="S87" s="654"/>
      <c r="T87" s="1024">
        <f t="shared" si="31"/>
        <v>0</v>
      </c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19"/>
      <c r="CE87" s="119"/>
      <c r="CF87" s="119"/>
      <c r="CG87" s="119"/>
      <c r="CH87" s="119"/>
      <c r="CI87" s="119"/>
      <c r="CJ87" s="119"/>
      <c r="CK87" s="119"/>
      <c r="CL87" s="119"/>
      <c r="CM87" s="119"/>
      <c r="CN87" s="119"/>
      <c r="CO87" s="119"/>
      <c r="CP87" s="119"/>
      <c r="CQ87" s="119"/>
      <c r="CR87" s="119"/>
      <c r="CS87" s="119"/>
      <c r="CT87" s="119"/>
      <c r="CU87" s="119"/>
      <c r="CV87" s="119"/>
      <c r="CW87" s="119"/>
      <c r="CX87" s="119"/>
      <c r="CY87" s="119"/>
      <c r="CZ87" s="119"/>
      <c r="DA87" s="119"/>
      <c r="DB87" s="119"/>
      <c r="DC87" s="119"/>
      <c r="DD87" s="119"/>
      <c r="DE87" s="119"/>
      <c r="DF87" s="119"/>
      <c r="DG87" s="119"/>
      <c r="DH87" s="119"/>
      <c r="DI87" s="119"/>
      <c r="DJ87" s="119"/>
      <c r="DK87" s="119"/>
      <c r="DL87" s="119"/>
      <c r="DM87" s="119"/>
      <c r="DN87" s="119"/>
      <c r="DO87" s="119"/>
      <c r="DP87" s="119"/>
      <c r="DQ87" s="119"/>
      <c r="DR87" s="119"/>
      <c r="DS87" s="119"/>
      <c r="DT87" s="119"/>
    </row>
    <row r="88" spans="1:124" s="120" customFormat="1" ht="21" hidden="1" customHeight="1">
      <c r="A88" s="985"/>
      <c r="B88" s="1944" t="s">
        <v>177</v>
      </c>
      <c r="C88" s="1944"/>
      <c r="D88" s="1273"/>
      <c r="E88" s="1271">
        <v>60</v>
      </c>
      <c r="F88" s="673"/>
      <c r="G88" s="673"/>
      <c r="H88" s="673"/>
      <c r="I88" s="655"/>
      <c r="J88" s="656"/>
      <c r="K88" s="650"/>
      <c r="L88" s="656"/>
      <c r="M88" s="655"/>
      <c r="N88" s="652">
        <f t="shared" si="36"/>
        <v>0</v>
      </c>
      <c r="O88" s="652">
        <f t="shared" ref="O88:O92" si="37">IF((F88+G88)=0,0,F88/(F88+G88))</f>
        <v>0</v>
      </c>
      <c r="P88" s="652">
        <f>IF((G88+H88)=0,0,G88/(G88+H88))</f>
        <v>0</v>
      </c>
      <c r="Q88" s="653"/>
      <c r="R88" s="653"/>
      <c r="S88" s="654"/>
      <c r="T88" s="1024">
        <f t="shared" si="31"/>
        <v>0</v>
      </c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19"/>
      <c r="AU88" s="119"/>
      <c r="AV88" s="119"/>
      <c r="AW88" s="119"/>
      <c r="AX88" s="119"/>
      <c r="AY88" s="119"/>
      <c r="AZ88" s="119"/>
      <c r="BA88" s="119"/>
      <c r="BB88" s="119"/>
      <c r="BC88" s="119"/>
      <c r="BD88" s="119"/>
      <c r="BE88" s="119"/>
      <c r="BF88" s="119"/>
      <c r="BG88" s="119"/>
      <c r="BH88" s="119"/>
      <c r="BI88" s="119"/>
      <c r="BJ88" s="119"/>
      <c r="BK88" s="119"/>
      <c r="BL88" s="119"/>
      <c r="BM88" s="119"/>
      <c r="BN88" s="119"/>
      <c r="BO88" s="119"/>
      <c r="BP88" s="119"/>
      <c r="BQ88" s="119"/>
      <c r="BR88" s="119"/>
      <c r="BS88" s="119"/>
      <c r="BT88" s="119"/>
      <c r="BU88" s="119"/>
      <c r="BV88" s="119"/>
      <c r="BW88" s="119"/>
      <c r="BX88" s="119"/>
      <c r="BY88" s="119"/>
      <c r="BZ88" s="119"/>
      <c r="CA88" s="119"/>
      <c r="CB88" s="119"/>
      <c r="CC88" s="119"/>
      <c r="CD88" s="119"/>
      <c r="CE88" s="119"/>
      <c r="CF88" s="119"/>
      <c r="CG88" s="119"/>
      <c r="CH88" s="119"/>
      <c r="CI88" s="119"/>
      <c r="CJ88" s="119"/>
      <c r="CK88" s="119"/>
      <c r="CL88" s="119"/>
      <c r="CM88" s="119"/>
      <c r="CN88" s="119"/>
      <c r="CO88" s="119"/>
      <c r="CP88" s="119"/>
      <c r="CQ88" s="119"/>
      <c r="CR88" s="119"/>
      <c r="CS88" s="119"/>
      <c r="CT88" s="119"/>
      <c r="CU88" s="119"/>
      <c r="CV88" s="119"/>
      <c r="CW88" s="119"/>
      <c r="CX88" s="119"/>
      <c r="CY88" s="119"/>
      <c r="CZ88" s="119"/>
      <c r="DA88" s="119"/>
      <c r="DB88" s="119"/>
      <c r="DC88" s="119"/>
      <c r="DD88" s="119"/>
      <c r="DE88" s="119"/>
      <c r="DF88" s="119"/>
      <c r="DG88" s="119"/>
      <c r="DH88" s="119"/>
      <c r="DI88" s="119"/>
      <c r="DJ88" s="119"/>
      <c r="DK88" s="119"/>
      <c r="DL88" s="119"/>
      <c r="DM88" s="119"/>
      <c r="DN88" s="119"/>
      <c r="DO88" s="119"/>
      <c r="DP88" s="119"/>
      <c r="DQ88" s="119"/>
      <c r="DR88" s="119"/>
      <c r="DS88" s="119"/>
      <c r="DT88" s="119"/>
    </row>
    <row r="89" spans="1:124" s="120" customFormat="1" ht="29.25" hidden="1" customHeight="1">
      <c r="A89" s="985">
        <v>1</v>
      </c>
      <c r="B89" s="1275" t="s">
        <v>178</v>
      </c>
      <c r="C89" s="1275">
        <v>46501133</v>
      </c>
      <c r="D89" s="1273"/>
      <c r="E89" s="1271">
        <v>60</v>
      </c>
      <c r="F89" s="673">
        <f>'D M S'!M412</f>
        <v>0</v>
      </c>
      <c r="G89" s="673">
        <f>'D M S'!M413</f>
        <v>0</v>
      </c>
      <c r="H89" s="673">
        <f>'D M S'!M414</f>
        <v>0</v>
      </c>
      <c r="I89" s="655">
        <v>50</v>
      </c>
      <c r="J89" s="656">
        <f>E89*I89</f>
        <v>3000</v>
      </c>
      <c r="K89" s="651">
        <f>E89*F89</f>
        <v>0</v>
      </c>
      <c r="L89" s="651">
        <f>G89*I89</f>
        <v>0</v>
      </c>
      <c r="M89" s="651">
        <f>H89*I89</f>
        <v>0</v>
      </c>
      <c r="N89" s="652">
        <f t="shared" si="36"/>
        <v>0</v>
      </c>
      <c r="O89" s="652">
        <f t="shared" si="37"/>
        <v>0</v>
      </c>
      <c r="P89" s="652">
        <f>IF((G89+H89)=0,0,G89/(G89+H89))</f>
        <v>0</v>
      </c>
      <c r="Q89" s="653"/>
      <c r="R89" s="653"/>
      <c r="S89" s="654"/>
      <c r="T89" s="1024">
        <f t="shared" si="31"/>
        <v>0</v>
      </c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119"/>
      <c r="BF89" s="119"/>
      <c r="BG89" s="119"/>
      <c r="BH89" s="119"/>
      <c r="BI89" s="119"/>
      <c r="BJ89" s="119"/>
      <c r="BK89" s="119"/>
      <c r="BL89" s="119"/>
      <c r="BM89" s="119"/>
      <c r="BN89" s="119"/>
      <c r="BO89" s="119"/>
      <c r="BP89" s="119"/>
      <c r="BQ89" s="119"/>
      <c r="BR89" s="119"/>
      <c r="BS89" s="119"/>
      <c r="BT89" s="119"/>
      <c r="BU89" s="119"/>
      <c r="BV89" s="119"/>
      <c r="BW89" s="119"/>
      <c r="BX89" s="119"/>
      <c r="BY89" s="119"/>
      <c r="BZ89" s="119"/>
      <c r="CA89" s="119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19"/>
      <c r="CN89" s="119"/>
      <c r="CO89" s="119"/>
      <c r="CP89" s="119"/>
      <c r="CQ89" s="119"/>
      <c r="CR89" s="119"/>
      <c r="CS89" s="119"/>
      <c r="CT89" s="119"/>
      <c r="CU89" s="119"/>
      <c r="CV89" s="119"/>
      <c r="CW89" s="119"/>
      <c r="CX89" s="119"/>
      <c r="CY89" s="119"/>
      <c r="CZ89" s="119"/>
      <c r="DA89" s="119"/>
      <c r="DB89" s="119"/>
      <c r="DC89" s="119"/>
      <c r="DD89" s="119"/>
      <c r="DE89" s="119"/>
      <c r="DF89" s="119"/>
      <c r="DG89" s="119"/>
      <c r="DH89" s="119"/>
      <c r="DI89" s="119"/>
      <c r="DJ89" s="119"/>
      <c r="DK89" s="119"/>
      <c r="DL89" s="119"/>
      <c r="DM89" s="119"/>
      <c r="DN89" s="119"/>
      <c r="DO89" s="119"/>
      <c r="DP89" s="119"/>
      <c r="DQ89" s="119"/>
      <c r="DR89" s="119"/>
      <c r="DS89" s="119"/>
      <c r="DT89" s="119"/>
    </row>
    <row r="90" spans="1:124" s="120" customFormat="1" ht="29.25" hidden="1" customHeight="1">
      <c r="A90" s="985">
        <v>2</v>
      </c>
      <c r="B90" s="1275" t="s">
        <v>178</v>
      </c>
      <c r="C90" s="1275" t="s">
        <v>205</v>
      </c>
      <c r="D90" s="1273"/>
      <c r="E90" s="1271">
        <v>60</v>
      </c>
      <c r="F90" s="673">
        <f>'D M S'!M421</f>
        <v>0</v>
      </c>
      <c r="G90" s="673">
        <f>'D M S'!M422</f>
        <v>0</v>
      </c>
      <c r="H90" s="673">
        <f>'D M S'!M423</f>
        <v>0</v>
      </c>
      <c r="I90" s="655">
        <v>50</v>
      </c>
      <c r="J90" s="656">
        <f>E90*I90</f>
        <v>3000</v>
      </c>
      <c r="K90" s="651">
        <f>E90*F90</f>
        <v>0</v>
      </c>
      <c r="L90" s="651">
        <f>G90*I90</f>
        <v>0</v>
      </c>
      <c r="M90" s="651">
        <f>H90*I90</f>
        <v>0</v>
      </c>
      <c r="N90" s="652">
        <f t="shared" si="36"/>
        <v>0</v>
      </c>
      <c r="O90" s="652">
        <f t="shared" si="37"/>
        <v>0</v>
      </c>
      <c r="P90" s="652">
        <f>IF((G90+H90)=0,0,G90/(G90+H90))</f>
        <v>0</v>
      </c>
      <c r="Q90" s="653"/>
      <c r="R90" s="653"/>
      <c r="S90" s="654"/>
      <c r="T90" s="1024">
        <f t="shared" si="31"/>
        <v>0</v>
      </c>
      <c r="U90" s="123" t="e">
        <f>#REF!+#REF!+#REF!+#REF!+K111+L111+#REF!+K118+L118+K142+#REF!</f>
        <v>#REF!</v>
      </c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19"/>
      <c r="CN90" s="119"/>
      <c r="CO90" s="119"/>
      <c r="CP90" s="119"/>
      <c r="CQ90" s="119"/>
      <c r="CR90" s="119"/>
      <c r="CS90" s="119"/>
      <c r="CT90" s="119"/>
      <c r="CU90" s="119"/>
      <c r="CV90" s="119"/>
      <c r="CW90" s="119"/>
      <c r="CX90" s="119"/>
      <c r="CY90" s="119"/>
      <c r="CZ90" s="119"/>
      <c r="DA90" s="119"/>
      <c r="DB90" s="119"/>
      <c r="DC90" s="119"/>
      <c r="DD90" s="119"/>
      <c r="DE90" s="119"/>
      <c r="DF90" s="119"/>
      <c r="DG90" s="119"/>
      <c r="DH90" s="119"/>
      <c r="DI90" s="119"/>
      <c r="DJ90" s="119"/>
      <c r="DK90" s="119"/>
      <c r="DL90" s="119"/>
      <c r="DM90" s="119"/>
      <c r="DN90" s="119"/>
      <c r="DO90" s="119"/>
      <c r="DP90" s="119"/>
      <c r="DQ90" s="119"/>
      <c r="DR90" s="119"/>
      <c r="DS90" s="119"/>
      <c r="DT90" s="119"/>
    </row>
    <row r="91" spans="1:124" s="120" customFormat="1" ht="29.25" hidden="1" customHeight="1">
      <c r="A91" s="985">
        <v>3</v>
      </c>
      <c r="B91" s="1275" t="s">
        <v>178</v>
      </c>
      <c r="C91" s="1275" t="s">
        <v>206</v>
      </c>
      <c r="D91" s="1273"/>
      <c r="E91" s="1271">
        <v>60</v>
      </c>
      <c r="F91" s="673">
        <f>'D M S'!M418</f>
        <v>0</v>
      </c>
      <c r="G91" s="673">
        <f>'D M S'!M419</f>
        <v>0</v>
      </c>
      <c r="H91" s="673">
        <f>'D M S'!M420</f>
        <v>0</v>
      </c>
      <c r="I91" s="655">
        <v>50</v>
      </c>
      <c r="J91" s="656">
        <f>E91*I91</f>
        <v>3000</v>
      </c>
      <c r="K91" s="651">
        <f>E91*F91</f>
        <v>0</v>
      </c>
      <c r="L91" s="651">
        <f>G91*I91</f>
        <v>0</v>
      </c>
      <c r="M91" s="651">
        <f>H91*I91</f>
        <v>0</v>
      </c>
      <c r="N91" s="652">
        <f t="shared" si="36"/>
        <v>0</v>
      </c>
      <c r="O91" s="652">
        <f t="shared" si="37"/>
        <v>0</v>
      </c>
      <c r="P91" s="652">
        <f>IF((G91+H91)=0,0,G91/(G91+H91))</f>
        <v>0</v>
      </c>
      <c r="Q91" s="653"/>
      <c r="R91" s="653"/>
      <c r="S91" s="654"/>
      <c r="T91" s="1024">
        <f t="shared" si="31"/>
        <v>0</v>
      </c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119"/>
      <c r="BF91" s="119"/>
      <c r="BG91" s="119"/>
      <c r="BH91" s="119"/>
      <c r="BI91" s="119"/>
      <c r="BJ91" s="119"/>
      <c r="BK91" s="119"/>
      <c r="BL91" s="119"/>
      <c r="BM91" s="119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  <c r="BY91" s="119"/>
      <c r="BZ91" s="119"/>
      <c r="CA91" s="119"/>
      <c r="CB91" s="119"/>
      <c r="CC91" s="119"/>
      <c r="CD91" s="119"/>
      <c r="CE91" s="119"/>
      <c r="CF91" s="119"/>
      <c r="CG91" s="119"/>
      <c r="CH91" s="119"/>
      <c r="CI91" s="119"/>
      <c r="CJ91" s="119"/>
      <c r="CK91" s="119"/>
      <c r="CL91" s="119"/>
      <c r="CM91" s="119"/>
      <c r="CN91" s="119"/>
      <c r="CO91" s="119"/>
      <c r="CP91" s="119"/>
      <c r="CQ91" s="119"/>
      <c r="CR91" s="119"/>
      <c r="CS91" s="119"/>
      <c r="CT91" s="119"/>
      <c r="CU91" s="119"/>
      <c r="CV91" s="119"/>
      <c r="CW91" s="119"/>
      <c r="CX91" s="119"/>
      <c r="CY91" s="119"/>
      <c r="CZ91" s="119"/>
      <c r="DA91" s="119"/>
      <c r="DB91" s="119"/>
      <c r="DC91" s="119"/>
      <c r="DD91" s="119"/>
      <c r="DE91" s="119"/>
      <c r="DF91" s="119"/>
      <c r="DG91" s="119"/>
      <c r="DH91" s="119"/>
      <c r="DI91" s="119"/>
      <c r="DJ91" s="119"/>
      <c r="DK91" s="119"/>
      <c r="DL91" s="119"/>
      <c r="DM91" s="119"/>
      <c r="DN91" s="119"/>
      <c r="DO91" s="119"/>
      <c r="DP91" s="119"/>
      <c r="DQ91" s="119"/>
      <c r="DR91" s="119"/>
      <c r="DS91" s="119"/>
      <c r="DT91" s="119"/>
    </row>
    <row r="92" spans="1:124" s="120" customFormat="1" ht="29.25" hidden="1" customHeight="1" thickBot="1">
      <c r="A92" s="985">
        <v>4</v>
      </c>
      <c r="B92" s="1275" t="s">
        <v>178</v>
      </c>
      <c r="C92" s="1275">
        <v>46501627</v>
      </c>
      <c r="D92" s="1273"/>
      <c r="E92" s="1271">
        <v>60</v>
      </c>
      <c r="F92" s="673">
        <f>'D M S'!M424</f>
        <v>0</v>
      </c>
      <c r="G92" s="673">
        <f>'D M S'!M425</f>
        <v>0</v>
      </c>
      <c r="H92" s="673">
        <f>'D M S'!M426</f>
        <v>0</v>
      </c>
      <c r="I92" s="655">
        <v>50</v>
      </c>
      <c r="J92" s="656">
        <f>E92*I92</f>
        <v>3000</v>
      </c>
      <c r="K92" s="651">
        <f>E92*F92</f>
        <v>0</v>
      </c>
      <c r="L92" s="651">
        <f>G92*I92</f>
        <v>0</v>
      </c>
      <c r="M92" s="651">
        <f>H92*I92</f>
        <v>0</v>
      </c>
      <c r="N92" s="652">
        <f>F92/E92</f>
        <v>0</v>
      </c>
      <c r="O92" s="652">
        <f t="shared" si="37"/>
        <v>0</v>
      </c>
      <c r="P92" s="652">
        <f>IF((G92+H92)=0,0,G92/(G92+H92))</f>
        <v>0</v>
      </c>
      <c r="Q92" s="653"/>
      <c r="R92" s="653"/>
      <c r="S92" s="654"/>
      <c r="T92" s="1024">
        <f t="shared" si="31"/>
        <v>0</v>
      </c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119"/>
      <c r="BF92" s="119"/>
      <c r="BG92" s="119"/>
      <c r="BH92" s="119"/>
      <c r="BI92" s="119"/>
      <c r="BJ92" s="119"/>
      <c r="BK92" s="119"/>
      <c r="BL92" s="119"/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  <c r="BZ92" s="119"/>
      <c r="CA92" s="119"/>
      <c r="CB92" s="119"/>
      <c r="CC92" s="119"/>
      <c r="CD92" s="119"/>
      <c r="CE92" s="119"/>
      <c r="CF92" s="119"/>
      <c r="CG92" s="119"/>
      <c r="CH92" s="119"/>
      <c r="CI92" s="119"/>
      <c r="CJ92" s="119"/>
      <c r="CK92" s="119"/>
      <c r="CL92" s="119"/>
      <c r="CM92" s="119"/>
      <c r="CN92" s="119"/>
      <c r="CO92" s="119"/>
      <c r="CP92" s="119"/>
      <c r="CQ92" s="119"/>
      <c r="CR92" s="119"/>
      <c r="CS92" s="119"/>
      <c r="CT92" s="119"/>
      <c r="CU92" s="119"/>
      <c r="CV92" s="119"/>
      <c r="CW92" s="119"/>
      <c r="CX92" s="119"/>
      <c r="CY92" s="119"/>
      <c r="CZ92" s="119"/>
      <c r="DA92" s="119"/>
      <c r="DB92" s="119"/>
      <c r="DC92" s="119"/>
      <c r="DD92" s="119"/>
      <c r="DE92" s="119"/>
      <c r="DF92" s="119"/>
      <c r="DG92" s="119"/>
      <c r="DH92" s="119"/>
      <c r="DI92" s="119"/>
      <c r="DJ92" s="119"/>
      <c r="DK92" s="119"/>
      <c r="DL92" s="119"/>
      <c r="DM92" s="119"/>
      <c r="DN92" s="119"/>
      <c r="DO92" s="119"/>
      <c r="DP92" s="119"/>
      <c r="DQ92" s="119"/>
      <c r="DR92" s="119"/>
      <c r="DS92" s="119"/>
      <c r="DT92" s="119"/>
    </row>
    <row r="93" spans="1:124" s="122" customFormat="1" ht="27.75" hidden="1" customHeight="1" thickBot="1">
      <c r="A93" s="992"/>
      <c r="B93" s="1945"/>
      <c r="C93" s="1945"/>
      <c r="D93" s="1945"/>
      <c r="E93" s="995">
        <f>SUM(E89:E92)</f>
        <v>240</v>
      </c>
      <c r="F93" s="993">
        <f>SUM(F89:F92)</f>
        <v>0</v>
      </c>
      <c r="G93" s="993">
        <f>SUM(G89:G92)</f>
        <v>0</v>
      </c>
      <c r="H93" s="993">
        <f>SUM(H89:H92)</f>
        <v>0</v>
      </c>
      <c r="I93" s="995"/>
      <c r="J93" s="995">
        <f t="shared" ref="J93:S93" si="38">SUM(J89:J92)</f>
        <v>12000</v>
      </c>
      <c r="K93" s="994">
        <f t="shared" si="38"/>
        <v>0</v>
      </c>
      <c r="L93" s="994">
        <f t="shared" si="38"/>
        <v>0</v>
      </c>
      <c r="M93" s="994">
        <f t="shared" si="38"/>
        <v>0</v>
      </c>
      <c r="N93" s="995">
        <f t="shared" si="38"/>
        <v>0</v>
      </c>
      <c r="O93" s="995">
        <f t="shared" si="38"/>
        <v>0</v>
      </c>
      <c r="P93" s="995">
        <f t="shared" si="38"/>
        <v>0</v>
      </c>
      <c r="Q93" s="995">
        <f t="shared" ref="Q93:R93" si="39">SUM(Q89:Q92)</f>
        <v>0</v>
      </c>
      <c r="R93" s="995">
        <f t="shared" si="39"/>
        <v>0</v>
      </c>
      <c r="S93" s="1258">
        <f t="shared" si="38"/>
        <v>0</v>
      </c>
      <c r="T93" s="1024">
        <f t="shared" si="31"/>
        <v>0</v>
      </c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  <c r="CS93" s="121"/>
      <c r="CT93" s="121"/>
      <c r="CU93" s="121"/>
      <c r="CV93" s="121"/>
      <c r="CW93" s="121"/>
      <c r="CX93" s="121"/>
      <c r="CY93" s="121"/>
      <c r="CZ93" s="121"/>
      <c r="DA93" s="121"/>
      <c r="DB93" s="121"/>
      <c r="DC93" s="121"/>
      <c r="DD93" s="121"/>
      <c r="DE93" s="121"/>
      <c r="DF93" s="121"/>
      <c r="DG93" s="121"/>
      <c r="DH93" s="121"/>
      <c r="DI93" s="121"/>
      <c r="DJ93" s="121"/>
      <c r="DK93" s="121"/>
      <c r="DL93" s="121"/>
      <c r="DM93" s="121"/>
      <c r="DN93" s="121"/>
      <c r="DO93" s="121"/>
      <c r="DP93" s="121"/>
      <c r="DQ93" s="121"/>
      <c r="DR93" s="121"/>
      <c r="DS93" s="121"/>
      <c r="DT93" s="121"/>
    </row>
    <row r="94" spans="1:124" s="1022" customFormat="1" ht="30.75" customHeight="1" thickBot="1">
      <c r="A94" s="1946" t="s">
        <v>207</v>
      </c>
      <c r="B94" s="1947"/>
      <c r="C94" s="1947"/>
      <c r="D94" s="1947"/>
      <c r="E94" s="1020"/>
      <c r="F94" s="1020">
        <f>F93+F86+F78+F71+F69+F65+F59+F56+F48+F39+F32+F29+F25+F19+F15+F11</f>
        <v>867.46000000000015</v>
      </c>
      <c r="G94" s="1020">
        <f>G93+G86+G78+G71+G69+G65+G59+G56+G48+G39+G32+G29+G25+G19+G15+G11</f>
        <v>289.24</v>
      </c>
      <c r="H94" s="1020">
        <f>H93+H86+H78+H71+H69+H65+H59+H56+H48+H39+H32+H29+H25+H19+H15+H11</f>
        <v>48.33</v>
      </c>
      <c r="I94" s="1020"/>
      <c r="J94" s="1021">
        <f>J11+J15+J19+J25+J32+J34+J65+J69+J78</f>
        <v>672345.75</v>
      </c>
      <c r="K94" s="1021">
        <f>K11+K15+K19+K25+K29+K32+K39+K47+K56+K65+K71+K78+K59+K86+K69</f>
        <v>448614.69999999995</v>
      </c>
      <c r="L94" s="1021">
        <f>L11+L15+L19+L25+L29+L32+L39+L47+L56+L65+L71+L78+L59+L86+L69</f>
        <v>25466.339999999997</v>
      </c>
      <c r="M94" s="1021">
        <f>M11+M15+M19+M25+M29+M32+M39+M47+M56+M65+M71+M78+M59</f>
        <v>3656.7</v>
      </c>
      <c r="N94" s="1020"/>
      <c r="O94" s="1020"/>
      <c r="P94" s="1020"/>
      <c r="Q94" s="1020">
        <f>Q93+Q86+Q78+Q71+Q69+Q65+Q59+Q56+Q48+Q39+Q32+Q29+Q25+Q19+Q15+Q11</f>
        <v>0</v>
      </c>
      <c r="R94" s="1020">
        <f>R93+R86+R78+R71+R69+R65+R59+R56+R48+R39+R32+R29+R25+R19+R15+R11</f>
        <v>15701.24</v>
      </c>
      <c r="S94" s="1349">
        <f>S93+S86+S78+S71+S69+S65+S59+S56+S48+S39+S32+S29+S25+S19+S15+S11</f>
        <v>15178</v>
      </c>
      <c r="T94" s="1280">
        <f>T93+T86+T78+T71+T69+T65+T59+T56+T48+T39+T32+T29+T25+T19+T15+T11</f>
        <v>18126.5</v>
      </c>
      <c r="U94" s="1023">
        <f>S94-'Summary (new)2'!B15</f>
        <v>3414</v>
      </c>
    </row>
    <row r="95" spans="1:124" s="94" customFormat="1" ht="34.5" customHeight="1">
      <c r="A95" s="1955" t="s">
        <v>208</v>
      </c>
      <c r="B95" s="1956"/>
      <c r="C95" s="1956"/>
      <c r="D95" s="1956"/>
      <c r="E95" s="1957"/>
      <c r="F95" s="1957"/>
      <c r="G95" s="1957"/>
      <c r="H95" s="1957"/>
      <c r="I95" s="1957"/>
      <c r="J95" s="1957"/>
      <c r="K95" s="1957"/>
      <c r="L95" s="1957"/>
      <c r="M95" s="1957"/>
      <c r="N95" s="1957"/>
      <c r="O95" s="1957"/>
      <c r="P95" s="1957"/>
      <c r="Q95" s="1957"/>
      <c r="R95" s="1957"/>
      <c r="S95" s="1958"/>
      <c r="T95" s="1024">
        <f t="shared" si="31"/>
        <v>0</v>
      </c>
      <c r="U95" s="249"/>
      <c r="V95" s="249"/>
      <c r="W95" s="249"/>
      <c r="X95" s="249"/>
      <c r="Y95" s="249"/>
      <c r="Z95" s="249"/>
      <c r="AA95" s="249"/>
      <c r="AB95" s="249"/>
      <c r="AC95" s="249"/>
      <c r="AD95" s="249"/>
      <c r="AE95" s="249"/>
      <c r="AF95" s="249"/>
      <c r="AG95" s="249"/>
      <c r="AH95" s="249"/>
      <c r="AI95" s="249"/>
      <c r="AJ95" s="249"/>
      <c r="AK95" s="249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49"/>
      <c r="AX95" s="249"/>
      <c r="AY95" s="249"/>
      <c r="AZ95" s="249"/>
      <c r="BA95" s="249"/>
      <c r="BB95" s="249"/>
      <c r="BC95" s="249"/>
      <c r="BD95" s="249"/>
      <c r="BE95" s="249"/>
      <c r="BF95" s="249"/>
      <c r="BG95" s="249"/>
      <c r="BH95" s="249"/>
      <c r="BI95" s="249"/>
      <c r="BJ95" s="249"/>
      <c r="BK95" s="249"/>
      <c r="BL95" s="249"/>
      <c r="BM95" s="249"/>
      <c r="BN95" s="249"/>
      <c r="BO95" s="249"/>
      <c r="BP95" s="249"/>
      <c r="BQ95" s="249"/>
      <c r="BR95" s="249"/>
      <c r="BS95" s="249"/>
      <c r="BT95" s="249"/>
      <c r="BU95" s="249"/>
      <c r="BV95" s="249"/>
      <c r="BW95" s="249"/>
      <c r="BX95" s="249"/>
      <c r="BY95" s="249"/>
      <c r="BZ95" s="249"/>
      <c r="CA95" s="249"/>
      <c r="CB95" s="249"/>
      <c r="CC95" s="249"/>
      <c r="CD95" s="249"/>
      <c r="CE95" s="249"/>
      <c r="CF95" s="249"/>
      <c r="CG95" s="249"/>
      <c r="CH95" s="249"/>
      <c r="CI95" s="249"/>
      <c r="CJ95" s="249"/>
      <c r="CK95" s="249"/>
      <c r="CL95" s="249"/>
      <c r="CM95" s="249"/>
      <c r="CN95" s="249"/>
      <c r="CO95" s="249"/>
      <c r="CP95" s="249"/>
      <c r="CQ95" s="249"/>
      <c r="CR95" s="249"/>
      <c r="CS95" s="249"/>
      <c r="CT95" s="249"/>
      <c r="CU95" s="249"/>
      <c r="CV95" s="249"/>
      <c r="CW95" s="249"/>
      <c r="CX95" s="249"/>
      <c r="CY95" s="249"/>
      <c r="CZ95" s="249"/>
      <c r="DA95" s="249"/>
      <c r="DB95" s="249"/>
      <c r="DC95" s="249"/>
      <c r="DD95" s="249"/>
      <c r="DE95" s="249"/>
      <c r="DF95" s="249"/>
      <c r="DG95" s="249"/>
      <c r="DH95" s="249"/>
      <c r="DI95" s="249"/>
      <c r="DJ95" s="249"/>
      <c r="DK95" s="249"/>
      <c r="DL95" s="249"/>
      <c r="DM95" s="249"/>
      <c r="DN95" s="249"/>
      <c r="DO95" s="249"/>
      <c r="DP95" s="249"/>
      <c r="DQ95" s="249"/>
      <c r="DR95" s="249"/>
      <c r="DS95" s="249"/>
      <c r="DT95" s="249"/>
    </row>
    <row r="96" spans="1:124" s="1018" customFormat="1" ht="43.5" customHeight="1">
      <c r="A96" s="1178">
        <v>1</v>
      </c>
      <c r="B96" s="1231" t="str">
        <f>'D M S'!B141</f>
        <v>Loader</v>
      </c>
      <c r="C96" s="1232">
        <f>'D M S'!C141</f>
        <v>10233</v>
      </c>
      <c r="D96" s="1266" t="str">
        <f>'D M S'!D141</f>
        <v>xgma</v>
      </c>
      <c r="E96" s="1200">
        <f>(10*6)+8</f>
        <v>68</v>
      </c>
      <c r="F96" s="1233">
        <f>'D M S'!M141</f>
        <v>45.49</v>
      </c>
      <c r="G96" s="1233">
        <f>'D M S'!M142</f>
        <v>0.27</v>
      </c>
      <c r="H96" s="1233">
        <f>'D M S'!M143</f>
        <v>0</v>
      </c>
      <c r="I96" s="1234">
        <v>400</v>
      </c>
      <c r="J96" s="1234">
        <f t="shared" ref="J96:J101" si="40">I96*E96</f>
        <v>27200</v>
      </c>
      <c r="K96" s="1235">
        <f t="shared" ref="K96:K101" si="41">F96*I96</f>
        <v>18196</v>
      </c>
      <c r="L96" s="1235">
        <f t="shared" ref="L96:L101" si="42">I96*G96</f>
        <v>108</v>
      </c>
      <c r="M96" s="1235">
        <f t="shared" ref="M96:M101" si="43">I96*H96</f>
        <v>0</v>
      </c>
      <c r="N96" s="1167">
        <f>F96/(E96)</f>
        <v>0.66897058823529409</v>
      </c>
      <c r="O96" s="1167">
        <f>IF((F96+G96)=0,0,F96/(F96+G96))</f>
        <v>0.99409965034965031</v>
      </c>
      <c r="P96" s="1167">
        <f>(F96+G96)/(E96)</f>
        <v>0.67294117647058826</v>
      </c>
      <c r="Q96" s="1234">
        <v>12</v>
      </c>
      <c r="R96" s="1234">
        <f t="shared" ref="R96:R114" si="44">F96*Q96</f>
        <v>545.88</v>
      </c>
      <c r="S96" s="1592">
        <f>'[8]w Machinery Ex'!$S95+'[2]w Machinery Ex'!$S95+'[3]w Machinery Ex'!$S95+'[9]w Machinery Ex'!$S95+'[5]w Machinery Ex'!$S95+'[6]w Machinery Ex'!$S95+'[7]w Machinery Ex'!$S95</f>
        <v>591</v>
      </c>
      <c r="T96" s="1024">
        <f t="shared" si="31"/>
        <v>816</v>
      </c>
      <c r="U96" s="1017"/>
      <c r="V96" s="1017"/>
      <c r="W96" s="1017"/>
      <c r="X96" s="1017"/>
      <c r="Y96" s="1017"/>
      <c r="Z96" s="1017"/>
      <c r="AA96" s="1017"/>
      <c r="AB96" s="1017"/>
      <c r="AC96" s="1017"/>
      <c r="AD96" s="1017"/>
      <c r="AE96" s="1017"/>
      <c r="AF96" s="1017"/>
      <c r="AG96" s="1017"/>
      <c r="AH96" s="1017"/>
      <c r="AI96" s="1017"/>
      <c r="AJ96" s="1017"/>
      <c r="AK96" s="1017"/>
      <c r="AL96" s="1017"/>
      <c r="AM96" s="1017"/>
      <c r="AN96" s="1017"/>
      <c r="AO96" s="1017"/>
      <c r="AP96" s="1017"/>
      <c r="AQ96" s="1017"/>
      <c r="AR96" s="1017"/>
      <c r="AS96" s="1017"/>
      <c r="AT96" s="1017"/>
      <c r="AU96" s="1017"/>
      <c r="AV96" s="1017"/>
      <c r="AW96" s="1017"/>
      <c r="AX96" s="1017"/>
      <c r="AY96" s="1017"/>
      <c r="AZ96" s="1017"/>
      <c r="BA96" s="1017"/>
      <c r="BB96" s="1017"/>
      <c r="BC96" s="1017"/>
      <c r="BD96" s="1017"/>
      <c r="BE96" s="1017"/>
      <c r="BF96" s="1017"/>
      <c r="BG96" s="1017"/>
      <c r="BH96" s="1595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  <c r="BT96" s="1017"/>
      <c r="BU96" s="1017"/>
      <c r="BV96" s="1017"/>
      <c r="BW96" s="1017"/>
      <c r="BX96" s="1017"/>
      <c r="BY96" s="1017"/>
      <c r="BZ96" s="1017"/>
      <c r="CA96" s="1017"/>
      <c r="CB96" s="1017"/>
      <c r="CC96" s="1017"/>
      <c r="CD96" s="1017"/>
      <c r="CE96" s="1017"/>
      <c r="CF96" s="1017"/>
      <c r="CG96" s="1017"/>
      <c r="CH96" s="1017"/>
      <c r="CI96" s="1017"/>
      <c r="CJ96" s="1017"/>
      <c r="CK96" s="1017"/>
      <c r="CL96" s="1017"/>
      <c r="CM96" s="1017"/>
      <c r="CN96" s="1017"/>
      <c r="CO96" s="1017"/>
      <c r="CP96" s="1017"/>
      <c r="CQ96" s="1017"/>
      <c r="CR96" s="1017"/>
      <c r="CS96" s="1017"/>
      <c r="CT96" s="1017"/>
      <c r="CU96" s="1017"/>
      <c r="CV96" s="1017"/>
      <c r="CW96" s="1017"/>
      <c r="CX96" s="1017"/>
      <c r="CY96" s="1017"/>
      <c r="CZ96" s="1017"/>
      <c r="DA96" s="1017"/>
      <c r="DB96" s="1017"/>
      <c r="DC96" s="1017"/>
      <c r="DD96" s="1017"/>
      <c r="DE96" s="1017"/>
      <c r="DF96" s="1017"/>
      <c r="DG96" s="1017"/>
      <c r="DH96" s="1017"/>
      <c r="DI96" s="1017"/>
      <c r="DJ96" s="1017"/>
      <c r="DK96" s="1017"/>
      <c r="DL96" s="1017"/>
      <c r="DM96" s="1017"/>
      <c r="DN96" s="1017"/>
      <c r="DO96" s="1017"/>
      <c r="DP96" s="1017"/>
      <c r="DQ96" s="1017"/>
      <c r="DR96" s="1017"/>
      <c r="DS96" s="1017"/>
      <c r="DT96" s="1017"/>
    </row>
    <row r="97" spans="1:124" s="102" customFormat="1" ht="36" customHeight="1">
      <c r="A97" s="986">
        <v>2</v>
      </c>
      <c r="B97" s="1375" t="s">
        <v>739</v>
      </c>
      <c r="C97" s="660" t="str">
        <f>'D M S'!C144</f>
        <v>3-69520</v>
      </c>
      <c r="D97" s="660" t="str">
        <f>'D M S'!D144</f>
        <v>SINOTRUCK</v>
      </c>
      <c r="E97" s="1376">
        <f>(10*6)+8</f>
        <v>68</v>
      </c>
      <c r="F97" s="673">
        <f>'D M S'!M144</f>
        <v>51.999999999999993</v>
      </c>
      <c r="G97" s="673">
        <f>'D M S'!M145</f>
        <v>1.34</v>
      </c>
      <c r="H97" s="673">
        <f>'D M S'!M146</f>
        <v>0</v>
      </c>
      <c r="I97" s="656">
        <v>250</v>
      </c>
      <c r="J97" s="656">
        <f t="shared" si="40"/>
        <v>17000</v>
      </c>
      <c r="K97" s="651">
        <f t="shared" si="41"/>
        <v>12999.999999999998</v>
      </c>
      <c r="L97" s="651">
        <f t="shared" si="42"/>
        <v>335</v>
      </c>
      <c r="M97" s="651">
        <f t="shared" si="43"/>
        <v>0</v>
      </c>
      <c r="N97" s="652">
        <f t="shared" ref="N97:N110" si="45">F97/(E97)</f>
        <v>0.76470588235294112</v>
      </c>
      <c r="O97" s="652">
        <f t="shared" ref="O97:O101" si="46">IF((F97+G97)=0,0,F97/(F97+G97))</f>
        <v>0.97487814023247088</v>
      </c>
      <c r="P97" s="652">
        <f t="shared" ref="P97:P110" si="47">(F97+G97)/(E97)</f>
        <v>0.78441176470588225</v>
      </c>
      <c r="Q97" s="653">
        <v>10</v>
      </c>
      <c r="R97" s="653">
        <f t="shared" si="44"/>
        <v>519.99999999999989</v>
      </c>
      <c r="S97" s="654">
        <f>'[8]w Machinery Ex'!$S96+'[2]w Machinery Ex'!$S96+'[3]w Machinery Ex'!$S96+'[9]w Machinery Ex'!$S96+'[5]w Machinery Ex'!$S96+'[6]w Machinery Ex'!$S96+'[7]w Machinery Ex'!$S96</f>
        <v>203</v>
      </c>
      <c r="T97" s="1024">
        <f t="shared" si="31"/>
        <v>680</v>
      </c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595"/>
      <c r="BI97" s="101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01"/>
      <c r="CE97" s="101"/>
      <c r="CF97" s="101"/>
      <c r="CG97" s="101"/>
      <c r="CH97" s="101"/>
      <c r="CI97" s="101"/>
      <c r="CJ97" s="101"/>
      <c r="CK97" s="101"/>
      <c r="CL97" s="101"/>
      <c r="CM97" s="101"/>
      <c r="CN97" s="101"/>
      <c r="CO97" s="101"/>
      <c r="CP97" s="101"/>
      <c r="CQ97" s="101"/>
      <c r="CR97" s="101"/>
      <c r="CS97" s="101"/>
      <c r="CT97" s="101"/>
      <c r="CU97" s="101"/>
      <c r="CV97" s="101"/>
      <c r="CW97" s="101"/>
      <c r="CX97" s="101"/>
      <c r="CY97" s="101"/>
      <c r="CZ97" s="101"/>
      <c r="DA97" s="101"/>
      <c r="DB97" s="101"/>
      <c r="DC97" s="101"/>
      <c r="DD97" s="101"/>
      <c r="DE97" s="101"/>
      <c r="DF97" s="101"/>
      <c r="DG97" s="101"/>
      <c r="DH97" s="101"/>
      <c r="DI97" s="101"/>
      <c r="DJ97" s="101"/>
      <c r="DK97" s="101"/>
      <c r="DL97" s="101"/>
      <c r="DM97" s="101"/>
      <c r="DN97" s="101"/>
      <c r="DO97" s="101"/>
      <c r="DP97" s="101"/>
      <c r="DQ97" s="101"/>
      <c r="DR97" s="101"/>
      <c r="DS97" s="101"/>
      <c r="DT97" s="101"/>
    </row>
    <row r="98" spans="1:124" s="102" customFormat="1" ht="36" customHeight="1">
      <c r="A98" s="986">
        <v>3</v>
      </c>
      <c r="B98" s="1375" t="s">
        <v>739</v>
      </c>
      <c r="C98" s="660" t="str">
        <f>'D M S'!C147</f>
        <v>3-69538</v>
      </c>
      <c r="D98" s="660" t="str">
        <f>'D M S'!D147</f>
        <v>SINOTRUCK</v>
      </c>
      <c r="E98" s="1376">
        <f>(10*6)+8</f>
        <v>68</v>
      </c>
      <c r="F98" s="673">
        <f>'D M S'!M147</f>
        <v>44.29</v>
      </c>
      <c r="G98" s="673">
        <f>'D M S'!M148</f>
        <v>0.72</v>
      </c>
      <c r="H98" s="673">
        <f>'D M S'!M149</f>
        <v>0</v>
      </c>
      <c r="I98" s="656">
        <v>250</v>
      </c>
      <c r="J98" s="656">
        <f t="shared" si="40"/>
        <v>17000</v>
      </c>
      <c r="K98" s="651">
        <f t="shared" si="41"/>
        <v>11072.5</v>
      </c>
      <c r="L98" s="651">
        <f t="shared" si="42"/>
        <v>180</v>
      </c>
      <c r="M98" s="651">
        <f t="shared" si="43"/>
        <v>0</v>
      </c>
      <c r="N98" s="652">
        <f t="shared" si="45"/>
        <v>0.65132352941176475</v>
      </c>
      <c r="O98" s="652">
        <f t="shared" si="46"/>
        <v>0.98400355476560764</v>
      </c>
      <c r="P98" s="652">
        <f t="shared" si="47"/>
        <v>0.66191176470588231</v>
      </c>
      <c r="Q98" s="653">
        <v>10</v>
      </c>
      <c r="R98" s="653">
        <f t="shared" si="44"/>
        <v>442.9</v>
      </c>
      <c r="S98" s="654">
        <f>'[8]w Machinery Ex'!$S97+'[2]w Machinery Ex'!$S97+'[3]w Machinery Ex'!$S97+'[9]w Machinery Ex'!$S97+'[5]w Machinery Ex'!$S97+'[6]w Machinery Ex'!$S97+'[7]w Machinery Ex'!$S97</f>
        <v>512</v>
      </c>
      <c r="T98" s="1024">
        <f t="shared" si="31"/>
        <v>680</v>
      </c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595"/>
      <c r="BI98" s="101"/>
      <c r="BJ98" s="101"/>
      <c r="BK98" s="101"/>
      <c r="BL98" s="101"/>
      <c r="BM98" s="101"/>
      <c r="BN98" s="101"/>
      <c r="BO98" s="101"/>
      <c r="BP98" s="101"/>
      <c r="BQ98" s="101"/>
      <c r="BR98" s="101"/>
      <c r="BS98" s="101"/>
      <c r="BT98" s="101"/>
      <c r="BU98" s="101"/>
      <c r="BV98" s="101"/>
      <c r="BW98" s="101"/>
      <c r="BX98" s="101"/>
      <c r="BY98" s="101"/>
      <c r="BZ98" s="101"/>
      <c r="CA98" s="101"/>
      <c r="CB98" s="101"/>
      <c r="CC98" s="101"/>
      <c r="CD98" s="101"/>
      <c r="CE98" s="101"/>
      <c r="CF98" s="101"/>
      <c r="CG98" s="101"/>
      <c r="CH98" s="101"/>
      <c r="CI98" s="101"/>
      <c r="CJ98" s="101"/>
      <c r="CK98" s="101"/>
      <c r="CL98" s="101"/>
      <c r="CM98" s="101"/>
      <c r="CN98" s="101"/>
      <c r="CO98" s="101"/>
      <c r="CP98" s="101"/>
      <c r="CQ98" s="101"/>
      <c r="CR98" s="101"/>
      <c r="CS98" s="101"/>
      <c r="CT98" s="101"/>
      <c r="CU98" s="101"/>
      <c r="CV98" s="101"/>
      <c r="CW98" s="101"/>
      <c r="CX98" s="101"/>
      <c r="CY98" s="101"/>
      <c r="CZ98" s="101"/>
      <c r="DA98" s="101"/>
      <c r="DB98" s="101"/>
      <c r="DC98" s="101"/>
      <c r="DD98" s="101"/>
      <c r="DE98" s="101"/>
      <c r="DF98" s="101"/>
      <c r="DG98" s="101"/>
      <c r="DH98" s="101"/>
      <c r="DI98" s="101"/>
      <c r="DJ98" s="101"/>
      <c r="DK98" s="101"/>
      <c r="DL98" s="101"/>
      <c r="DM98" s="101"/>
      <c r="DN98" s="101"/>
      <c r="DO98" s="101"/>
      <c r="DP98" s="101"/>
      <c r="DQ98" s="101"/>
      <c r="DR98" s="101"/>
      <c r="DS98" s="101"/>
      <c r="DT98" s="101"/>
    </row>
    <row r="99" spans="1:124" s="102" customFormat="1" ht="36" hidden="1" customHeight="1">
      <c r="A99" s="986">
        <v>4</v>
      </c>
      <c r="B99" s="1019" t="s">
        <v>114</v>
      </c>
      <c r="C99" s="660">
        <v>800</v>
      </c>
      <c r="D99" s="660" t="s">
        <v>616</v>
      </c>
      <c r="E99" s="1376"/>
      <c r="F99" s="673">
        <f>'D M S'!M165</f>
        <v>0</v>
      </c>
      <c r="G99" s="673">
        <f>'D M S'!M166</f>
        <v>0</v>
      </c>
      <c r="H99" s="673">
        <f>'D M S'!M167</f>
        <v>0</v>
      </c>
      <c r="I99" s="656">
        <v>1400</v>
      </c>
      <c r="J99" s="656">
        <f t="shared" si="40"/>
        <v>0</v>
      </c>
      <c r="K99" s="651">
        <f t="shared" si="41"/>
        <v>0</v>
      </c>
      <c r="L99" s="651">
        <f t="shared" si="42"/>
        <v>0</v>
      </c>
      <c r="M99" s="651">
        <f t="shared" si="43"/>
        <v>0</v>
      </c>
      <c r="N99" s="652" t="e">
        <f t="shared" si="45"/>
        <v>#DIV/0!</v>
      </c>
      <c r="O99" s="652">
        <f t="shared" si="46"/>
        <v>0</v>
      </c>
      <c r="P99" s="652" t="e">
        <f t="shared" si="47"/>
        <v>#DIV/0!</v>
      </c>
      <c r="Q99" s="653">
        <v>45</v>
      </c>
      <c r="R99" s="653">
        <f t="shared" si="44"/>
        <v>0</v>
      </c>
      <c r="S99" s="654">
        <f>'[8]w Machinery Ex'!$S98+'[2]w Machinery Ex'!$S98+'[3]w Machinery Ex'!$S98+'[9]w Machinery Ex'!$S98+'[5]w Machinery Ex'!$S98+'[6]w Machinery Ex'!$S98+'[7]w Machinery Ex'!$S98</f>
        <v>0</v>
      </c>
      <c r="T99" s="1024">
        <f t="shared" si="31"/>
        <v>0</v>
      </c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/>
      <c r="AZ99" s="101"/>
      <c r="BA99" s="101"/>
      <c r="BB99" s="101"/>
      <c r="BC99" s="101"/>
      <c r="BD99" s="101"/>
      <c r="BE99" s="101"/>
      <c r="BF99" s="101"/>
      <c r="BG99" s="101"/>
      <c r="BH99" s="1595"/>
      <c r="BI99" s="101"/>
      <c r="BJ99" s="101"/>
      <c r="BK99" s="101"/>
      <c r="BL99" s="101"/>
      <c r="BM99" s="101"/>
      <c r="BN99" s="101"/>
      <c r="BO99" s="101"/>
      <c r="BP99" s="101"/>
      <c r="BQ99" s="101"/>
      <c r="BR99" s="101"/>
      <c r="BS99" s="101"/>
      <c r="BT99" s="101"/>
      <c r="BU99" s="101"/>
      <c r="BV99" s="101"/>
      <c r="BW99" s="101"/>
      <c r="BX99" s="101"/>
      <c r="BY99" s="101"/>
      <c r="BZ99" s="101"/>
      <c r="CA99" s="101"/>
      <c r="CB99" s="101"/>
      <c r="CC99" s="101"/>
      <c r="CD99" s="101"/>
      <c r="CE99" s="101"/>
      <c r="CF99" s="101"/>
      <c r="CG99" s="101"/>
      <c r="CH99" s="101"/>
      <c r="CI99" s="101"/>
      <c r="CJ99" s="101"/>
      <c r="CK99" s="101"/>
      <c r="CL99" s="101"/>
      <c r="CM99" s="101"/>
      <c r="CN99" s="101"/>
      <c r="CO99" s="101"/>
      <c r="CP99" s="101"/>
      <c r="CQ99" s="101"/>
      <c r="CR99" s="101"/>
      <c r="CS99" s="101"/>
      <c r="CT99" s="101"/>
      <c r="CU99" s="101"/>
      <c r="CV99" s="101"/>
      <c r="CW99" s="101"/>
      <c r="CX99" s="101"/>
      <c r="CY99" s="101"/>
      <c r="CZ99" s="101"/>
      <c r="DA99" s="101"/>
      <c r="DB99" s="101"/>
      <c r="DC99" s="101"/>
      <c r="DD99" s="101"/>
      <c r="DE99" s="101"/>
      <c r="DF99" s="101"/>
      <c r="DG99" s="101"/>
      <c r="DH99" s="101"/>
      <c r="DI99" s="101"/>
      <c r="DJ99" s="101"/>
      <c r="DK99" s="101"/>
      <c r="DL99" s="101"/>
      <c r="DM99" s="101"/>
      <c r="DN99" s="101"/>
      <c r="DO99" s="101"/>
      <c r="DP99" s="101"/>
      <c r="DQ99" s="101"/>
      <c r="DR99" s="101"/>
      <c r="DS99" s="101"/>
      <c r="DT99" s="101"/>
    </row>
    <row r="100" spans="1:124" s="102" customFormat="1" ht="36" customHeight="1">
      <c r="A100" s="986">
        <v>5</v>
      </c>
      <c r="B100" s="1572" t="s">
        <v>120</v>
      </c>
      <c r="C100" s="660">
        <v>1152</v>
      </c>
      <c r="D100" s="1265" t="s">
        <v>703</v>
      </c>
      <c r="E100" s="1376">
        <f>10*7</f>
        <v>70</v>
      </c>
      <c r="F100" s="673">
        <f>'D M S'!M174</f>
        <v>42.34</v>
      </c>
      <c r="G100" s="673">
        <f>'D M S'!M175</f>
        <v>2</v>
      </c>
      <c r="H100" s="673">
        <f>'D M S'!M176</f>
        <v>0</v>
      </c>
      <c r="I100" s="656">
        <v>1000</v>
      </c>
      <c r="J100" s="656">
        <f t="shared" si="40"/>
        <v>70000</v>
      </c>
      <c r="K100" s="651">
        <f t="shared" si="41"/>
        <v>42340</v>
      </c>
      <c r="L100" s="651">
        <f t="shared" si="42"/>
        <v>2000</v>
      </c>
      <c r="M100" s="651">
        <f t="shared" si="43"/>
        <v>0</v>
      </c>
      <c r="N100" s="652">
        <f t="shared" si="45"/>
        <v>0.60485714285714287</v>
      </c>
      <c r="O100" s="652">
        <f t="shared" si="46"/>
        <v>0.95489400090211995</v>
      </c>
      <c r="P100" s="652">
        <f t="shared" si="47"/>
        <v>0.63342857142857145</v>
      </c>
      <c r="Q100" s="653">
        <v>18</v>
      </c>
      <c r="R100" s="653">
        <f t="shared" si="44"/>
        <v>762.12000000000012</v>
      </c>
      <c r="S100" s="654">
        <f>'[8]w Machinery Ex'!$S99+'[2]w Machinery Ex'!$S99+'[3]w Machinery Ex'!$S99+'[9]w Machinery Ex'!$S99+'[5]w Machinery Ex'!$S99+'[6]w Machinery Ex'!$S99+'[7]w Machinery Ex'!$S99</f>
        <v>626</v>
      </c>
      <c r="T100" s="1024">
        <f t="shared" si="31"/>
        <v>1260</v>
      </c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/>
      <c r="BA100" s="101"/>
      <c r="BB100" s="101"/>
      <c r="BC100" s="101"/>
      <c r="BD100" s="101"/>
      <c r="BE100" s="101"/>
      <c r="BF100" s="101"/>
      <c r="BG100" s="101"/>
      <c r="BH100" s="1595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  <c r="BU100" s="101"/>
      <c r="BV100" s="101"/>
      <c r="BW100" s="101"/>
      <c r="BX100" s="101"/>
      <c r="BY100" s="101"/>
      <c r="BZ100" s="101"/>
      <c r="CA100" s="101"/>
      <c r="CB100" s="101"/>
      <c r="CC100" s="101"/>
      <c r="CD100" s="101"/>
      <c r="CE100" s="101"/>
      <c r="CF100" s="101"/>
      <c r="CG100" s="101"/>
      <c r="CH100" s="101"/>
      <c r="CI100" s="101"/>
      <c r="CJ100" s="101"/>
      <c r="CK100" s="101"/>
      <c r="CL100" s="101"/>
      <c r="CM100" s="101"/>
      <c r="CN100" s="101"/>
      <c r="CO100" s="101"/>
      <c r="CP100" s="101"/>
      <c r="CQ100" s="101"/>
      <c r="CR100" s="101"/>
      <c r="CS100" s="101"/>
      <c r="CT100" s="101"/>
      <c r="CU100" s="101"/>
      <c r="CV100" s="101"/>
      <c r="CW100" s="101"/>
      <c r="CX100" s="101"/>
      <c r="CY100" s="101"/>
      <c r="CZ100" s="101"/>
      <c r="DA100" s="101"/>
      <c r="DB100" s="101"/>
      <c r="DC100" s="101"/>
      <c r="DD100" s="101"/>
      <c r="DE100" s="101"/>
      <c r="DF100" s="101"/>
      <c r="DG100" s="101"/>
      <c r="DH100" s="101"/>
      <c r="DI100" s="101"/>
      <c r="DJ100" s="101"/>
      <c r="DK100" s="101"/>
      <c r="DL100" s="101"/>
      <c r="DM100" s="101"/>
      <c r="DN100" s="101"/>
      <c r="DO100" s="101"/>
      <c r="DP100" s="101"/>
      <c r="DQ100" s="101"/>
      <c r="DR100" s="101"/>
      <c r="DS100" s="101"/>
      <c r="DT100" s="101"/>
    </row>
    <row r="101" spans="1:124" s="102" customFormat="1" ht="36" customHeight="1">
      <c r="A101" s="986">
        <v>6</v>
      </c>
      <c r="B101" s="1572" t="s">
        <v>790</v>
      </c>
      <c r="C101" s="660">
        <v>3613</v>
      </c>
      <c r="D101" s="660" t="s">
        <v>791</v>
      </c>
      <c r="E101" s="1376">
        <f>7*8</f>
        <v>56</v>
      </c>
      <c r="F101" s="673">
        <f>'D M S'!M168</f>
        <v>55</v>
      </c>
      <c r="G101" s="673">
        <f>'D M S'!M169</f>
        <v>0</v>
      </c>
      <c r="H101" s="673">
        <f>'D M S'!M170</f>
        <v>0</v>
      </c>
      <c r="I101" s="656">
        <v>400</v>
      </c>
      <c r="J101" s="656">
        <f t="shared" si="40"/>
        <v>22400</v>
      </c>
      <c r="K101" s="651">
        <f t="shared" si="41"/>
        <v>22000</v>
      </c>
      <c r="L101" s="651">
        <f t="shared" si="42"/>
        <v>0</v>
      </c>
      <c r="M101" s="651">
        <f t="shared" si="43"/>
        <v>0</v>
      </c>
      <c r="N101" s="652">
        <f t="shared" si="45"/>
        <v>0.9821428571428571</v>
      </c>
      <c r="O101" s="652">
        <f t="shared" si="46"/>
        <v>1</v>
      </c>
      <c r="P101" s="652">
        <f t="shared" si="47"/>
        <v>0.9821428571428571</v>
      </c>
      <c r="Q101" s="653">
        <v>10</v>
      </c>
      <c r="R101" s="653">
        <f t="shared" si="44"/>
        <v>550</v>
      </c>
      <c r="S101" s="654">
        <f>'[8]w Machinery Ex'!$S100+'[2]w Machinery Ex'!$S100+'[3]w Machinery Ex'!$S100+'[9]w Machinery Ex'!$S100+'[5]w Machinery Ex'!$S100+'[6]w Machinery Ex'!$S100+'[7]w Machinery Ex'!$S100</f>
        <v>184</v>
      </c>
      <c r="T101" s="1024">
        <f t="shared" si="31"/>
        <v>560</v>
      </c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/>
      <c r="BB101" s="101"/>
      <c r="BC101" s="101"/>
      <c r="BD101" s="101"/>
      <c r="BE101" s="101"/>
      <c r="BF101" s="101"/>
      <c r="BG101" s="101"/>
      <c r="BH101" s="1595"/>
      <c r="BI101" s="101"/>
      <c r="BJ101" s="101"/>
      <c r="BK101" s="101"/>
      <c r="BL101" s="101"/>
      <c r="BM101" s="101"/>
      <c r="BN101" s="101"/>
      <c r="BO101" s="101"/>
      <c r="BP101" s="101"/>
      <c r="BQ101" s="101"/>
      <c r="BR101" s="101"/>
      <c r="BS101" s="101"/>
      <c r="BT101" s="101"/>
      <c r="BU101" s="101"/>
      <c r="BV101" s="101"/>
      <c r="BW101" s="101"/>
      <c r="BX101" s="101"/>
      <c r="BY101" s="101"/>
      <c r="BZ101" s="101"/>
      <c r="CA101" s="101"/>
      <c r="CB101" s="101"/>
      <c r="CC101" s="101"/>
      <c r="CD101" s="101"/>
      <c r="CE101" s="101"/>
      <c r="CF101" s="101"/>
      <c r="CG101" s="101"/>
      <c r="CH101" s="101"/>
      <c r="CI101" s="101"/>
      <c r="CJ101" s="101"/>
      <c r="CK101" s="101"/>
      <c r="CL101" s="101"/>
      <c r="CM101" s="101"/>
      <c r="CN101" s="101"/>
      <c r="CO101" s="101"/>
      <c r="CP101" s="101"/>
      <c r="CQ101" s="101"/>
      <c r="CR101" s="101"/>
      <c r="CS101" s="101"/>
      <c r="CT101" s="101"/>
      <c r="CU101" s="101"/>
      <c r="CV101" s="101"/>
      <c r="CW101" s="101"/>
      <c r="CX101" s="101"/>
      <c r="CY101" s="101"/>
      <c r="CZ101" s="101"/>
      <c r="DA101" s="101"/>
      <c r="DB101" s="101"/>
      <c r="DC101" s="101"/>
      <c r="DD101" s="101"/>
      <c r="DE101" s="101"/>
      <c r="DF101" s="101"/>
      <c r="DG101" s="101"/>
      <c r="DH101" s="101"/>
      <c r="DI101" s="101"/>
      <c r="DJ101" s="101"/>
      <c r="DK101" s="101"/>
      <c r="DL101" s="101"/>
      <c r="DM101" s="101"/>
      <c r="DN101" s="101"/>
      <c r="DO101" s="101"/>
      <c r="DP101" s="101"/>
      <c r="DQ101" s="101"/>
      <c r="DR101" s="101"/>
      <c r="DS101" s="101"/>
      <c r="DT101" s="101"/>
    </row>
    <row r="102" spans="1:124" s="102" customFormat="1" ht="36" hidden="1" customHeight="1">
      <c r="A102" s="986">
        <v>6</v>
      </c>
      <c r="B102" s="1375" t="s">
        <v>739</v>
      </c>
      <c r="C102" s="660" t="s">
        <v>714</v>
      </c>
      <c r="D102" s="660" t="s">
        <v>143</v>
      </c>
      <c r="E102" s="1376"/>
      <c r="F102" s="673">
        <f>'D M S'!M150</f>
        <v>0</v>
      </c>
      <c r="G102" s="673">
        <f>'D M S'!M151</f>
        <v>0</v>
      </c>
      <c r="H102" s="673">
        <f>'D M S'!M152</f>
        <v>0</v>
      </c>
      <c r="I102" s="656">
        <v>250</v>
      </c>
      <c r="J102" s="656">
        <f t="shared" ref="J102" si="48">I102*E102</f>
        <v>0</v>
      </c>
      <c r="K102" s="651">
        <f t="shared" ref="K102" si="49">F102*I102</f>
        <v>0</v>
      </c>
      <c r="L102" s="651">
        <f t="shared" ref="L102" si="50">I102*G102</f>
        <v>0</v>
      </c>
      <c r="M102" s="651">
        <f t="shared" ref="M102" si="51">I102*H102</f>
        <v>0</v>
      </c>
      <c r="N102" s="652" t="e">
        <f t="shared" si="45"/>
        <v>#DIV/0!</v>
      </c>
      <c r="O102" s="652">
        <f t="shared" ref="O102:O110" si="52">IF((F102+G102)=0,0,F102/(F102+G102))</f>
        <v>0</v>
      </c>
      <c r="P102" s="652" t="e">
        <f t="shared" si="47"/>
        <v>#DIV/0!</v>
      </c>
      <c r="Q102" s="653">
        <v>10</v>
      </c>
      <c r="R102" s="653">
        <f t="shared" si="44"/>
        <v>0</v>
      </c>
      <c r="S102" s="654">
        <f>'[8]w Machinery Ex'!$S101+'[2]w Machinery Ex'!$S101+'[3]w Machinery Ex'!$S101+'[9]w Machinery Ex'!$S101+'[5]w Machinery Ex'!$S101+'[6]w Machinery Ex'!$S101+'[7]w Machinery Ex'!$S101</f>
        <v>0</v>
      </c>
      <c r="T102" s="1024">
        <f t="shared" si="31"/>
        <v>0</v>
      </c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/>
      <c r="BC102" s="101"/>
      <c r="BD102" s="101"/>
      <c r="BE102" s="101"/>
      <c r="BF102" s="101"/>
      <c r="BG102" s="101"/>
      <c r="BH102" s="1595"/>
      <c r="BI102" s="101"/>
      <c r="BJ102" s="101"/>
      <c r="BK102" s="101"/>
      <c r="BL102" s="101"/>
      <c r="BM102" s="101"/>
      <c r="BN102" s="101"/>
      <c r="BO102" s="101"/>
      <c r="BP102" s="101"/>
      <c r="BQ102" s="101"/>
      <c r="BR102" s="101"/>
      <c r="BS102" s="101"/>
      <c r="BT102" s="101"/>
      <c r="BU102" s="101"/>
      <c r="BV102" s="101"/>
      <c r="BW102" s="101"/>
      <c r="BX102" s="101"/>
      <c r="BY102" s="101"/>
      <c r="BZ102" s="101"/>
      <c r="CA102" s="101"/>
      <c r="CB102" s="101"/>
      <c r="CC102" s="101"/>
      <c r="CD102" s="101"/>
      <c r="CE102" s="101"/>
      <c r="CF102" s="101"/>
      <c r="CG102" s="101"/>
      <c r="CH102" s="101"/>
      <c r="CI102" s="101"/>
      <c r="CJ102" s="101"/>
      <c r="CK102" s="101"/>
      <c r="CL102" s="101"/>
      <c r="CM102" s="101"/>
      <c r="CN102" s="101"/>
      <c r="CO102" s="101"/>
      <c r="CP102" s="101"/>
      <c r="CQ102" s="101"/>
      <c r="CR102" s="101"/>
      <c r="CS102" s="101"/>
      <c r="CT102" s="101"/>
      <c r="CU102" s="101"/>
      <c r="CV102" s="101"/>
      <c r="CW102" s="101"/>
      <c r="CX102" s="101"/>
      <c r="CY102" s="101"/>
      <c r="CZ102" s="101"/>
      <c r="DA102" s="101"/>
      <c r="DB102" s="101"/>
      <c r="DC102" s="101"/>
      <c r="DD102" s="101"/>
      <c r="DE102" s="101"/>
      <c r="DF102" s="101"/>
      <c r="DG102" s="101"/>
      <c r="DH102" s="101"/>
      <c r="DI102" s="101"/>
      <c r="DJ102" s="101"/>
      <c r="DK102" s="101"/>
      <c r="DL102" s="101"/>
      <c r="DM102" s="101"/>
      <c r="DN102" s="101"/>
      <c r="DO102" s="101"/>
      <c r="DP102" s="101"/>
      <c r="DQ102" s="101"/>
      <c r="DR102" s="101"/>
      <c r="DS102" s="101"/>
      <c r="DT102" s="101"/>
    </row>
    <row r="103" spans="1:124" s="102" customFormat="1" ht="36" customHeight="1">
      <c r="A103" s="986">
        <v>7</v>
      </c>
      <c r="B103" s="1375" t="s">
        <v>739</v>
      </c>
      <c r="C103" s="660" t="s">
        <v>744</v>
      </c>
      <c r="D103" s="660" t="s">
        <v>143</v>
      </c>
      <c r="E103" s="1376">
        <f>(10*6)+8</f>
        <v>68</v>
      </c>
      <c r="F103" s="673">
        <f>'D M S'!M153</f>
        <v>44.67</v>
      </c>
      <c r="G103" s="673">
        <f>'D M S'!M154</f>
        <v>3.13</v>
      </c>
      <c r="H103" s="673">
        <f>'D M S'!M155</f>
        <v>0</v>
      </c>
      <c r="I103" s="656">
        <v>266.67</v>
      </c>
      <c r="J103" s="656">
        <f t="shared" ref="J103:J106" si="53">I103*E103</f>
        <v>18133.560000000001</v>
      </c>
      <c r="K103" s="651">
        <f t="shared" ref="K103:K106" si="54">F103*I103</f>
        <v>11912.148900000002</v>
      </c>
      <c r="L103" s="651">
        <f t="shared" ref="L103:L106" si="55">I103*G103</f>
        <v>834.6771</v>
      </c>
      <c r="M103" s="651">
        <f t="shared" ref="M103:M106" si="56">I103*H103</f>
        <v>0</v>
      </c>
      <c r="N103" s="652">
        <f t="shared" ref="N103" si="57">F103/(E103)</f>
        <v>0.65691176470588242</v>
      </c>
      <c r="O103" s="652">
        <f t="shared" ref="O103:O106" si="58">IF((F103+G103)=0,0,F103/(F103+G103))</f>
        <v>0.93451882845188283</v>
      </c>
      <c r="P103" s="652">
        <f t="shared" ref="P103:P106" si="59">(F103+G103)/(E103)</f>
        <v>0.70294117647058829</v>
      </c>
      <c r="Q103" s="653">
        <v>10</v>
      </c>
      <c r="R103" s="653">
        <f t="shared" si="44"/>
        <v>446.70000000000005</v>
      </c>
      <c r="S103" s="654">
        <f>'[8]w Machinery Ex'!$S102+'[2]w Machinery Ex'!$S102+'[3]w Machinery Ex'!$S102+'[9]w Machinery Ex'!$S102+'[5]w Machinery Ex'!$S102+'[6]w Machinery Ex'!$S102+'[7]w Machinery Ex'!$S102</f>
        <v>200</v>
      </c>
      <c r="T103" s="1024">
        <f t="shared" si="31"/>
        <v>680</v>
      </c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/>
      <c r="BD103" s="101"/>
      <c r="BE103" s="101"/>
      <c r="BF103" s="101"/>
      <c r="BG103" s="101"/>
      <c r="BH103" s="1595"/>
      <c r="BI103" s="101"/>
      <c r="BJ103" s="101"/>
      <c r="BK103" s="101"/>
      <c r="BL103" s="101"/>
      <c r="BM103" s="101"/>
      <c r="BN103" s="101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101"/>
      <c r="BY103" s="101"/>
      <c r="BZ103" s="101"/>
      <c r="CA103" s="101"/>
      <c r="CB103" s="101"/>
      <c r="CC103" s="101"/>
      <c r="CD103" s="101"/>
      <c r="CE103" s="101"/>
      <c r="CF103" s="101"/>
      <c r="CG103" s="101"/>
      <c r="CH103" s="101"/>
      <c r="CI103" s="101"/>
      <c r="CJ103" s="101"/>
      <c r="CK103" s="101"/>
      <c r="CL103" s="101"/>
      <c r="CM103" s="101"/>
      <c r="CN103" s="101"/>
      <c r="CO103" s="101"/>
      <c r="CP103" s="101"/>
      <c r="CQ103" s="101"/>
      <c r="CR103" s="101"/>
      <c r="CS103" s="101"/>
      <c r="CT103" s="101"/>
      <c r="CU103" s="101"/>
      <c r="CV103" s="101"/>
      <c r="CW103" s="101"/>
      <c r="CX103" s="101"/>
      <c r="CY103" s="101"/>
      <c r="CZ103" s="101"/>
      <c r="DA103" s="101"/>
      <c r="DB103" s="101"/>
      <c r="DC103" s="101"/>
      <c r="DD103" s="101"/>
      <c r="DE103" s="101"/>
      <c r="DF103" s="101"/>
      <c r="DG103" s="101"/>
      <c r="DH103" s="101"/>
      <c r="DI103" s="101"/>
      <c r="DJ103" s="101"/>
      <c r="DK103" s="101"/>
      <c r="DL103" s="101"/>
      <c r="DM103" s="101"/>
      <c r="DN103" s="101"/>
      <c r="DO103" s="101"/>
      <c r="DP103" s="101"/>
      <c r="DQ103" s="101"/>
      <c r="DR103" s="101"/>
      <c r="DS103" s="101"/>
      <c r="DT103" s="101"/>
    </row>
    <row r="104" spans="1:124" s="102" customFormat="1" ht="36" hidden="1" customHeight="1">
      <c r="A104" s="986">
        <v>8</v>
      </c>
      <c r="B104" s="1375" t="s">
        <v>739</v>
      </c>
      <c r="C104" s="660" t="s">
        <v>761</v>
      </c>
      <c r="D104" s="660" t="s">
        <v>143</v>
      </c>
      <c r="E104" s="1376"/>
      <c r="F104" s="673">
        <f>'D M S'!M156</f>
        <v>0</v>
      </c>
      <c r="G104" s="673">
        <f>'D M S'!M157</f>
        <v>0</v>
      </c>
      <c r="H104" s="673">
        <f>'D M S'!M158</f>
        <v>0</v>
      </c>
      <c r="I104" s="656">
        <v>266.67</v>
      </c>
      <c r="J104" s="656">
        <f t="shared" si="53"/>
        <v>0</v>
      </c>
      <c r="K104" s="651">
        <f t="shared" si="54"/>
        <v>0</v>
      </c>
      <c r="L104" s="651">
        <f t="shared" si="55"/>
        <v>0</v>
      </c>
      <c r="M104" s="651">
        <f t="shared" si="56"/>
        <v>0</v>
      </c>
      <c r="N104" s="652" t="e">
        <f>F104/(E104)</f>
        <v>#DIV/0!</v>
      </c>
      <c r="O104" s="652">
        <f t="shared" si="58"/>
        <v>0</v>
      </c>
      <c r="P104" s="652" t="e">
        <f t="shared" si="59"/>
        <v>#DIV/0!</v>
      </c>
      <c r="Q104" s="653">
        <v>10</v>
      </c>
      <c r="R104" s="653">
        <f t="shared" si="44"/>
        <v>0</v>
      </c>
      <c r="S104" s="654">
        <f>'[8]w Machinery Ex'!$S103+'[2]w Machinery Ex'!$S103+'[3]w Machinery Ex'!$S103+'[9]w Machinery Ex'!$S103+'[5]w Machinery Ex'!$S103+'[6]w Machinery Ex'!$S103+'[7]w Machinery Ex'!$S103</f>
        <v>0</v>
      </c>
      <c r="T104" s="1024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/>
      <c r="BE104" s="101"/>
      <c r="BF104" s="101"/>
      <c r="BG104" s="101"/>
      <c r="BH104" s="1595"/>
      <c r="BI104" s="101"/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01"/>
      <c r="CE104" s="101"/>
      <c r="CF104" s="101"/>
      <c r="CG104" s="101"/>
      <c r="CH104" s="101"/>
      <c r="CI104" s="101"/>
      <c r="CJ104" s="101"/>
      <c r="CK104" s="101"/>
      <c r="CL104" s="101"/>
      <c r="CM104" s="101"/>
      <c r="CN104" s="101"/>
      <c r="CO104" s="101"/>
      <c r="CP104" s="101"/>
      <c r="CQ104" s="101"/>
      <c r="CR104" s="101"/>
      <c r="CS104" s="101"/>
      <c r="CT104" s="101"/>
      <c r="CU104" s="101"/>
      <c r="CV104" s="101"/>
      <c r="CW104" s="101"/>
      <c r="CX104" s="101"/>
      <c r="CY104" s="101"/>
      <c r="CZ104" s="101"/>
      <c r="DA104" s="101"/>
      <c r="DB104" s="101"/>
      <c r="DC104" s="101"/>
      <c r="DD104" s="101"/>
      <c r="DE104" s="101"/>
      <c r="DF104" s="101"/>
      <c r="DG104" s="101"/>
      <c r="DH104" s="101"/>
      <c r="DI104" s="101"/>
      <c r="DJ104" s="101"/>
      <c r="DK104" s="101"/>
      <c r="DL104" s="101"/>
      <c r="DM104" s="101"/>
      <c r="DN104" s="101"/>
      <c r="DO104" s="101"/>
      <c r="DP104" s="101"/>
      <c r="DQ104" s="101"/>
      <c r="DR104" s="101"/>
      <c r="DS104" s="101"/>
      <c r="DT104" s="101"/>
    </row>
    <row r="105" spans="1:124" s="102" customFormat="1" ht="36" customHeight="1">
      <c r="A105" s="986">
        <v>9</v>
      </c>
      <c r="B105" s="1375" t="s">
        <v>739</v>
      </c>
      <c r="C105" s="660" t="s">
        <v>773</v>
      </c>
      <c r="D105" s="660" t="s">
        <v>143</v>
      </c>
      <c r="E105" s="1376">
        <f>(10*6)+8</f>
        <v>68</v>
      </c>
      <c r="F105" s="673">
        <f>'D M S'!M159</f>
        <v>44.910000000000011</v>
      </c>
      <c r="G105" s="673">
        <f>'D M S'!M160</f>
        <v>2.39</v>
      </c>
      <c r="H105" s="673">
        <f>'D M S'!M161</f>
        <v>0</v>
      </c>
      <c r="I105" s="656">
        <v>350</v>
      </c>
      <c r="J105" s="656">
        <f t="shared" si="53"/>
        <v>23800</v>
      </c>
      <c r="K105" s="651">
        <f t="shared" si="54"/>
        <v>15718.500000000004</v>
      </c>
      <c r="L105" s="651">
        <f t="shared" si="55"/>
        <v>836.5</v>
      </c>
      <c r="M105" s="651">
        <f t="shared" si="56"/>
        <v>0</v>
      </c>
      <c r="N105" s="652">
        <f t="shared" ref="N105:N106" si="60">F105/(E105)</f>
        <v>0.66044117647058842</v>
      </c>
      <c r="O105" s="652">
        <f t="shared" si="58"/>
        <v>0.94947145877378436</v>
      </c>
      <c r="P105" s="652">
        <f t="shared" si="59"/>
        <v>0.69558823529411784</v>
      </c>
      <c r="Q105" s="653">
        <v>10</v>
      </c>
      <c r="R105" s="653">
        <f t="shared" si="44"/>
        <v>449.10000000000014</v>
      </c>
      <c r="S105" s="654">
        <f>'[8]w Machinery Ex'!$S104+'[2]w Machinery Ex'!$S104+'[3]w Machinery Ex'!$S104+'[9]w Machinery Ex'!$S104+'[5]w Machinery Ex'!$S104+'[6]w Machinery Ex'!$S104+'[7]w Machinery Ex'!$S104</f>
        <v>396</v>
      </c>
      <c r="T105" s="1024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/>
      <c r="BF105" s="101"/>
      <c r="BG105" s="101"/>
      <c r="BH105" s="1595"/>
      <c r="BI105" s="101"/>
      <c r="BJ105" s="101"/>
      <c r="BK105" s="101"/>
      <c r="BL105" s="101"/>
      <c r="BM105" s="101"/>
      <c r="BN105" s="101"/>
      <c r="BO105" s="101"/>
      <c r="BP105" s="101"/>
      <c r="BQ105" s="101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  <c r="CH105" s="101"/>
      <c r="CI105" s="101"/>
      <c r="CJ105" s="101"/>
      <c r="CK105" s="101"/>
      <c r="CL105" s="101"/>
      <c r="CM105" s="101"/>
      <c r="CN105" s="101"/>
      <c r="CO105" s="101"/>
      <c r="CP105" s="101"/>
      <c r="CQ105" s="101"/>
      <c r="CR105" s="101"/>
      <c r="CS105" s="101"/>
      <c r="CT105" s="101"/>
      <c r="CU105" s="101"/>
      <c r="CV105" s="101"/>
      <c r="CW105" s="101"/>
      <c r="CX105" s="101"/>
      <c r="CY105" s="101"/>
      <c r="CZ105" s="101"/>
      <c r="DA105" s="101"/>
      <c r="DB105" s="101"/>
      <c r="DC105" s="101"/>
      <c r="DD105" s="101"/>
      <c r="DE105" s="101"/>
      <c r="DF105" s="101"/>
      <c r="DG105" s="101"/>
      <c r="DH105" s="101"/>
      <c r="DI105" s="101"/>
      <c r="DJ105" s="101"/>
      <c r="DK105" s="101"/>
      <c r="DL105" s="101"/>
      <c r="DM105" s="101"/>
      <c r="DN105" s="101"/>
      <c r="DO105" s="101"/>
      <c r="DP105" s="101"/>
      <c r="DQ105" s="101"/>
      <c r="DR105" s="101"/>
      <c r="DS105" s="101"/>
      <c r="DT105" s="101"/>
    </row>
    <row r="106" spans="1:124" s="102" customFormat="1" ht="36" customHeight="1">
      <c r="A106" s="986">
        <v>10</v>
      </c>
      <c r="B106" s="1375" t="s">
        <v>739</v>
      </c>
      <c r="C106" s="660" t="s">
        <v>774</v>
      </c>
      <c r="D106" s="660" t="s">
        <v>143</v>
      </c>
      <c r="E106" s="1376">
        <f>(10*6)+8</f>
        <v>68</v>
      </c>
      <c r="F106" s="673">
        <f>'D M S'!M162</f>
        <v>53.93</v>
      </c>
      <c r="G106" s="673">
        <f>'D M S'!M163</f>
        <v>0.78</v>
      </c>
      <c r="H106" s="673">
        <f>'D M S'!M164</f>
        <v>0</v>
      </c>
      <c r="I106" s="656">
        <v>350</v>
      </c>
      <c r="J106" s="656">
        <f t="shared" si="53"/>
        <v>23800</v>
      </c>
      <c r="K106" s="651">
        <f t="shared" si="54"/>
        <v>18875.5</v>
      </c>
      <c r="L106" s="651">
        <f t="shared" si="55"/>
        <v>273</v>
      </c>
      <c r="M106" s="651">
        <f t="shared" si="56"/>
        <v>0</v>
      </c>
      <c r="N106" s="652">
        <f t="shared" si="60"/>
        <v>0.79308823529411765</v>
      </c>
      <c r="O106" s="652">
        <f t="shared" si="58"/>
        <v>0.98574300859075126</v>
      </c>
      <c r="P106" s="652">
        <f t="shared" si="59"/>
        <v>0.80455882352941177</v>
      </c>
      <c r="Q106" s="653">
        <v>10</v>
      </c>
      <c r="R106" s="653">
        <f t="shared" si="44"/>
        <v>539.29999999999995</v>
      </c>
      <c r="S106" s="654">
        <f>'[8]w Machinery Ex'!$S105+'[2]w Machinery Ex'!$S105+'[3]w Machinery Ex'!$S105+'[9]w Machinery Ex'!$S105+'[5]w Machinery Ex'!$S105+'[6]w Machinery Ex'!$S105+'[7]w Machinery Ex'!$S105</f>
        <v>542</v>
      </c>
      <c r="T106" s="1024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/>
      <c r="BG106" s="101"/>
      <c r="BH106" s="1595"/>
      <c r="BI106" s="101"/>
      <c r="BJ106" s="101"/>
      <c r="BK106" s="101"/>
      <c r="BL106" s="101"/>
      <c r="BM106" s="101"/>
      <c r="BN106" s="101"/>
      <c r="BO106" s="101"/>
      <c r="BP106" s="101"/>
      <c r="BQ106" s="101"/>
      <c r="BR106" s="101"/>
      <c r="BS106" s="101"/>
      <c r="BT106" s="101"/>
      <c r="BU106" s="101"/>
      <c r="BV106" s="101"/>
      <c r="BW106" s="101"/>
      <c r="BX106" s="101"/>
      <c r="BY106" s="101"/>
      <c r="BZ106" s="101"/>
      <c r="CA106" s="101"/>
      <c r="CB106" s="101"/>
      <c r="CC106" s="101"/>
      <c r="CD106" s="101"/>
      <c r="CE106" s="101"/>
      <c r="CF106" s="101"/>
      <c r="CG106" s="101"/>
      <c r="CH106" s="101"/>
      <c r="CI106" s="101"/>
      <c r="CJ106" s="101"/>
      <c r="CK106" s="101"/>
      <c r="CL106" s="101"/>
      <c r="CM106" s="101"/>
      <c r="CN106" s="101"/>
      <c r="CO106" s="101"/>
      <c r="CP106" s="101"/>
      <c r="CQ106" s="101"/>
      <c r="CR106" s="101"/>
      <c r="CS106" s="101"/>
      <c r="CT106" s="101"/>
      <c r="CU106" s="101"/>
      <c r="CV106" s="101"/>
      <c r="CW106" s="101"/>
      <c r="CX106" s="101"/>
      <c r="CY106" s="101"/>
      <c r="CZ106" s="101"/>
      <c r="DA106" s="101"/>
      <c r="DB106" s="101"/>
      <c r="DC106" s="101"/>
      <c r="DD106" s="101"/>
      <c r="DE106" s="101"/>
      <c r="DF106" s="101"/>
      <c r="DG106" s="101"/>
      <c r="DH106" s="101"/>
      <c r="DI106" s="101"/>
      <c r="DJ106" s="101"/>
      <c r="DK106" s="101"/>
      <c r="DL106" s="101"/>
      <c r="DM106" s="101"/>
      <c r="DN106" s="101"/>
      <c r="DO106" s="101"/>
      <c r="DP106" s="101"/>
      <c r="DQ106" s="101"/>
      <c r="DR106" s="101"/>
      <c r="DS106" s="101"/>
      <c r="DT106" s="101"/>
    </row>
    <row r="107" spans="1:124" s="102" customFormat="1" ht="36" customHeight="1">
      <c r="A107" s="986">
        <v>11</v>
      </c>
      <c r="B107" s="1375" t="s">
        <v>739</v>
      </c>
      <c r="C107" s="660" t="s">
        <v>740</v>
      </c>
      <c r="D107" s="660" t="s">
        <v>143</v>
      </c>
      <c r="E107" s="1376">
        <f t="shared" ref="E107:E110" si="61">(10*6)+8</f>
        <v>68</v>
      </c>
      <c r="F107" s="673">
        <f>'D M S'!M177</f>
        <v>50</v>
      </c>
      <c r="G107" s="673">
        <f>'D M S'!M178</f>
        <v>0</v>
      </c>
      <c r="H107" s="673">
        <f>'D M S'!M179</f>
        <v>0</v>
      </c>
      <c r="I107" s="656" t="s">
        <v>713</v>
      </c>
      <c r="J107" s="656"/>
      <c r="K107" s="651"/>
      <c r="L107" s="651"/>
      <c r="M107" s="651"/>
      <c r="N107" s="652">
        <f t="shared" si="45"/>
        <v>0.73529411764705888</v>
      </c>
      <c r="O107" s="652">
        <f t="shared" si="52"/>
        <v>1</v>
      </c>
      <c r="P107" s="652">
        <f t="shared" si="47"/>
        <v>0.73529411764705888</v>
      </c>
      <c r="Q107" s="653">
        <v>10</v>
      </c>
      <c r="R107" s="653">
        <f t="shared" si="44"/>
        <v>500</v>
      </c>
      <c r="S107" s="654">
        <f>'[8]w Machinery Ex'!$S106+'[2]w Machinery Ex'!$S106+'[3]w Machinery Ex'!$S106+'[9]w Machinery Ex'!$S106+'[5]w Machinery Ex'!$S106+'[6]w Machinery Ex'!$S106+'[7]w Machinery Ex'!$S106</f>
        <v>321</v>
      </c>
      <c r="T107" s="1024">
        <f t="shared" si="31"/>
        <v>680</v>
      </c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/>
      <c r="BH107" s="1595"/>
      <c r="BI107" s="101"/>
      <c r="BJ107" s="101"/>
      <c r="BK107" s="101"/>
      <c r="BL107" s="101"/>
      <c r="BM107" s="101"/>
      <c r="BN107" s="101"/>
      <c r="BO107" s="101"/>
      <c r="BP107" s="101"/>
      <c r="BQ107" s="101"/>
      <c r="BR107" s="101"/>
      <c r="BS107" s="101"/>
      <c r="BT107" s="101"/>
      <c r="BU107" s="101"/>
      <c r="BV107" s="101"/>
      <c r="BW107" s="101"/>
      <c r="BX107" s="101"/>
      <c r="BY107" s="101"/>
      <c r="BZ107" s="101"/>
      <c r="CA107" s="101"/>
      <c r="CB107" s="101"/>
      <c r="CC107" s="101"/>
      <c r="CD107" s="101"/>
      <c r="CE107" s="101"/>
      <c r="CF107" s="101"/>
      <c r="CG107" s="101"/>
      <c r="CH107" s="101"/>
      <c r="CI107" s="101"/>
      <c r="CJ107" s="101"/>
      <c r="CK107" s="101"/>
      <c r="CL107" s="101"/>
      <c r="CM107" s="101"/>
      <c r="CN107" s="101"/>
      <c r="CO107" s="101"/>
      <c r="CP107" s="101"/>
      <c r="CQ107" s="101"/>
      <c r="CR107" s="101"/>
      <c r="CS107" s="101"/>
      <c r="CT107" s="101"/>
      <c r="CU107" s="101"/>
      <c r="CV107" s="101"/>
      <c r="CW107" s="101"/>
      <c r="CX107" s="101"/>
      <c r="CY107" s="101"/>
      <c r="CZ107" s="101"/>
      <c r="DA107" s="101"/>
      <c r="DB107" s="101"/>
      <c r="DC107" s="101"/>
      <c r="DD107" s="101"/>
      <c r="DE107" s="101"/>
      <c r="DF107" s="101"/>
      <c r="DG107" s="101"/>
      <c r="DH107" s="101"/>
      <c r="DI107" s="101"/>
      <c r="DJ107" s="101"/>
      <c r="DK107" s="101"/>
      <c r="DL107" s="101"/>
      <c r="DM107" s="101"/>
      <c r="DN107" s="101"/>
      <c r="DO107" s="101"/>
      <c r="DP107" s="101"/>
      <c r="DQ107" s="101"/>
      <c r="DR107" s="101"/>
      <c r="DS107" s="101"/>
      <c r="DT107" s="101"/>
    </row>
    <row r="108" spans="1:124" s="102" customFormat="1" ht="36" customHeight="1">
      <c r="A108" s="986">
        <v>12</v>
      </c>
      <c r="B108" s="1375" t="s">
        <v>739</v>
      </c>
      <c r="C108" s="660" t="s">
        <v>741</v>
      </c>
      <c r="D108" s="660" t="s">
        <v>143</v>
      </c>
      <c r="E108" s="1376">
        <f t="shared" si="61"/>
        <v>68</v>
      </c>
      <c r="F108" s="673">
        <f>'D M S'!M180</f>
        <v>50</v>
      </c>
      <c r="G108" s="673">
        <f>'D M S'!M181</f>
        <v>0</v>
      </c>
      <c r="H108" s="673">
        <f>'D M S'!M182</f>
        <v>0</v>
      </c>
      <c r="I108" s="656" t="s">
        <v>713</v>
      </c>
      <c r="J108" s="656"/>
      <c r="K108" s="651"/>
      <c r="L108" s="651"/>
      <c r="M108" s="651"/>
      <c r="N108" s="652">
        <f t="shared" si="45"/>
        <v>0.73529411764705888</v>
      </c>
      <c r="O108" s="652">
        <f t="shared" si="52"/>
        <v>1</v>
      </c>
      <c r="P108" s="652">
        <f t="shared" si="47"/>
        <v>0.73529411764705888</v>
      </c>
      <c r="Q108" s="653">
        <v>10</v>
      </c>
      <c r="R108" s="653">
        <f t="shared" si="44"/>
        <v>500</v>
      </c>
      <c r="S108" s="654">
        <f>'[8]w Machinery Ex'!$S107+'[2]w Machinery Ex'!$S107+'[3]w Machinery Ex'!$S107+'[9]w Machinery Ex'!$S107+'[5]w Machinery Ex'!$S107+'[6]w Machinery Ex'!$S107+'[7]w Machinery Ex'!$S107</f>
        <v>472</v>
      </c>
      <c r="T108" s="1024">
        <f t="shared" si="31"/>
        <v>680</v>
      </c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595"/>
      <c r="BI108" s="101"/>
      <c r="BJ108" s="101"/>
      <c r="BK108" s="101"/>
      <c r="BL108" s="101"/>
      <c r="BM108" s="101"/>
      <c r="BN108" s="101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101"/>
      <c r="BY108" s="101"/>
      <c r="BZ108" s="101"/>
      <c r="CA108" s="101"/>
      <c r="CB108" s="101"/>
      <c r="CC108" s="101"/>
      <c r="CD108" s="101"/>
      <c r="CE108" s="101"/>
      <c r="CF108" s="101"/>
      <c r="CG108" s="101"/>
      <c r="CH108" s="101"/>
      <c r="CI108" s="101"/>
      <c r="CJ108" s="101"/>
      <c r="CK108" s="101"/>
      <c r="CL108" s="101"/>
      <c r="CM108" s="101"/>
      <c r="CN108" s="101"/>
      <c r="CO108" s="101"/>
      <c r="CP108" s="101"/>
      <c r="CQ108" s="101"/>
      <c r="CR108" s="101"/>
      <c r="CS108" s="101"/>
      <c r="CT108" s="101"/>
      <c r="CU108" s="101"/>
      <c r="CV108" s="101"/>
      <c r="CW108" s="101"/>
      <c r="CX108" s="101"/>
      <c r="CY108" s="101"/>
      <c r="CZ108" s="101"/>
      <c r="DA108" s="101"/>
      <c r="DB108" s="101"/>
      <c r="DC108" s="101"/>
      <c r="DD108" s="101"/>
      <c r="DE108" s="101"/>
      <c r="DF108" s="101"/>
      <c r="DG108" s="101"/>
      <c r="DH108" s="101"/>
      <c r="DI108" s="101"/>
      <c r="DJ108" s="101"/>
      <c r="DK108" s="101"/>
      <c r="DL108" s="101"/>
      <c r="DM108" s="101"/>
      <c r="DN108" s="101"/>
      <c r="DO108" s="101"/>
      <c r="DP108" s="101"/>
      <c r="DQ108" s="101"/>
      <c r="DR108" s="101"/>
      <c r="DS108" s="101"/>
      <c r="DT108" s="101"/>
    </row>
    <row r="109" spans="1:124" s="102" customFormat="1" ht="36" hidden="1" customHeight="1">
      <c r="A109" s="986">
        <v>13</v>
      </c>
      <c r="B109" s="1375" t="s">
        <v>739</v>
      </c>
      <c r="C109" s="660" t="s">
        <v>742</v>
      </c>
      <c r="D109" s="660" t="s">
        <v>143</v>
      </c>
      <c r="E109" s="1376"/>
      <c r="F109" s="673">
        <f>'D M S'!M183</f>
        <v>0</v>
      </c>
      <c r="G109" s="673">
        <f>'D M S'!M184</f>
        <v>0</v>
      </c>
      <c r="H109" s="673">
        <f>'D M S'!M185</f>
        <v>0</v>
      </c>
      <c r="I109" s="656" t="s">
        <v>713</v>
      </c>
      <c r="J109" s="656"/>
      <c r="K109" s="651"/>
      <c r="L109" s="651"/>
      <c r="M109" s="651"/>
      <c r="N109" s="652" t="e">
        <f t="shared" si="45"/>
        <v>#DIV/0!</v>
      </c>
      <c r="O109" s="652">
        <f t="shared" si="52"/>
        <v>0</v>
      </c>
      <c r="P109" s="652" t="e">
        <f t="shared" si="47"/>
        <v>#DIV/0!</v>
      </c>
      <c r="Q109" s="653">
        <v>10</v>
      </c>
      <c r="R109" s="653">
        <f t="shared" si="44"/>
        <v>0</v>
      </c>
      <c r="S109" s="654">
        <f>'[8]w Machinery Ex'!$S108+'[2]w Machinery Ex'!$S108+'[3]w Machinery Ex'!$S108+'[9]w Machinery Ex'!$S108+'[5]w Machinery Ex'!$S108+'[6]w Machinery Ex'!$S108+'[7]w Machinery Ex'!$S108</f>
        <v>0</v>
      </c>
      <c r="T109" s="1024">
        <f t="shared" si="31"/>
        <v>0</v>
      </c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595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101"/>
      <c r="CM109" s="101"/>
      <c r="CN109" s="101"/>
      <c r="CO109" s="101"/>
      <c r="CP109" s="101"/>
      <c r="CQ109" s="101"/>
      <c r="CR109" s="101"/>
      <c r="CS109" s="101"/>
      <c r="CT109" s="101"/>
      <c r="CU109" s="101"/>
      <c r="CV109" s="101"/>
      <c r="CW109" s="101"/>
      <c r="CX109" s="101"/>
      <c r="CY109" s="101"/>
      <c r="CZ109" s="101"/>
      <c r="DA109" s="101"/>
      <c r="DB109" s="101"/>
      <c r="DC109" s="101"/>
      <c r="DD109" s="101"/>
      <c r="DE109" s="101"/>
      <c r="DF109" s="101"/>
      <c r="DG109" s="101"/>
      <c r="DH109" s="101"/>
      <c r="DI109" s="101"/>
      <c r="DJ109" s="101"/>
      <c r="DK109" s="101"/>
      <c r="DL109" s="101"/>
      <c r="DM109" s="101"/>
      <c r="DN109" s="101"/>
      <c r="DO109" s="101"/>
      <c r="DP109" s="101"/>
      <c r="DQ109" s="101"/>
      <c r="DR109" s="101"/>
      <c r="DS109" s="101"/>
      <c r="DT109" s="101"/>
    </row>
    <row r="110" spans="1:124" s="102" customFormat="1" ht="36" customHeight="1" thickBot="1">
      <c r="A110" s="1036">
        <v>14</v>
      </c>
      <c r="B110" s="1169" t="s">
        <v>739</v>
      </c>
      <c r="C110" s="1170" t="s">
        <v>743</v>
      </c>
      <c r="D110" s="1170" t="s">
        <v>143</v>
      </c>
      <c r="E110" s="1171">
        <f t="shared" si="61"/>
        <v>68</v>
      </c>
      <c r="F110" s="1032">
        <f>'D M S'!M186</f>
        <v>50</v>
      </c>
      <c r="G110" s="1032">
        <f>'D M S'!M187</f>
        <v>0</v>
      </c>
      <c r="H110" s="1032">
        <f>'D M S'!M188</f>
        <v>0</v>
      </c>
      <c r="I110" s="1173" t="s">
        <v>713</v>
      </c>
      <c r="J110" s="1173"/>
      <c r="K110" s="1174"/>
      <c r="L110" s="1174"/>
      <c r="M110" s="1174"/>
      <c r="N110" s="1175">
        <f t="shared" si="45"/>
        <v>0.73529411764705888</v>
      </c>
      <c r="O110" s="1175">
        <f t="shared" si="52"/>
        <v>1</v>
      </c>
      <c r="P110" s="1175">
        <f t="shared" si="47"/>
        <v>0.73529411764705888</v>
      </c>
      <c r="Q110" s="1033">
        <v>10</v>
      </c>
      <c r="R110" s="1033">
        <f t="shared" si="44"/>
        <v>500</v>
      </c>
      <c r="S110" s="1593">
        <f>'[8]w Machinery Ex'!$S109+'[2]w Machinery Ex'!$S109+'[3]w Machinery Ex'!$S109+'[9]w Machinery Ex'!$S109+'[5]w Machinery Ex'!$S109+'[6]w Machinery Ex'!$S109+'[7]w Machinery Ex'!$S109</f>
        <v>346</v>
      </c>
      <c r="T110" s="1024">
        <f t="shared" si="31"/>
        <v>680</v>
      </c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595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101"/>
      <c r="CS110" s="101"/>
      <c r="CT110" s="101"/>
      <c r="CU110" s="101"/>
      <c r="CV110" s="101"/>
      <c r="CW110" s="101"/>
      <c r="CX110" s="101"/>
      <c r="CY110" s="101"/>
      <c r="CZ110" s="101"/>
      <c r="DA110" s="101"/>
      <c r="DB110" s="101"/>
      <c r="DC110" s="101"/>
      <c r="DD110" s="101"/>
      <c r="DE110" s="101"/>
      <c r="DF110" s="101"/>
      <c r="DG110" s="101"/>
      <c r="DH110" s="101"/>
      <c r="DI110" s="101"/>
      <c r="DJ110" s="101"/>
      <c r="DK110" s="101"/>
      <c r="DL110" s="101"/>
      <c r="DM110" s="101"/>
      <c r="DN110" s="101"/>
      <c r="DO110" s="101"/>
      <c r="DP110" s="101"/>
      <c r="DQ110" s="101"/>
      <c r="DR110" s="101"/>
      <c r="DS110" s="101"/>
      <c r="DT110" s="101"/>
    </row>
    <row r="111" spans="1:124" s="645" customFormat="1" ht="26.25" customHeight="1" thickBot="1">
      <c r="A111" s="671"/>
      <c r="B111" s="1948" t="s">
        <v>193</v>
      </c>
      <c r="C111" s="1948"/>
      <c r="D111" s="1948"/>
      <c r="E111" s="668">
        <f>SUM(E96:E110)</f>
        <v>738</v>
      </c>
      <c r="F111" s="670">
        <f t="shared" ref="F111:T111" si="62">SUM(F96:F110)</f>
        <v>532.63000000000011</v>
      </c>
      <c r="G111" s="670">
        <f t="shared" si="62"/>
        <v>10.629999999999999</v>
      </c>
      <c r="H111" s="670">
        <f t="shared" si="62"/>
        <v>0</v>
      </c>
      <c r="I111" s="670">
        <f t="shared" si="62"/>
        <v>5183.34</v>
      </c>
      <c r="J111" s="670">
        <f>SUM(J96:J106)</f>
        <v>219333.56</v>
      </c>
      <c r="K111" s="670">
        <f>SUM(K96:K106)</f>
        <v>153114.6489</v>
      </c>
      <c r="L111" s="670">
        <f>SUM(L96:L106)</f>
        <v>4567.1770999999999</v>
      </c>
      <c r="M111" s="670">
        <f>SUM(M96:M103)</f>
        <v>0</v>
      </c>
      <c r="N111" s="670"/>
      <c r="O111" s="670">
        <f t="shared" si="62"/>
        <v>10.777608642066268</v>
      </c>
      <c r="P111" s="670"/>
      <c r="Q111" s="670"/>
      <c r="R111" s="670">
        <f t="shared" si="62"/>
        <v>5756</v>
      </c>
      <c r="S111" s="1256">
        <f t="shared" si="62"/>
        <v>4393</v>
      </c>
      <c r="T111" s="1279">
        <f t="shared" si="62"/>
        <v>6716</v>
      </c>
    </row>
    <row r="112" spans="1:124" s="102" customFormat="1" ht="32.25" customHeight="1">
      <c r="A112" s="986">
        <v>1</v>
      </c>
      <c r="B112" s="1270" t="s">
        <v>209</v>
      </c>
      <c r="C112" s="660">
        <v>17751</v>
      </c>
      <c r="D112" s="660" t="s">
        <v>710</v>
      </c>
      <c r="E112" s="656">
        <f>7*8</f>
        <v>56</v>
      </c>
      <c r="F112" s="673">
        <f>'D M S'!M199</f>
        <v>44</v>
      </c>
      <c r="G112" s="673">
        <f>'D M S'!M200</f>
        <v>0</v>
      </c>
      <c r="H112" s="673">
        <f>'D M S'!M201</f>
        <v>0</v>
      </c>
      <c r="I112" s="1132">
        <v>150</v>
      </c>
      <c r="J112" s="656">
        <f>I112*E112</f>
        <v>8400</v>
      </c>
      <c r="K112" s="650">
        <f>F112*I112</f>
        <v>6600</v>
      </c>
      <c r="L112" s="656">
        <f>I112*G112</f>
        <v>0</v>
      </c>
      <c r="M112" s="656">
        <f>I112*H112</f>
        <v>0</v>
      </c>
      <c r="N112" s="652">
        <f>F112/(E112)</f>
        <v>0.7857142857142857</v>
      </c>
      <c r="O112" s="652">
        <f>IF((F112+G112)=0,0,F112/(F112+G112))</f>
        <v>1</v>
      </c>
      <c r="P112" s="652">
        <f>(F112+G112)/(E112)</f>
        <v>0.7857142857142857</v>
      </c>
      <c r="Q112" s="653">
        <v>10</v>
      </c>
      <c r="R112" s="653">
        <f t="shared" si="44"/>
        <v>440</v>
      </c>
      <c r="S112" s="654">
        <f>'[8]w Machinery Ex'!$S111+'[2]w Machinery Ex'!$S111+'[3]w Machinery Ex'!$S111+'[9]w Machinery Ex'!$S111+'[5]w Machinery Ex'!$S111+'[6]w Machinery Ex'!$S111+'[7]w Machinery Ex'!$S111</f>
        <v>200</v>
      </c>
      <c r="T112" s="1024">
        <f t="shared" si="31"/>
        <v>560</v>
      </c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/>
      <c r="BA112" s="101"/>
      <c r="BB112" s="101"/>
      <c r="BC112" s="101"/>
      <c r="BD112" s="101"/>
      <c r="BE112" s="101"/>
      <c r="BF112" s="101"/>
      <c r="BG112" s="101"/>
      <c r="BH112" s="1595"/>
      <c r="BI112" s="101"/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101"/>
      <c r="CM112" s="101"/>
      <c r="CN112" s="101"/>
      <c r="CO112" s="101"/>
      <c r="CP112" s="101"/>
      <c r="CQ112" s="101"/>
      <c r="CR112" s="101"/>
      <c r="CS112" s="101"/>
      <c r="CT112" s="101"/>
      <c r="CU112" s="101"/>
      <c r="CV112" s="101"/>
      <c r="CW112" s="101"/>
      <c r="CX112" s="101"/>
      <c r="CY112" s="101"/>
      <c r="CZ112" s="101"/>
      <c r="DA112" s="101"/>
      <c r="DB112" s="101"/>
      <c r="DC112" s="101"/>
      <c r="DD112" s="101"/>
      <c r="DE112" s="101"/>
      <c r="DF112" s="101"/>
      <c r="DG112" s="101"/>
      <c r="DH112" s="101"/>
      <c r="DI112" s="101"/>
      <c r="DJ112" s="101"/>
      <c r="DK112" s="101"/>
      <c r="DL112" s="101"/>
      <c r="DM112" s="101"/>
      <c r="DN112" s="101"/>
      <c r="DO112" s="101"/>
      <c r="DP112" s="101"/>
      <c r="DQ112" s="101"/>
      <c r="DR112" s="101"/>
      <c r="DS112" s="101"/>
      <c r="DT112" s="101"/>
    </row>
    <row r="113" spans="1:124" s="102" customFormat="1" ht="32.25" customHeight="1">
      <c r="A113" s="986">
        <v>2</v>
      </c>
      <c r="B113" s="1270" t="s">
        <v>209</v>
      </c>
      <c r="C113" s="660">
        <v>11302</v>
      </c>
      <c r="D113" s="660" t="s">
        <v>710</v>
      </c>
      <c r="E113" s="656">
        <f>7*8</f>
        <v>56</v>
      </c>
      <c r="F113" s="673">
        <f>'D M S'!M202</f>
        <v>44</v>
      </c>
      <c r="G113" s="673">
        <f>'D M S'!M203</f>
        <v>0</v>
      </c>
      <c r="H113" s="673">
        <f>'D M S'!M204</f>
        <v>0</v>
      </c>
      <c r="I113" s="1132">
        <v>150</v>
      </c>
      <c r="J113" s="656">
        <f t="shared" ref="J113:J114" si="63">I113*E113</f>
        <v>8400</v>
      </c>
      <c r="K113" s="650">
        <f t="shared" ref="K113:K114" si="64">F113*I113</f>
        <v>6600</v>
      </c>
      <c r="L113" s="656">
        <f t="shared" ref="L113:L114" si="65">I113*G113</f>
        <v>0</v>
      </c>
      <c r="M113" s="656">
        <f t="shared" ref="M113:M114" si="66">I113*H113</f>
        <v>0</v>
      </c>
      <c r="N113" s="652">
        <f t="shared" ref="N113" si="67">F113/(E113)</f>
        <v>0.7857142857142857</v>
      </c>
      <c r="O113" s="652">
        <f t="shared" ref="O113:O114" si="68">IF((F113+G113)=0,0,F113/(F113+G113))</f>
        <v>1</v>
      </c>
      <c r="P113" s="652">
        <f t="shared" ref="P113" si="69">(F113+G113)/(E113)</f>
        <v>0.7857142857142857</v>
      </c>
      <c r="Q113" s="653">
        <v>10</v>
      </c>
      <c r="R113" s="653">
        <f t="shared" si="44"/>
        <v>440</v>
      </c>
      <c r="S113" s="654">
        <f>'[8]w Machinery Ex'!$S112+'[2]w Machinery Ex'!$S112+'[3]w Machinery Ex'!$S112+'[9]w Machinery Ex'!$S112+'[5]w Machinery Ex'!$S112+'[6]w Machinery Ex'!$S112+'[7]w Machinery Ex'!$S112</f>
        <v>150</v>
      </c>
      <c r="T113" s="1024">
        <f t="shared" si="31"/>
        <v>560</v>
      </c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595"/>
      <c r="BI113" s="101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101"/>
      <c r="CM113" s="101"/>
      <c r="CN113" s="101"/>
      <c r="CO113" s="101"/>
      <c r="CP113" s="101"/>
      <c r="CQ113" s="101"/>
      <c r="CR113" s="101"/>
      <c r="CS113" s="101"/>
      <c r="CT113" s="101"/>
      <c r="CU113" s="101"/>
      <c r="CV113" s="101"/>
      <c r="CW113" s="101"/>
      <c r="CX113" s="101"/>
      <c r="CY113" s="101"/>
      <c r="CZ113" s="101"/>
      <c r="DA113" s="101"/>
      <c r="DB113" s="101"/>
      <c r="DC113" s="101"/>
      <c r="DD113" s="101"/>
      <c r="DE113" s="101"/>
      <c r="DF113" s="101"/>
      <c r="DG113" s="101"/>
      <c r="DH113" s="101"/>
      <c r="DI113" s="101"/>
      <c r="DJ113" s="101"/>
      <c r="DK113" s="101"/>
      <c r="DL113" s="101"/>
      <c r="DM113" s="101"/>
      <c r="DN113" s="101"/>
      <c r="DO113" s="101"/>
      <c r="DP113" s="101"/>
      <c r="DQ113" s="101"/>
      <c r="DR113" s="101"/>
      <c r="DS113" s="101"/>
      <c r="DT113" s="101"/>
    </row>
    <row r="114" spans="1:124" s="102" customFormat="1" ht="32.25" hidden="1" customHeight="1">
      <c r="A114" s="1236">
        <v>3</v>
      </c>
      <c r="B114" s="1237" t="s">
        <v>209</v>
      </c>
      <c r="C114" s="1238">
        <v>1035</v>
      </c>
      <c r="D114" s="1238" t="s">
        <v>710</v>
      </c>
      <c r="E114" s="1212"/>
      <c r="F114" s="1210">
        <f>'D M S'!M205</f>
        <v>0</v>
      </c>
      <c r="G114" s="1210">
        <f>'D M S'!M206</f>
        <v>0</v>
      </c>
      <c r="H114" s="1210">
        <f>'D M S'!M207</f>
        <v>0</v>
      </c>
      <c r="I114" s="1239">
        <v>150</v>
      </c>
      <c r="J114" s="1212">
        <f t="shared" si="63"/>
        <v>0</v>
      </c>
      <c r="K114" s="1240">
        <f t="shared" si="64"/>
        <v>0</v>
      </c>
      <c r="L114" s="1212">
        <f t="shared" si="65"/>
        <v>0</v>
      </c>
      <c r="M114" s="1212">
        <f t="shared" si="66"/>
        <v>0</v>
      </c>
      <c r="N114" s="1214"/>
      <c r="O114" s="1214">
        <f t="shared" si="68"/>
        <v>0</v>
      </c>
      <c r="P114" s="1214"/>
      <c r="Q114" s="1215">
        <v>10</v>
      </c>
      <c r="R114" s="1215">
        <f t="shared" si="44"/>
        <v>0</v>
      </c>
      <c r="S114" s="654">
        <f>'[8]w Machinery Ex'!$S113+'[2]w Machinery Ex'!$S113+'[3]w Machinery Ex'!$S113+'[9]w Machinery Ex'!$S113+'[5]w Machinery Ex'!$S113+'[6]w Machinery Ex'!$S113+'[7]w Machinery Ex'!$S113</f>
        <v>0</v>
      </c>
      <c r="T114" s="1024">
        <f t="shared" si="31"/>
        <v>0</v>
      </c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1"/>
      <c r="BO114" s="101"/>
      <c r="BP114" s="101"/>
      <c r="BQ114" s="101"/>
      <c r="BR114" s="101"/>
      <c r="BS114" s="101"/>
      <c r="BT114" s="101"/>
      <c r="BU114" s="101"/>
      <c r="BV114" s="101"/>
      <c r="BW114" s="101"/>
      <c r="BX114" s="101"/>
      <c r="BY114" s="101"/>
      <c r="BZ114" s="101"/>
      <c r="CA114" s="101"/>
      <c r="CB114" s="101"/>
      <c r="CC114" s="101"/>
      <c r="CD114" s="101"/>
      <c r="CE114" s="101"/>
      <c r="CF114" s="101"/>
      <c r="CG114" s="101"/>
      <c r="CH114" s="101"/>
      <c r="CI114" s="101"/>
      <c r="CJ114" s="101"/>
      <c r="CK114" s="101"/>
      <c r="CL114" s="101"/>
      <c r="CM114" s="101"/>
      <c r="CN114" s="101"/>
      <c r="CO114" s="101"/>
      <c r="CP114" s="101"/>
      <c r="CQ114" s="101"/>
      <c r="CR114" s="101"/>
      <c r="CS114" s="101"/>
      <c r="CT114" s="101"/>
      <c r="CU114" s="101"/>
      <c r="CV114" s="101"/>
      <c r="CW114" s="101"/>
      <c r="CX114" s="101"/>
      <c r="CY114" s="101"/>
      <c r="CZ114" s="101"/>
      <c r="DA114" s="101"/>
      <c r="DB114" s="101"/>
      <c r="DC114" s="101"/>
      <c r="DD114" s="101"/>
      <c r="DE114" s="101"/>
      <c r="DF114" s="101"/>
      <c r="DG114" s="101"/>
      <c r="DH114" s="101"/>
      <c r="DI114" s="101"/>
      <c r="DJ114" s="101"/>
      <c r="DK114" s="101"/>
      <c r="DL114" s="101"/>
      <c r="DM114" s="101"/>
      <c r="DN114" s="101"/>
      <c r="DO114" s="101"/>
      <c r="DP114" s="101"/>
      <c r="DQ114" s="101"/>
      <c r="DR114" s="101"/>
      <c r="DS114" s="101"/>
      <c r="DT114" s="101"/>
    </row>
    <row r="115" spans="1:124" s="1253" customFormat="1" ht="27.75" customHeight="1">
      <c r="A115" s="1247"/>
      <c r="B115" s="1952" t="s">
        <v>193</v>
      </c>
      <c r="C115" s="1952"/>
      <c r="D115" s="1952"/>
      <c r="E115" s="1248">
        <f>SUM(E112:E114)</f>
        <v>112</v>
      </c>
      <c r="F115" s="1249">
        <f t="shared" ref="F115:H115" si="70">SUM(F112:F114)</f>
        <v>88</v>
      </c>
      <c r="G115" s="1249">
        <f t="shared" si="70"/>
        <v>0</v>
      </c>
      <c r="H115" s="1249">
        <f t="shared" si="70"/>
        <v>0</v>
      </c>
      <c r="I115" s="1248"/>
      <c r="J115" s="1248">
        <f>SUM(J112:J114)</f>
        <v>16800</v>
      </c>
      <c r="K115" s="1248">
        <f t="shared" ref="K115:M115" si="71">SUM(K112:K114)</f>
        <v>13200</v>
      </c>
      <c r="L115" s="1250">
        <f t="shared" si="71"/>
        <v>0</v>
      </c>
      <c r="M115" s="1251">
        <f t="shared" si="71"/>
        <v>0</v>
      </c>
      <c r="N115" s="1248">
        <f>SUM(N112:N114)</f>
        <v>1.5714285714285714</v>
      </c>
      <c r="O115" s="1248">
        <f t="shared" ref="O115:P115" si="72">SUM(O112:O114)</f>
        <v>2</v>
      </c>
      <c r="P115" s="1248">
        <f t="shared" si="72"/>
        <v>1.5714285714285714</v>
      </c>
      <c r="Q115" s="1252"/>
      <c r="R115" s="1252">
        <f>SUM(R112:R114)</f>
        <v>880</v>
      </c>
      <c r="S115" s="1259">
        <f>SUM(S112:S114)</f>
        <v>350</v>
      </c>
      <c r="T115" s="1281">
        <f>SUM(T112:T114)</f>
        <v>1120</v>
      </c>
    </row>
    <row r="116" spans="1:124" s="120" customFormat="1" ht="30.75" hidden="1" customHeight="1">
      <c r="A116" s="1217">
        <v>1</v>
      </c>
      <c r="B116" s="1002" t="s">
        <v>147</v>
      </c>
      <c r="C116" s="1241">
        <f>'D M S'!C208</f>
        <v>2351</v>
      </c>
      <c r="D116" s="1242" t="str">
        <f>'D M S'!D208</f>
        <v>ISUZU</v>
      </c>
      <c r="E116" s="1243">
        <v>60</v>
      </c>
      <c r="F116" s="1244">
        <f>'D M S'!M208</f>
        <v>0</v>
      </c>
      <c r="G116" s="1244">
        <f>'D M S'!M209</f>
        <v>0</v>
      </c>
      <c r="H116" s="1244">
        <f>'D M S'!M210</f>
        <v>0</v>
      </c>
      <c r="I116" s="1138">
        <v>80</v>
      </c>
      <c r="J116" s="1134">
        <f>I116*E116</f>
        <v>4800</v>
      </c>
      <c r="K116" s="684">
        <f>F116*I116</f>
        <v>0</v>
      </c>
      <c r="L116" s="684">
        <f>I116*G116</f>
        <v>0</v>
      </c>
      <c r="M116" s="684">
        <f>H116*I116</f>
        <v>0</v>
      </c>
      <c r="N116" s="685">
        <f>F116/(E116)</f>
        <v>0</v>
      </c>
      <c r="O116" s="685">
        <f>IF((F116+G116)=0,0,F116/(F116+G116))</f>
        <v>0</v>
      </c>
      <c r="P116" s="685">
        <f>(F116+G116)/(E116)</f>
        <v>0</v>
      </c>
      <c r="Q116" s="1245">
        <v>0</v>
      </c>
      <c r="R116" s="1245">
        <v>0</v>
      </c>
      <c r="S116" s="1246"/>
      <c r="T116" s="1024">
        <f t="shared" si="31"/>
        <v>0</v>
      </c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19"/>
      <c r="DH116" s="119"/>
      <c r="DI116" s="119"/>
      <c r="DJ116" s="119"/>
      <c r="DK116" s="119"/>
      <c r="DL116" s="119"/>
      <c r="DM116" s="119"/>
      <c r="DN116" s="119"/>
      <c r="DO116" s="119"/>
      <c r="DP116" s="119"/>
      <c r="DQ116" s="119"/>
      <c r="DR116" s="119"/>
      <c r="DS116" s="119"/>
      <c r="DT116" s="119"/>
    </row>
    <row r="117" spans="1:124" s="120" customFormat="1" ht="30.75" hidden="1" customHeight="1">
      <c r="A117" s="985">
        <v>2</v>
      </c>
      <c r="B117" s="1270" t="s">
        <v>147</v>
      </c>
      <c r="C117" s="996">
        <f>'D M S'!C217</f>
        <v>4040</v>
      </c>
      <c r="D117" s="1133" t="str">
        <f>'D M S'!D217</f>
        <v>ISUZU</v>
      </c>
      <c r="E117" s="991">
        <v>60</v>
      </c>
      <c r="F117" s="989">
        <f>'D M S'!M217</f>
        <v>0</v>
      </c>
      <c r="G117" s="989">
        <f>'D M S'!M218</f>
        <v>0</v>
      </c>
      <c r="H117" s="989">
        <f>'D M S'!M219</f>
        <v>0</v>
      </c>
      <c r="I117" s="655">
        <v>80</v>
      </c>
      <c r="J117" s="656">
        <f>I117*E117</f>
        <v>4800</v>
      </c>
      <c r="K117" s="651">
        <f>F117*I117</f>
        <v>0</v>
      </c>
      <c r="L117" s="651">
        <f>I117*G117</f>
        <v>0</v>
      </c>
      <c r="M117" s="651">
        <f>H117*I117</f>
        <v>0</v>
      </c>
      <c r="N117" s="652">
        <f>F117/(E117)</f>
        <v>0</v>
      </c>
      <c r="O117" s="652">
        <f>IF((F117+G117)=0,0,F117/(F117+G117))</f>
        <v>0</v>
      </c>
      <c r="P117" s="652">
        <f>(F117+G117)/(E117)</f>
        <v>0</v>
      </c>
      <c r="Q117" s="658"/>
      <c r="R117" s="658"/>
      <c r="S117" s="659"/>
      <c r="T117" s="1024">
        <f t="shared" si="31"/>
        <v>0</v>
      </c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119"/>
      <c r="BF117" s="119"/>
      <c r="BG117" s="119"/>
      <c r="BH117" s="119"/>
      <c r="BI117" s="119"/>
      <c r="BJ117" s="119"/>
      <c r="BK117" s="119"/>
      <c r="BL117" s="119"/>
      <c r="BM117" s="119"/>
      <c r="BN117" s="119"/>
      <c r="BO117" s="119"/>
      <c r="BP117" s="119"/>
      <c r="BQ117" s="119"/>
      <c r="BR117" s="119"/>
      <c r="BS117" s="119"/>
      <c r="BT117" s="119"/>
      <c r="BU117" s="119"/>
      <c r="BV117" s="119"/>
      <c r="BW117" s="119"/>
      <c r="BX117" s="119"/>
      <c r="BY117" s="119"/>
      <c r="BZ117" s="119"/>
      <c r="CA117" s="119"/>
      <c r="CB117" s="119"/>
      <c r="CC117" s="119"/>
      <c r="CD117" s="119"/>
      <c r="CE117" s="119"/>
      <c r="CF117" s="119"/>
      <c r="CG117" s="119"/>
      <c r="CH117" s="119"/>
      <c r="CI117" s="119"/>
      <c r="CJ117" s="119"/>
      <c r="CK117" s="119"/>
      <c r="CL117" s="119"/>
      <c r="CM117" s="119"/>
      <c r="CN117" s="119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9"/>
      <c r="CZ117" s="119"/>
      <c r="DA117" s="119"/>
      <c r="DB117" s="119"/>
      <c r="DC117" s="119"/>
      <c r="DD117" s="119"/>
      <c r="DE117" s="119"/>
      <c r="DF117" s="119"/>
      <c r="DG117" s="119"/>
      <c r="DH117" s="119"/>
      <c r="DI117" s="119"/>
      <c r="DJ117" s="119"/>
      <c r="DK117" s="119"/>
      <c r="DL117" s="119"/>
      <c r="DM117" s="119"/>
      <c r="DN117" s="119"/>
      <c r="DO117" s="119"/>
      <c r="DP117" s="119"/>
      <c r="DQ117" s="119"/>
      <c r="DR117" s="119"/>
      <c r="DS117" s="119"/>
      <c r="DT117" s="119"/>
    </row>
    <row r="118" spans="1:124" s="124" customFormat="1" ht="34.5" hidden="1" customHeight="1">
      <c r="A118" s="997" t="s">
        <v>210</v>
      </c>
      <c r="B118" s="998" t="s">
        <v>193</v>
      </c>
      <c r="C118" s="998"/>
      <c r="D118" s="998"/>
      <c r="E118" s="995">
        <f t="shared" ref="E118:P118" si="73">SUM(E116:E117)</f>
        <v>120</v>
      </c>
      <c r="F118" s="993">
        <f t="shared" si="73"/>
        <v>0</v>
      </c>
      <c r="G118" s="993">
        <f t="shared" si="73"/>
        <v>0</v>
      </c>
      <c r="H118" s="993">
        <f t="shared" si="73"/>
        <v>0</v>
      </c>
      <c r="I118" s="995">
        <f t="shared" si="73"/>
        <v>160</v>
      </c>
      <c r="J118" s="1000">
        <f t="shared" si="73"/>
        <v>9600</v>
      </c>
      <c r="K118" s="999">
        <f t="shared" si="73"/>
        <v>0</v>
      </c>
      <c r="L118" s="999">
        <f t="shared" si="73"/>
        <v>0</v>
      </c>
      <c r="M118" s="999">
        <f t="shared" si="73"/>
        <v>0</v>
      </c>
      <c r="N118" s="1000">
        <f t="shared" si="73"/>
        <v>0</v>
      </c>
      <c r="O118" s="1000">
        <f t="shared" si="73"/>
        <v>0</v>
      </c>
      <c r="P118" s="1000">
        <f t="shared" si="73"/>
        <v>0</v>
      </c>
      <c r="Q118" s="1000">
        <f>SUM(Q116:Q117)</f>
        <v>0</v>
      </c>
      <c r="R118" s="1000">
        <f>SUM(R116:R117)</f>
        <v>0</v>
      </c>
      <c r="S118" s="1260">
        <f>SUM(S116:S117)</f>
        <v>0</v>
      </c>
      <c r="T118" s="1024">
        <f t="shared" si="31"/>
        <v>0</v>
      </c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  <c r="CX118" s="107"/>
      <c r="CY118" s="107"/>
      <c r="CZ118" s="107"/>
      <c r="DA118" s="107"/>
      <c r="DB118" s="107"/>
      <c r="DC118" s="107"/>
      <c r="DD118" s="107"/>
      <c r="DE118" s="107"/>
      <c r="DF118" s="107"/>
      <c r="DG118" s="107"/>
      <c r="DH118" s="107"/>
      <c r="DI118" s="107"/>
      <c r="DJ118" s="107"/>
      <c r="DK118" s="107"/>
      <c r="DL118" s="107"/>
      <c r="DM118" s="107"/>
      <c r="DN118" s="107"/>
      <c r="DO118" s="107"/>
      <c r="DP118" s="107"/>
      <c r="DQ118" s="107"/>
      <c r="DR118" s="107"/>
      <c r="DS118" s="107"/>
      <c r="DT118" s="107"/>
    </row>
    <row r="119" spans="1:124" s="102" customFormat="1" ht="40.5" hidden="1" customHeight="1">
      <c r="A119" s="1178">
        <v>1</v>
      </c>
      <c r="B119" s="1199" t="str">
        <f>'D M S'!B269</f>
        <v>Small Vehicle rental</v>
      </c>
      <c r="C119" s="1232">
        <f>'D M S'!C269</f>
        <v>10760</v>
      </c>
      <c r="D119" s="1232" t="str">
        <f>'D M S'!D269</f>
        <v>2H</v>
      </c>
      <c r="E119" s="1164">
        <v>70</v>
      </c>
      <c r="F119" s="1162">
        <f>'D M S'!M269</f>
        <v>0</v>
      </c>
      <c r="G119" s="1162">
        <f>'D M S'!M270</f>
        <v>0</v>
      </c>
      <c r="H119" s="1162">
        <f>'D M S'!M271</f>
        <v>0</v>
      </c>
      <c r="I119" s="1164">
        <v>80</v>
      </c>
      <c r="J119" s="1164">
        <f>I119*E119</f>
        <v>5600</v>
      </c>
      <c r="K119" s="1165">
        <f t="shared" ref="K119:K141" si="74">F119*I119</f>
        <v>0</v>
      </c>
      <c r="L119" s="1165">
        <f t="shared" ref="L119:L141" si="75">I119*G119</f>
        <v>0</v>
      </c>
      <c r="M119" s="1165">
        <f>I119*H119</f>
        <v>0</v>
      </c>
      <c r="N119" s="1166">
        <f>F119/(E119)</f>
        <v>0</v>
      </c>
      <c r="O119" s="1166">
        <f>IF((F119+G119)=0,0,F119/(F119+G119))</f>
        <v>0</v>
      </c>
      <c r="P119" s="1166">
        <f>(F119+G119)/(E119)</f>
        <v>0</v>
      </c>
      <c r="Q119" s="1183">
        <v>2</v>
      </c>
      <c r="R119" s="1183">
        <f>F119*Q119</f>
        <v>0</v>
      </c>
      <c r="S119" s="654">
        <f>'[8]w Machinery Ex'!$S119+'[2]w Machinery Ex'!$S119+'[3]w Machinery Ex'!$S119+'[9]w Machinery Ex'!$S119+'[5]w Machinery Ex'!$S119+'[6]w Machinery Ex'!$S119+'[7]w Machinery Ex'!$S119</f>
        <v>0</v>
      </c>
      <c r="T119" s="1024">
        <f t="shared" si="31"/>
        <v>140</v>
      </c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/>
      <c r="BH119" s="101"/>
      <c r="BI119" s="101"/>
      <c r="BJ119" s="101"/>
      <c r="BK119" s="101"/>
      <c r="BL119" s="101"/>
      <c r="BM119" s="101"/>
      <c r="BN119" s="101"/>
      <c r="BO119" s="101"/>
      <c r="BP119" s="101"/>
      <c r="BQ119" s="101"/>
      <c r="BR119" s="101"/>
      <c r="BS119" s="101"/>
      <c r="BT119" s="101"/>
      <c r="BU119" s="101"/>
      <c r="BV119" s="101"/>
      <c r="BW119" s="101"/>
      <c r="BX119" s="101"/>
      <c r="BY119" s="101"/>
      <c r="BZ119" s="101"/>
      <c r="CA119" s="101"/>
      <c r="CB119" s="101"/>
      <c r="CC119" s="101"/>
      <c r="CD119" s="101"/>
      <c r="CE119" s="101"/>
      <c r="CF119" s="101"/>
      <c r="CG119" s="101"/>
      <c r="CH119" s="101"/>
      <c r="CI119" s="101"/>
      <c r="CJ119" s="101"/>
      <c r="CK119" s="101"/>
      <c r="CL119" s="101"/>
      <c r="CM119" s="101"/>
      <c r="CN119" s="101"/>
      <c r="CO119" s="101"/>
      <c r="CP119" s="101"/>
      <c r="CQ119" s="101"/>
      <c r="CR119" s="101"/>
      <c r="CS119" s="101"/>
      <c r="CT119" s="101"/>
      <c r="CU119" s="101"/>
      <c r="CV119" s="101"/>
      <c r="CW119" s="101"/>
      <c r="CX119" s="101"/>
      <c r="CY119" s="101"/>
      <c r="CZ119" s="101"/>
      <c r="DA119" s="101"/>
      <c r="DB119" s="101"/>
      <c r="DC119" s="101"/>
      <c r="DD119" s="101"/>
      <c r="DE119" s="101"/>
      <c r="DF119" s="101"/>
      <c r="DG119" s="101"/>
      <c r="DH119" s="101"/>
      <c r="DI119" s="101"/>
      <c r="DJ119" s="101"/>
      <c r="DK119" s="101"/>
      <c r="DL119" s="101"/>
      <c r="DM119" s="101"/>
      <c r="DN119" s="101"/>
      <c r="DO119" s="101"/>
      <c r="DP119" s="101"/>
      <c r="DQ119" s="101"/>
      <c r="DR119" s="101"/>
      <c r="DS119" s="101"/>
      <c r="DT119" s="101"/>
    </row>
    <row r="120" spans="1:124" s="102" customFormat="1" ht="40.5" customHeight="1">
      <c r="A120" s="986">
        <v>2</v>
      </c>
      <c r="B120" s="1270" t="str">
        <f>'D M S'!B275</f>
        <v>Small Vehicle rental</v>
      </c>
      <c r="C120" s="660" t="str">
        <f>'D M S'!C275</f>
        <v>62086</v>
      </c>
      <c r="D120" s="660" t="s">
        <v>777</v>
      </c>
      <c r="E120" s="1134">
        <v>70</v>
      </c>
      <c r="F120" s="673">
        <f>'D M S'!M275</f>
        <v>70</v>
      </c>
      <c r="G120" s="673">
        <f>'D M S'!M276</f>
        <v>0</v>
      </c>
      <c r="H120" s="673">
        <f>'D M S'!M277</f>
        <v>0</v>
      </c>
      <c r="I120" s="656">
        <v>140</v>
      </c>
      <c r="J120" s="656">
        <f t="shared" ref="J120:J136" si="76">I120*E120</f>
        <v>9800</v>
      </c>
      <c r="K120" s="651">
        <f t="shared" si="74"/>
        <v>9800</v>
      </c>
      <c r="L120" s="651">
        <f t="shared" si="75"/>
        <v>0</v>
      </c>
      <c r="M120" s="651"/>
      <c r="N120" s="685">
        <f t="shared" ref="N120:N121" si="77">F120/(E120)</f>
        <v>1</v>
      </c>
      <c r="O120" s="652">
        <f t="shared" ref="O120:O141" si="78">IF((F120+G120)=0,0,F120/(F120+G120))</f>
        <v>1</v>
      </c>
      <c r="P120" s="685">
        <f t="shared" ref="P120:P121" si="79">(F120+G120)/(E120)</f>
        <v>1</v>
      </c>
      <c r="Q120" s="686">
        <v>2</v>
      </c>
      <c r="R120" s="653">
        <f t="shared" ref="R120:R125" si="80">F120*Q120</f>
        <v>140</v>
      </c>
      <c r="S120" s="654">
        <f>'[8]w Machinery Ex'!$S120+'[2]w Machinery Ex'!$S120+'[3]w Machinery Ex'!$S120+'[9]w Machinery Ex'!$S120+'[5]w Machinery Ex'!$S120+'[6]w Machinery Ex'!$S120+'[7]w Machinery Ex'!$S120</f>
        <v>114</v>
      </c>
      <c r="T120" s="1024">
        <f t="shared" si="31"/>
        <v>140</v>
      </c>
      <c r="U120" s="622">
        <f>S94+S143</f>
        <v>20596</v>
      </c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595"/>
      <c r="BI120" s="101"/>
      <c r="BJ120" s="101"/>
      <c r="BK120" s="101"/>
      <c r="BL120" s="101"/>
      <c r="BM120" s="101"/>
      <c r="BN120" s="101"/>
      <c r="BO120" s="101"/>
      <c r="BP120" s="101"/>
      <c r="BQ120" s="101"/>
      <c r="BR120" s="101"/>
      <c r="BS120" s="101"/>
      <c r="BT120" s="101"/>
      <c r="BU120" s="101"/>
      <c r="BV120" s="101"/>
      <c r="BW120" s="101"/>
      <c r="BX120" s="101"/>
      <c r="BY120" s="101"/>
      <c r="BZ120" s="101"/>
      <c r="CA120" s="101"/>
      <c r="CB120" s="101"/>
      <c r="CC120" s="101"/>
      <c r="CD120" s="101"/>
      <c r="CE120" s="101"/>
      <c r="CF120" s="101"/>
      <c r="CG120" s="101"/>
      <c r="CH120" s="101"/>
      <c r="CI120" s="101"/>
      <c r="CJ120" s="101"/>
      <c r="CK120" s="101"/>
      <c r="CL120" s="101"/>
      <c r="CM120" s="101"/>
      <c r="CN120" s="101"/>
      <c r="CO120" s="101"/>
      <c r="CP120" s="101"/>
      <c r="CQ120" s="101"/>
      <c r="CR120" s="101"/>
      <c r="CS120" s="101"/>
      <c r="CT120" s="101"/>
      <c r="CU120" s="101"/>
      <c r="CV120" s="101"/>
      <c r="CW120" s="101"/>
      <c r="CX120" s="101"/>
      <c r="CY120" s="101"/>
      <c r="CZ120" s="101"/>
      <c r="DA120" s="101"/>
      <c r="DB120" s="101"/>
      <c r="DC120" s="101"/>
      <c r="DD120" s="101"/>
      <c r="DE120" s="101"/>
      <c r="DF120" s="101"/>
      <c r="DG120" s="101"/>
      <c r="DH120" s="101"/>
      <c r="DI120" s="101"/>
      <c r="DJ120" s="101"/>
      <c r="DK120" s="101"/>
      <c r="DL120" s="101"/>
      <c r="DM120" s="101"/>
      <c r="DN120" s="101"/>
      <c r="DO120" s="101"/>
      <c r="DP120" s="101"/>
      <c r="DQ120" s="101"/>
      <c r="DR120" s="101"/>
      <c r="DS120" s="101"/>
      <c r="DT120" s="101"/>
    </row>
    <row r="121" spans="1:124" s="102" customFormat="1" ht="33" customHeight="1">
      <c r="A121" s="986">
        <v>3</v>
      </c>
      <c r="B121" s="1284" t="str">
        <f>'D M S'!B278</f>
        <v>Small Vehicle rental</v>
      </c>
      <c r="C121" s="660">
        <v>49148</v>
      </c>
      <c r="D121" s="660" t="str">
        <f>'D M S'!D278</f>
        <v>Pickup</v>
      </c>
      <c r="E121" s="1134">
        <v>70</v>
      </c>
      <c r="F121" s="673">
        <f>'D M S'!M272</f>
        <v>70</v>
      </c>
      <c r="G121" s="673">
        <f>'D M S'!M279</f>
        <v>0</v>
      </c>
      <c r="H121" s="673">
        <f>'D M S'!M280</f>
        <v>0</v>
      </c>
      <c r="I121" s="656">
        <v>120</v>
      </c>
      <c r="J121" s="656">
        <f t="shared" si="76"/>
        <v>8400</v>
      </c>
      <c r="K121" s="651">
        <f t="shared" si="74"/>
        <v>8400</v>
      </c>
      <c r="L121" s="651">
        <f t="shared" si="75"/>
        <v>0</v>
      </c>
      <c r="M121" s="651"/>
      <c r="N121" s="685">
        <f t="shared" si="77"/>
        <v>1</v>
      </c>
      <c r="O121" s="652">
        <f t="shared" si="78"/>
        <v>1</v>
      </c>
      <c r="P121" s="685">
        <f t="shared" si="79"/>
        <v>1</v>
      </c>
      <c r="Q121" s="686">
        <v>2</v>
      </c>
      <c r="R121" s="653">
        <f t="shared" si="80"/>
        <v>140</v>
      </c>
      <c r="S121" s="654">
        <f>'[8]w Machinery Ex'!$S121+'[2]w Machinery Ex'!$S121+'[3]w Machinery Ex'!$S121+'[9]w Machinery Ex'!$S121+'[5]w Machinery Ex'!$S121+'[6]w Machinery Ex'!$S121+'[7]w Machinery Ex'!$S121</f>
        <v>112</v>
      </c>
      <c r="T121" s="1024">
        <f t="shared" si="31"/>
        <v>140</v>
      </c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  <c r="AV121" s="101"/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595"/>
      <c r="BI121" s="101"/>
      <c r="BJ121" s="101"/>
      <c r="BK121" s="101"/>
      <c r="BL121" s="101"/>
      <c r="BM121" s="101"/>
      <c r="BN121" s="101"/>
      <c r="BO121" s="101"/>
      <c r="BP121" s="101"/>
      <c r="BQ121" s="101"/>
      <c r="BR121" s="101"/>
      <c r="BS121" s="101"/>
      <c r="BT121" s="101"/>
      <c r="BU121" s="101"/>
      <c r="BV121" s="101"/>
      <c r="BW121" s="101"/>
      <c r="BX121" s="101"/>
      <c r="BY121" s="101"/>
      <c r="BZ121" s="101"/>
      <c r="CA121" s="101"/>
      <c r="CB121" s="101"/>
      <c r="CC121" s="101"/>
      <c r="CD121" s="101"/>
      <c r="CE121" s="101"/>
      <c r="CF121" s="101"/>
      <c r="CG121" s="101"/>
      <c r="CH121" s="101"/>
      <c r="CI121" s="101"/>
      <c r="CJ121" s="101"/>
      <c r="CK121" s="101"/>
      <c r="CL121" s="101"/>
      <c r="CM121" s="101"/>
      <c r="CN121" s="101"/>
      <c r="CO121" s="101"/>
      <c r="CP121" s="101"/>
      <c r="CQ121" s="101"/>
      <c r="CR121" s="101"/>
      <c r="CS121" s="101"/>
      <c r="CT121" s="101"/>
      <c r="CU121" s="101"/>
      <c r="CV121" s="101"/>
      <c r="CW121" s="101"/>
      <c r="CX121" s="101"/>
      <c r="CY121" s="101"/>
      <c r="CZ121" s="101"/>
      <c r="DA121" s="101"/>
      <c r="DB121" s="101"/>
      <c r="DC121" s="101"/>
      <c r="DD121" s="101"/>
      <c r="DE121" s="101"/>
      <c r="DF121" s="101"/>
      <c r="DG121" s="101"/>
      <c r="DH121" s="101"/>
      <c r="DI121" s="101"/>
      <c r="DJ121" s="101"/>
      <c r="DK121" s="101"/>
      <c r="DL121" s="101"/>
      <c r="DM121" s="101"/>
      <c r="DN121" s="101"/>
      <c r="DO121" s="101"/>
      <c r="DP121" s="101"/>
      <c r="DQ121" s="101"/>
      <c r="DR121" s="101"/>
      <c r="DS121" s="101"/>
      <c r="DT121" s="101"/>
    </row>
    <row r="122" spans="1:124" s="102" customFormat="1" ht="38.25" hidden="1" customHeight="1">
      <c r="A122" s="986">
        <v>4</v>
      </c>
      <c r="B122" s="1270" t="str">
        <f>'D M S'!B272</f>
        <v>Small Vehicle rental</v>
      </c>
      <c r="C122" s="660">
        <f>'D M S'!C272</f>
        <v>45132</v>
      </c>
      <c r="D122" s="660" t="str">
        <f>'D M S'!D272</f>
        <v>Pickup</v>
      </c>
      <c r="E122" s="1134"/>
      <c r="F122" s="673"/>
      <c r="G122" s="673">
        <f>'D M S'!M273</f>
        <v>0</v>
      </c>
      <c r="H122" s="673">
        <f>'D M S'!M274</f>
        <v>0</v>
      </c>
      <c r="I122" s="656">
        <v>120</v>
      </c>
      <c r="J122" s="656">
        <f t="shared" si="76"/>
        <v>0</v>
      </c>
      <c r="K122" s="651">
        <f t="shared" si="74"/>
        <v>0</v>
      </c>
      <c r="L122" s="651">
        <f t="shared" si="75"/>
        <v>0</v>
      </c>
      <c r="M122" s="651">
        <f t="shared" ref="M122:M141" si="81">I122*H122</f>
        <v>0</v>
      </c>
      <c r="N122" s="652" t="e">
        <f t="shared" ref="N122:N141" si="82">F122/(E122)</f>
        <v>#DIV/0!</v>
      </c>
      <c r="O122" s="652">
        <f t="shared" si="78"/>
        <v>0</v>
      </c>
      <c r="P122" s="652" t="e">
        <f>(F122+G122)/(E122)</f>
        <v>#DIV/0!</v>
      </c>
      <c r="Q122" s="686">
        <v>2</v>
      </c>
      <c r="R122" s="653">
        <f t="shared" si="80"/>
        <v>0</v>
      </c>
      <c r="S122" s="654">
        <f>'[8]w Machinery Ex'!$S122+'[2]w Machinery Ex'!$S122+'[3]w Machinery Ex'!$S122+'[9]w Machinery Ex'!$S122+'[5]w Machinery Ex'!$S122+'[6]w Machinery Ex'!$S122+'[7]w Machinery Ex'!$S122</f>
        <v>0</v>
      </c>
      <c r="T122" s="1024">
        <f t="shared" si="31"/>
        <v>0</v>
      </c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  <c r="AV122" s="101"/>
      <c r="AW122" s="101"/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595"/>
      <c r="BI122" s="101"/>
      <c r="BJ122" s="101"/>
      <c r="BK122" s="101"/>
      <c r="BL122" s="101"/>
      <c r="BM122" s="101"/>
      <c r="BN122" s="101"/>
      <c r="BO122" s="101"/>
      <c r="BP122" s="101"/>
      <c r="BQ122" s="101"/>
      <c r="BR122" s="101"/>
      <c r="BS122" s="101"/>
      <c r="BT122" s="101"/>
      <c r="BU122" s="101"/>
      <c r="BV122" s="101"/>
      <c r="BW122" s="101"/>
      <c r="BX122" s="101"/>
      <c r="BY122" s="101"/>
      <c r="BZ122" s="101"/>
      <c r="CA122" s="101"/>
      <c r="CB122" s="101"/>
      <c r="CC122" s="101"/>
      <c r="CD122" s="101"/>
      <c r="CE122" s="101"/>
      <c r="CF122" s="101"/>
      <c r="CG122" s="101"/>
      <c r="CH122" s="101"/>
      <c r="CI122" s="101"/>
      <c r="CJ122" s="101"/>
      <c r="CK122" s="101"/>
      <c r="CL122" s="101"/>
      <c r="CM122" s="101"/>
      <c r="CN122" s="101"/>
      <c r="CO122" s="101"/>
      <c r="CP122" s="101"/>
      <c r="CQ122" s="101"/>
      <c r="CR122" s="101"/>
      <c r="CS122" s="101"/>
      <c r="CT122" s="101"/>
      <c r="CU122" s="101"/>
      <c r="CV122" s="101"/>
      <c r="CW122" s="101"/>
      <c r="CX122" s="101"/>
      <c r="CY122" s="101"/>
      <c r="CZ122" s="101"/>
      <c r="DA122" s="101"/>
      <c r="DB122" s="101"/>
      <c r="DC122" s="101"/>
      <c r="DD122" s="101"/>
      <c r="DE122" s="101"/>
      <c r="DF122" s="101"/>
      <c r="DG122" s="101"/>
      <c r="DH122" s="101"/>
      <c r="DI122" s="101"/>
      <c r="DJ122" s="101"/>
      <c r="DK122" s="101"/>
      <c r="DL122" s="101"/>
      <c r="DM122" s="101"/>
      <c r="DN122" s="101"/>
      <c r="DO122" s="101"/>
      <c r="DP122" s="101"/>
      <c r="DQ122" s="101"/>
      <c r="DR122" s="101"/>
      <c r="DS122" s="101"/>
      <c r="DT122" s="101"/>
    </row>
    <row r="123" spans="1:124" s="95" customFormat="1" ht="33" hidden="1" customHeight="1">
      <c r="A123" s="985">
        <v>5</v>
      </c>
      <c r="B123" s="1275" t="str">
        <f>'D M S'!B266</f>
        <v>Small Vehicle rental</v>
      </c>
      <c r="C123" s="1285">
        <f>'D M S'!C266</f>
        <v>71685</v>
      </c>
      <c r="D123" s="1366" t="str">
        <f>'D M S'!D266</f>
        <v>Hilux Pkup</v>
      </c>
      <c r="E123" s="1134"/>
      <c r="F123" s="673">
        <f>'D M S'!M266</f>
        <v>0</v>
      </c>
      <c r="G123" s="673">
        <f>'D M S'!M267</f>
        <v>0</v>
      </c>
      <c r="H123" s="673">
        <f>'D M S'!M268</f>
        <v>0</v>
      </c>
      <c r="I123" s="656">
        <v>120</v>
      </c>
      <c r="J123" s="656">
        <f t="shared" si="76"/>
        <v>0</v>
      </c>
      <c r="K123" s="651">
        <f t="shared" si="74"/>
        <v>0</v>
      </c>
      <c r="L123" s="651">
        <f t="shared" si="75"/>
        <v>0</v>
      </c>
      <c r="M123" s="651">
        <f t="shared" si="81"/>
        <v>0</v>
      </c>
      <c r="N123" s="652" t="e">
        <f t="shared" si="82"/>
        <v>#DIV/0!</v>
      </c>
      <c r="O123" s="652">
        <f t="shared" si="78"/>
        <v>0</v>
      </c>
      <c r="P123" s="652" t="e">
        <f t="shared" ref="P123:P141" si="83">(F123+G123)/(E123)</f>
        <v>#DIV/0!</v>
      </c>
      <c r="Q123" s="686">
        <v>2</v>
      </c>
      <c r="R123" s="653">
        <f t="shared" si="80"/>
        <v>0</v>
      </c>
      <c r="S123" s="654">
        <f>'[8]w Machinery Ex'!$S123+'[2]w Machinery Ex'!$S123+'[3]w Machinery Ex'!$S123+'[9]w Machinery Ex'!$S123+'[5]w Machinery Ex'!$S123+'[6]w Machinery Ex'!$S123+'[7]w Machinery Ex'!$S123</f>
        <v>0</v>
      </c>
      <c r="T123" s="1024">
        <f t="shared" si="31"/>
        <v>0</v>
      </c>
      <c r="U123" s="90"/>
      <c r="V123" s="90"/>
      <c r="W123" s="90"/>
      <c r="X123" s="90"/>
      <c r="Y123" s="90"/>
      <c r="Z123" s="90"/>
      <c r="AA123" s="125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1595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</row>
    <row r="124" spans="1:124" s="95" customFormat="1" ht="38.25" hidden="1" customHeight="1">
      <c r="A124" s="985">
        <v>6</v>
      </c>
      <c r="B124" s="1275" t="s">
        <v>172</v>
      </c>
      <c r="C124" s="988" t="s">
        <v>709</v>
      </c>
      <c r="D124" s="988" t="s">
        <v>708</v>
      </c>
      <c r="E124" s="1134"/>
      <c r="F124" s="673">
        <f>'D M S'!M290</f>
        <v>0</v>
      </c>
      <c r="G124" s="673">
        <f>'D M S'!M291</f>
        <v>0</v>
      </c>
      <c r="H124" s="673">
        <f>'D M S'!M292</f>
        <v>0</v>
      </c>
      <c r="I124" s="655">
        <v>135</v>
      </c>
      <c r="J124" s="656">
        <f t="shared" si="76"/>
        <v>0</v>
      </c>
      <c r="K124" s="651">
        <f t="shared" si="74"/>
        <v>0</v>
      </c>
      <c r="L124" s="651">
        <f t="shared" si="75"/>
        <v>0</v>
      </c>
      <c r="M124" s="651">
        <f t="shared" si="81"/>
        <v>0</v>
      </c>
      <c r="N124" s="652" t="e">
        <f t="shared" si="82"/>
        <v>#DIV/0!</v>
      </c>
      <c r="O124" s="652">
        <f t="shared" si="78"/>
        <v>0</v>
      </c>
      <c r="P124" s="652" t="e">
        <f t="shared" si="83"/>
        <v>#DIV/0!</v>
      </c>
      <c r="Q124" s="686">
        <v>2</v>
      </c>
      <c r="R124" s="653">
        <f>F124*Q124</f>
        <v>0</v>
      </c>
      <c r="S124" s="654">
        <f>'[8]w Machinery Ex'!$S124+'[2]w Machinery Ex'!$S124+'[3]w Machinery Ex'!$S124+'[9]w Machinery Ex'!$S124+'[5]w Machinery Ex'!$S124+'[6]w Machinery Ex'!$S124+'[7]w Machinery Ex'!$S124</f>
        <v>0</v>
      </c>
      <c r="T124" s="1024">
        <f t="shared" si="31"/>
        <v>0</v>
      </c>
      <c r="U124" s="90"/>
      <c r="V124" s="90"/>
      <c r="W124" s="116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1595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</row>
    <row r="125" spans="1:124" s="95" customFormat="1" ht="38.25" hidden="1" customHeight="1">
      <c r="A125" s="985">
        <v>8</v>
      </c>
      <c r="B125" s="1275" t="s">
        <v>172</v>
      </c>
      <c r="C125" s="1286">
        <f>'D M S'!C293</f>
        <v>30981</v>
      </c>
      <c r="D125" s="1286" t="str">
        <f>'D M S'!D293</f>
        <v>Pickup</v>
      </c>
      <c r="E125" s="656"/>
      <c r="F125" s="673">
        <f>'D M S'!M293</f>
        <v>0</v>
      </c>
      <c r="G125" s="673">
        <f>'D M S'!M297</f>
        <v>0</v>
      </c>
      <c r="H125" s="673">
        <f>'D M S'!M298</f>
        <v>0</v>
      </c>
      <c r="I125" s="655"/>
      <c r="J125" s="656">
        <f t="shared" si="76"/>
        <v>0</v>
      </c>
      <c r="K125" s="651">
        <f t="shared" si="74"/>
        <v>0</v>
      </c>
      <c r="L125" s="651">
        <f t="shared" si="75"/>
        <v>0</v>
      </c>
      <c r="M125" s="651">
        <f t="shared" si="81"/>
        <v>0</v>
      </c>
      <c r="N125" s="652" t="e">
        <f t="shared" si="82"/>
        <v>#DIV/0!</v>
      </c>
      <c r="O125" s="652">
        <f t="shared" si="78"/>
        <v>0</v>
      </c>
      <c r="P125" s="652" t="e">
        <f t="shared" si="83"/>
        <v>#DIV/0!</v>
      </c>
      <c r="Q125" s="686">
        <v>2</v>
      </c>
      <c r="R125" s="653">
        <f t="shared" si="80"/>
        <v>0</v>
      </c>
      <c r="S125" s="654">
        <f>'[8]w Machinery Ex'!$S125+'[2]w Machinery Ex'!$S125+'[3]w Machinery Ex'!$S125+'[9]w Machinery Ex'!$S125+'[5]w Machinery Ex'!$S125+'[6]w Machinery Ex'!$S125+'[7]w Machinery Ex'!$S125</f>
        <v>0</v>
      </c>
      <c r="T125" s="1024">
        <f t="shared" si="31"/>
        <v>0</v>
      </c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90"/>
      <c r="BH125" s="1595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</row>
    <row r="126" spans="1:124" s="95" customFormat="1" ht="38.25" customHeight="1">
      <c r="A126" s="985">
        <v>9</v>
      </c>
      <c r="B126" s="1275" t="s">
        <v>172</v>
      </c>
      <c r="C126" s="988" t="s">
        <v>758</v>
      </c>
      <c r="D126" s="1286" t="s">
        <v>158</v>
      </c>
      <c r="E126" s="656">
        <v>70</v>
      </c>
      <c r="F126" s="673">
        <f>'D M S'!M296</f>
        <v>70</v>
      </c>
      <c r="G126" s="673">
        <f>'D M S'!G297</f>
        <v>0</v>
      </c>
      <c r="H126" s="673">
        <f>'D M S'!H298</f>
        <v>0</v>
      </c>
      <c r="I126" s="656">
        <v>120</v>
      </c>
      <c r="J126" s="656">
        <f t="shared" si="76"/>
        <v>8400</v>
      </c>
      <c r="K126" s="651">
        <f t="shared" si="74"/>
        <v>8400</v>
      </c>
      <c r="L126" s="651">
        <f t="shared" si="75"/>
        <v>0</v>
      </c>
      <c r="M126" s="651">
        <f t="shared" si="81"/>
        <v>0</v>
      </c>
      <c r="N126" s="652">
        <f t="shared" si="82"/>
        <v>1</v>
      </c>
      <c r="O126" s="652">
        <f t="shared" si="78"/>
        <v>1</v>
      </c>
      <c r="P126" s="652">
        <f t="shared" si="83"/>
        <v>1</v>
      </c>
      <c r="Q126" s="686">
        <v>2</v>
      </c>
      <c r="R126" s="653">
        <f t="shared" ref="R126:R132" si="84">F126*Q126</f>
        <v>140</v>
      </c>
      <c r="S126" s="654">
        <f>'[8]w Machinery Ex'!$S126+'[2]w Machinery Ex'!$S126+'[3]w Machinery Ex'!$S126+'[9]w Machinery Ex'!$S126+'[5]w Machinery Ex'!$S126+'[6]w Machinery Ex'!$S126+'[7]w Machinery Ex'!$S126</f>
        <v>127</v>
      </c>
      <c r="T126" s="1024">
        <f t="shared" si="31"/>
        <v>140</v>
      </c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1595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</row>
    <row r="127" spans="1:124" s="95" customFormat="1" ht="38.25" hidden="1" customHeight="1">
      <c r="A127" s="985">
        <v>10</v>
      </c>
      <c r="B127" s="1275" t="s">
        <v>172</v>
      </c>
      <c r="C127" s="988" t="s">
        <v>759</v>
      </c>
      <c r="D127" s="988" t="s">
        <v>708</v>
      </c>
      <c r="E127" s="656"/>
      <c r="F127" s="673">
        <f>'D M S'!M299</f>
        <v>0</v>
      </c>
      <c r="G127" s="673">
        <f>'D M S'!M300</f>
        <v>0</v>
      </c>
      <c r="H127" s="673">
        <f>'D M S'!M301</f>
        <v>0</v>
      </c>
      <c r="I127" s="655">
        <v>135</v>
      </c>
      <c r="J127" s="656">
        <f t="shared" si="76"/>
        <v>0</v>
      </c>
      <c r="K127" s="651">
        <f t="shared" si="74"/>
        <v>0</v>
      </c>
      <c r="L127" s="651">
        <f t="shared" si="75"/>
        <v>0</v>
      </c>
      <c r="M127" s="651">
        <f t="shared" si="81"/>
        <v>0</v>
      </c>
      <c r="N127" s="652" t="e">
        <f t="shared" si="82"/>
        <v>#DIV/0!</v>
      </c>
      <c r="O127" s="652">
        <f t="shared" si="78"/>
        <v>0</v>
      </c>
      <c r="P127" s="652" t="e">
        <f t="shared" si="83"/>
        <v>#DIV/0!</v>
      </c>
      <c r="Q127" s="686">
        <v>2</v>
      </c>
      <c r="R127" s="653">
        <f t="shared" si="84"/>
        <v>0</v>
      </c>
      <c r="S127" s="654">
        <f>'[8]w Machinery Ex'!$S127+'[2]w Machinery Ex'!$S127+'[3]w Machinery Ex'!$S127+'[9]w Machinery Ex'!$S127+'[5]w Machinery Ex'!$S127+'[6]w Machinery Ex'!$S127+'[7]w Machinery Ex'!$S127</f>
        <v>0</v>
      </c>
      <c r="T127" s="1024">
        <f t="shared" si="31"/>
        <v>0</v>
      </c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125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1595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</row>
    <row r="128" spans="1:124" s="95" customFormat="1" ht="38.25" hidden="1" customHeight="1">
      <c r="A128" s="985">
        <v>11</v>
      </c>
      <c r="B128" s="1275" t="s">
        <v>172</v>
      </c>
      <c r="C128" s="988" t="s">
        <v>765</v>
      </c>
      <c r="D128" s="988" t="s">
        <v>708</v>
      </c>
      <c r="E128" s="656"/>
      <c r="F128" s="673"/>
      <c r="G128" s="673">
        <f>'D M S'!N97</f>
        <v>0</v>
      </c>
      <c r="H128" s="673">
        <f>'D M S'!F304</f>
        <v>0</v>
      </c>
      <c r="I128" s="655">
        <v>135</v>
      </c>
      <c r="J128" s="656">
        <f t="shared" si="76"/>
        <v>0</v>
      </c>
      <c r="K128" s="651">
        <f t="shared" si="74"/>
        <v>0</v>
      </c>
      <c r="L128" s="651">
        <f t="shared" si="75"/>
        <v>0</v>
      </c>
      <c r="M128" s="651">
        <f t="shared" si="81"/>
        <v>0</v>
      </c>
      <c r="N128" s="652" t="e">
        <f t="shared" si="82"/>
        <v>#DIV/0!</v>
      </c>
      <c r="O128" s="652">
        <f t="shared" si="78"/>
        <v>0</v>
      </c>
      <c r="P128" s="652" t="e">
        <f t="shared" si="83"/>
        <v>#DIV/0!</v>
      </c>
      <c r="Q128" s="658">
        <v>2</v>
      </c>
      <c r="R128" s="653">
        <f t="shared" si="84"/>
        <v>0</v>
      </c>
      <c r="S128" s="654">
        <f>'[8]w Machinery Ex'!$S128+'[2]w Machinery Ex'!$S128+'[3]w Machinery Ex'!$S128+'[9]w Machinery Ex'!$S128+'[5]w Machinery Ex'!$S128+'[6]w Machinery Ex'!$S128+'[7]w Machinery Ex'!$S128</f>
        <v>0</v>
      </c>
      <c r="T128" s="1024">
        <f t="shared" si="31"/>
        <v>0</v>
      </c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125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90"/>
      <c r="BH128" s="1595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90"/>
      <c r="DS128" s="90"/>
      <c r="DT128" s="90"/>
    </row>
    <row r="129" spans="1:124" s="95" customFormat="1" ht="38.25" hidden="1" customHeight="1">
      <c r="A129" s="985">
        <v>12</v>
      </c>
      <c r="B129" s="1275" t="s">
        <v>172</v>
      </c>
      <c r="C129" s="988" t="s">
        <v>775</v>
      </c>
      <c r="D129" s="988" t="s">
        <v>708</v>
      </c>
      <c r="E129" s="656"/>
      <c r="F129" s="673"/>
      <c r="G129" s="673">
        <f>'D M S'!M318</f>
        <v>0</v>
      </c>
      <c r="H129" s="673">
        <f>'D M S'!M319</f>
        <v>0</v>
      </c>
      <c r="I129" s="655">
        <v>135</v>
      </c>
      <c r="J129" s="656">
        <f t="shared" si="76"/>
        <v>0</v>
      </c>
      <c r="K129" s="651">
        <f t="shared" si="74"/>
        <v>0</v>
      </c>
      <c r="L129" s="651">
        <f t="shared" si="75"/>
        <v>0</v>
      </c>
      <c r="M129" s="651">
        <f t="shared" si="81"/>
        <v>0</v>
      </c>
      <c r="N129" s="652" t="e">
        <f t="shared" si="82"/>
        <v>#DIV/0!</v>
      </c>
      <c r="O129" s="652">
        <f t="shared" si="78"/>
        <v>0</v>
      </c>
      <c r="P129" s="652" t="e">
        <f t="shared" si="83"/>
        <v>#DIV/0!</v>
      </c>
      <c r="Q129" s="658">
        <v>2</v>
      </c>
      <c r="R129" s="653">
        <f t="shared" si="84"/>
        <v>0</v>
      </c>
      <c r="S129" s="654">
        <f>'[8]w Machinery Ex'!$S129+'[2]w Machinery Ex'!$S129+'[3]w Machinery Ex'!$S129+'[9]w Machinery Ex'!$S129+'[5]w Machinery Ex'!$S129+'[6]w Machinery Ex'!$S129+'[7]w Machinery Ex'!$S129</f>
        <v>0</v>
      </c>
      <c r="T129" s="1024">
        <f t="shared" si="31"/>
        <v>0</v>
      </c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125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1595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</row>
    <row r="130" spans="1:124" s="95" customFormat="1" ht="38.25" customHeight="1">
      <c r="A130" s="985">
        <v>13</v>
      </c>
      <c r="B130" s="1275" t="s">
        <v>172</v>
      </c>
      <c r="C130" s="988" t="s">
        <v>789</v>
      </c>
      <c r="D130" s="988" t="s">
        <v>708</v>
      </c>
      <c r="E130" s="656">
        <v>70</v>
      </c>
      <c r="F130" s="673">
        <f>'D M S'!M308</f>
        <v>70</v>
      </c>
      <c r="G130" s="673">
        <f>'D M S'!M354</f>
        <v>0</v>
      </c>
      <c r="H130" s="673">
        <f>'D M S'!M355</f>
        <v>0</v>
      </c>
      <c r="I130" s="655">
        <v>135</v>
      </c>
      <c r="J130" s="656">
        <f t="shared" si="76"/>
        <v>9450</v>
      </c>
      <c r="K130" s="651">
        <f t="shared" si="74"/>
        <v>9450</v>
      </c>
      <c r="L130" s="651">
        <f t="shared" si="75"/>
        <v>0</v>
      </c>
      <c r="M130" s="651">
        <f t="shared" si="81"/>
        <v>0</v>
      </c>
      <c r="N130" s="657">
        <f t="shared" si="82"/>
        <v>1</v>
      </c>
      <c r="O130" s="652">
        <f t="shared" si="78"/>
        <v>1</v>
      </c>
      <c r="P130" s="657">
        <f t="shared" si="83"/>
        <v>1</v>
      </c>
      <c r="Q130" s="658">
        <v>2</v>
      </c>
      <c r="R130" s="653">
        <f t="shared" si="84"/>
        <v>140</v>
      </c>
      <c r="S130" s="654">
        <f>'[8]w Machinery Ex'!$S130+'[2]w Machinery Ex'!$S130+'[3]w Machinery Ex'!$S130+'[9]w Machinery Ex'!$S130+'[5]w Machinery Ex'!$S130+'[6]w Machinery Ex'!$S130+'[7]w Machinery Ex'!$S130</f>
        <v>113</v>
      </c>
      <c r="T130" s="1024">
        <f t="shared" si="31"/>
        <v>140</v>
      </c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125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1595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</row>
    <row r="131" spans="1:124" s="95" customFormat="1" ht="38.25" customHeight="1">
      <c r="A131" s="985">
        <v>14</v>
      </c>
      <c r="B131" s="1275" t="s">
        <v>172</v>
      </c>
      <c r="C131" s="988" t="s">
        <v>977</v>
      </c>
      <c r="D131" s="988" t="s">
        <v>708</v>
      </c>
      <c r="E131" s="656">
        <v>70</v>
      </c>
      <c r="F131" s="673">
        <f>'D M S'!M311</f>
        <v>70</v>
      </c>
      <c r="G131" s="673">
        <f>'D M S'!M345</f>
        <v>0</v>
      </c>
      <c r="H131" s="673">
        <f>'D M S'!M346</f>
        <v>0</v>
      </c>
      <c r="I131" s="655">
        <v>135</v>
      </c>
      <c r="J131" s="656">
        <f t="shared" si="76"/>
        <v>9450</v>
      </c>
      <c r="K131" s="651">
        <f t="shared" si="74"/>
        <v>9450</v>
      </c>
      <c r="L131" s="651">
        <f t="shared" si="75"/>
        <v>0</v>
      </c>
      <c r="M131" s="651">
        <f t="shared" si="81"/>
        <v>0</v>
      </c>
      <c r="N131" s="657">
        <f t="shared" si="82"/>
        <v>1</v>
      </c>
      <c r="O131" s="652">
        <f t="shared" si="78"/>
        <v>1</v>
      </c>
      <c r="P131" s="657">
        <f t="shared" si="83"/>
        <v>1</v>
      </c>
      <c r="Q131" s="658">
        <v>2</v>
      </c>
      <c r="R131" s="653">
        <f t="shared" si="84"/>
        <v>140</v>
      </c>
      <c r="S131" s="654">
        <f>'[8]w Machinery Ex'!$S131+'[2]w Machinery Ex'!$S131+'[3]w Machinery Ex'!$S131+'[9]w Machinery Ex'!$S131+'[5]w Machinery Ex'!$S131+'[6]w Machinery Ex'!$S131+'[7]w Machinery Ex'!$S131</f>
        <v>141</v>
      </c>
      <c r="T131" s="1024">
        <f t="shared" si="31"/>
        <v>140</v>
      </c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125"/>
      <c r="AF131" s="90"/>
      <c r="AG131" s="90"/>
      <c r="AH131" s="90"/>
      <c r="AI131" s="90"/>
      <c r="AJ131" s="90"/>
      <c r="AK131" s="90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1595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90"/>
      <c r="DS131" s="90"/>
      <c r="DT131" s="90"/>
    </row>
    <row r="132" spans="1:124" s="95" customFormat="1" ht="38.25" customHeight="1" thickBot="1">
      <c r="A132" s="985">
        <v>15</v>
      </c>
      <c r="B132" s="1275" t="s">
        <v>172</v>
      </c>
      <c r="C132" s="988" t="s">
        <v>799</v>
      </c>
      <c r="D132" s="988" t="s">
        <v>708</v>
      </c>
      <c r="E132" s="656">
        <v>70</v>
      </c>
      <c r="F132" s="673">
        <f>'D M S'!M314</f>
        <v>30</v>
      </c>
      <c r="G132" s="673">
        <f>'D M S'!M363</f>
        <v>0</v>
      </c>
      <c r="H132" s="673">
        <f>'D M S'!M364</f>
        <v>0</v>
      </c>
      <c r="I132" s="655">
        <v>135</v>
      </c>
      <c r="J132" s="656">
        <f t="shared" si="76"/>
        <v>9450</v>
      </c>
      <c r="K132" s="651">
        <f t="shared" si="74"/>
        <v>4050</v>
      </c>
      <c r="L132" s="651">
        <f t="shared" si="75"/>
        <v>0</v>
      </c>
      <c r="M132" s="651">
        <f t="shared" si="81"/>
        <v>0</v>
      </c>
      <c r="N132" s="657">
        <f t="shared" si="82"/>
        <v>0.42857142857142855</v>
      </c>
      <c r="O132" s="652">
        <f t="shared" si="78"/>
        <v>1</v>
      </c>
      <c r="P132" s="657">
        <f t="shared" si="83"/>
        <v>0.42857142857142855</v>
      </c>
      <c r="Q132" s="658">
        <v>2</v>
      </c>
      <c r="R132" s="653">
        <f t="shared" si="84"/>
        <v>60</v>
      </c>
      <c r="S132" s="654">
        <f>'[8]w Machinery Ex'!$S132+'[2]w Machinery Ex'!$S132+'[3]w Machinery Ex'!$S132+'[9]w Machinery Ex'!$S132+'[5]w Machinery Ex'!$S132+'[6]w Machinery Ex'!$S132+'[7]w Machinery Ex'!$S132</f>
        <v>68</v>
      </c>
      <c r="T132" s="1024">
        <f t="shared" si="31"/>
        <v>140</v>
      </c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125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1595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90"/>
    </row>
    <row r="133" spans="1:124" s="95" customFormat="1" ht="38.25" hidden="1" customHeight="1">
      <c r="A133" s="985">
        <v>16</v>
      </c>
      <c r="B133" s="1275" t="s">
        <v>172</v>
      </c>
      <c r="C133" s="988" t="s">
        <v>213</v>
      </c>
      <c r="D133" s="988" t="s">
        <v>158</v>
      </c>
      <c r="E133" s="656">
        <v>48</v>
      </c>
      <c r="F133" s="673">
        <f>'D M S'!M359</f>
        <v>0</v>
      </c>
      <c r="G133" s="673">
        <f>'D M S'!M360</f>
        <v>0</v>
      </c>
      <c r="H133" s="673">
        <f>'D M S'!M361</f>
        <v>0</v>
      </c>
      <c r="I133" s="655">
        <v>80</v>
      </c>
      <c r="J133" s="656">
        <f t="shared" si="76"/>
        <v>3840</v>
      </c>
      <c r="K133" s="651">
        <f t="shared" si="74"/>
        <v>0</v>
      </c>
      <c r="L133" s="651">
        <f t="shared" si="75"/>
        <v>0</v>
      </c>
      <c r="M133" s="651">
        <f t="shared" si="81"/>
        <v>0</v>
      </c>
      <c r="N133" s="657">
        <f t="shared" si="82"/>
        <v>0</v>
      </c>
      <c r="O133" s="652">
        <f t="shared" si="78"/>
        <v>0</v>
      </c>
      <c r="P133" s="657">
        <f t="shared" si="83"/>
        <v>0</v>
      </c>
      <c r="Q133" s="658">
        <v>0</v>
      </c>
      <c r="R133" s="658">
        <v>0</v>
      </c>
      <c r="S133" s="654">
        <f>'[8]w Machinery Ex'!$S133+'[2]w Machinery Ex'!$S133+'[3]w Machinery Ex'!$S133+'[9]w Machinery Ex'!$S133+'[5]w Machinery Ex'!$S133+'[6]w Machinery Ex'!$S133+'[7]w Machinery Ex'!$S133</f>
        <v>0</v>
      </c>
      <c r="T133" s="1024">
        <f t="shared" si="31"/>
        <v>0</v>
      </c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125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>
        <f>SUM(BH120:BH132)</f>
        <v>0</v>
      </c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</row>
    <row r="134" spans="1:124" s="95" customFormat="1" ht="38.25" hidden="1" customHeight="1">
      <c r="A134" s="985">
        <v>17</v>
      </c>
      <c r="B134" s="1275" t="s">
        <v>172</v>
      </c>
      <c r="C134" s="988" t="s">
        <v>214</v>
      </c>
      <c r="D134" s="988" t="s">
        <v>215</v>
      </c>
      <c r="E134" s="656">
        <v>48</v>
      </c>
      <c r="F134" s="673">
        <f>'D M S'!M356</f>
        <v>0</v>
      </c>
      <c r="G134" s="673">
        <f>'D M S'!M357</f>
        <v>0</v>
      </c>
      <c r="H134" s="673">
        <f>'D M S'!M358</f>
        <v>0</v>
      </c>
      <c r="I134" s="655">
        <v>70</v>
      </c>
      <c r="J134" s="656">
        <f t="shared" si="76"/>
        <v>3360</v>
      </c>
      <c r="K134" s="651">
        <f t="shared" si="74"/>
        <v>0</v>
      </c>
      <c r="L134" s="651">
        <f t="shared" si="75"/>
        <v>0</v>
      </c>
      <c r="M134" s="651">
        <f t="shared" si="81"/>
        <v>0</v>
      </c>
      <c r="N134" s="657">
        <f t="shared" si="82"/>
        <v>0</v>
      </c>
      <c r="O134" s="652">
        <f t="shared" si="78"/>
        <v>0</v>
      </c>
      <c r="P134" s="657">
        <f t="shared" si="83"/>
        <v>0</v>
      </c>
      <c r="Q134" s="658">
        <v>0</v>
      </c>
      <c r="R134" s="658">
        <v>0</v>
      </c>
      <c r="S134" s="654">
        <f>'[8]w Machinery Ex'!$S134+'[2]w Machinery Ex'!$S134+'[3]w Machinery Ex'!$S134+'[9]w Machinery Ex'!$S134+'[5]w Machinery Ex'!$S134+'[6]w Machinery Ex'!$S134+'[7]w Machinery Ex'!$S134</f>
        <v>0</v>
      </c>
      <c r="T134" s="1024">
        <f t="shared" si="31"/>
        <v>0</v>
      </c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125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</row>
    <row r="135" spans="1:124" s="95" customFormat="1" ht="38.25" hidden="1" customHeight="1">
      <c r="A135" s="985">
        <v>18</v>
      </c>
      <c r="B135" s="1275" t="s">
        <v>172</v>
      </c>
      <c r="C135" s="988" t="s">
        <v>216</v>
      </c>
      <c r="D135" s="988"/>
      <c r="E135" s="656">
        <v>48</v>
      </c>
      <c r="F135" s="673">
        <f>'D M S'!M350</f>
        <v>0</v>
      </c>
      <c r="G135" s="673">
        <f>'D M S'!M351</f>
        <v>0</v>
      </c>
      <c r="H135" s="673">
        <f>'D M S'!M352</f>
        <v>0</v>
      </c>
      <c r="I135" s="655">
        <v>80</v>
      </c>
      <c r="J135" s="656">
        <f t="shared" si="76"/>
        <v>3840</v>
      </c>
      <c r="K135" s="651">
        <f t="shared" si="74"/>
        <v>0</v>
      </c>
      <c r="L135" s="651">
        <f t="shared" si="75"/>
        <v>0</v>
      </c>
      <c r="M135" s="651">
        <f t="shared" si="81"/>
        <v>0</v>
      </c>
      <c r="N135" s="657">
        <f t="shared" si="82"/>
        <v>0</v>
      </c>
      <c r="O135" s="652">
        <f t="shared" si="78"/>
        <v>0</v>
      </c>
      <c r="P135" s="657">
        <f t="shared" si="83"/>
        <v>0</v>
      </c>
      <c r="Q135" s="658">
        <v>0</v>
      </c>
      <c r="R135" s="658">
        <v>0</v>
      </c>
      <c r="S135" s="654">
        <f>'[8]w Machinery Ex'!$S135+'[2]w Machinery Ex'!$S135+'[3]w Machinery Ex'!$S135+'[9]w Machinery Ex'!$S135+'[5]w Machinery Ex'!$S135+'[6]w Machinery Ex'!$S135+'[7]w Machinery Ex'!$S135</f>
        <v>0</v>
      </c>
      <c r="T135" s="1024">
        <f t="shared" si="31"/>
        <v>0</v>
      </c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125"/>
      <c r="AF135" s="90"/>
      <c r="AG135" s="90"/>
      <c r="AH135" s="90"/>
      <c r="AI135" s="90"/>
      <c r="AJ135" s="90"/>
      <c r="AK135" s="90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</row>
    <row r="136" spans="1:124" s="95" customFormat="1" ht="38.25" hidden="1" customHeight="1">
      <c r="A136" s="985">
        <v>19</v>
      </c>
      <c r="B136" s="1275" t="s">
        <v>172</v>
      </c>
      <c r="C136" s="988" t="s">
        <v>217</v>
      </c>
      <c r="D136" s="988" t="s">
        <v>212</v>
      </c>
      <c r="E136" s="656">
        <v>48</v>
      </c>
      <c r="F136" s="673"/>
      <c r="G136" s="673">
        <f>'D M S'!M291</f>
        <v>0</v>
      </c>
      <c r="H136" s="673">
        <f>'D M S'!M292</f>
        <v>0</v>
      </c>
      <c r="I136" s="655">
        <v>60</v>
      </c>
      <c r="J136" s="656">
        <f t="shared" si="76"/>
        <v>2880</v>
      </c>
      <c r="K136" s="651"/>
      <c r="L136" s="651">
        <f t="shared" si="75"/>
        <v>0</v>
      </c>
      <c r="M136" s="651">
        <f t="shared" si="81"/>
        <v>0</v>
      </c>
      <c r="N136" s="657">
        <f t="shared" si="82"/>
        <v>0</v>
      </c>
      <c r="O136" s="652">
        <f t="shared" si="78"/>
        <v>0</v>
      </c>
      <c r="P136" s="657">
        <f t="shared" si="83"/>
        <v>0</v>
      </c>
      <c r="Q136" s="658">
        <v>0</v>
      </c>
      <c r="R136" s="658">
        <v>0</v>
      </c>
      <c r="S136" s="654">
        <f>'[8]w Machinery Ex'!$S136+'[2]w Machinery Ex'!$S136+'[3]w Machinery Ex'!$S136+'[9]w Machinery Ex'!$S136+'[5]w Machinery Ex'!$S136+'[6]w Machinery Ex'!$S136+'[7]w Machinery Ex'!$S136</f>
        <v>0</v>
      </c>
      <c r="T136" s="1024">
        <f t="shared" si="31"/>
        <v>0</v>
      </c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125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</row>
    <row r="137" spans="1:124" s="95" customFormat="1" ht="38.25" hidden="1" customHeight="1">
      <c r="A137" s="985">
        <v>20</v>
      </c>
      <c r="B137" s="1275" t="s">
        <v>172</v>
      </c>
      <c r="C137" s="988" t="s">
        <v>218</v>
      </c>
      <c r="D137" s="988" t="s">
        <v>211</v>
      </c>
      <c r="E137" s="656">
        <v>48</v>
      </c>
      <c r="F137" s="673">
        <f>'D M S'!M371</f>
        <v>0</v>
      </c>
      <c r="G137" s="673">
        <f>'D M S'!M372</f>
        <v>0</v>
      </c>
      <c r="H137" s="673">
        <f>'D M S'!M373</f>
        <v>0</v>
      </c>
      <c r="I137" s="655"/>
      <c r="J137" s="656"/>
      <c r="K137" s="651">
        <f t="shared" si="74"/>
        <v>0</v>
      </c>
      <c r="L137" s="651">
        <f t="shared" si="75"/>
        <v>0</v>
      </c>
      <c r="M137" s="651">
        <f t="shared" si="81"/>
        <v>0</v>
      </c>
      <c r="N137" s="657">
        <f t="shared" si="82"/>
        <v>0</v>
      </c>
      <c r="O137" s="652">
        <f t="shared" si="78"/>
        <v>0</v>
      </c>
      <c r="P137" s="657">
        <f t="shared" si="83"/>
        <v>0</v>
      </c>
      <c r="Q137" s="658">
        <v>0</v>
      </c>
      <c r="R137" s="658">
        <v>0</v>
      </c>
      <c r="S137" s="654">
        <f>'[8]w Machinery Ex'!$S137+'[2]w Machinery Ex'!$S137+'[3]w Machinery Ex'!$S137+'[9]w Machinery Ex'!$S137+'[5]w Machinery Ex'!$S137+'[6]w Machinery Ex'!$S137+'[7]w Machinery Ex'!$S137</f>
        <v>0</v>
      </c>
      <c r="T137" s="1024">
        <f t="shared" si="31"/>
        <v>0</v>
      </c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125"/>
      <c r="AF137" s="90"/>
      <c r="AG137" s="90"/>
      <c r="AH137" s="90"/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</row>
    <row r="138" spans="1:124" s="95" customFormat="1" ht="38.25" hidden="1" customHeight="1">
      <c r="A138" s="985">
        <v>21</v>
      </c>
      <c r="B138" s="1275" t="s">
        <v>172</v>
      </c>
      <c r="C138" s="988" t="s">
        <v>219</v>
      </c>
      <c r="D138" s="988"/>
      <c r="E138" s="656">
        <v>48</v>
      </c>
      <c r="F138" s="673">
        <f>'D M S'!M374</f>
        <v>0</v>
      </c>
      <c r="G138" s="673">
        <f>'D M S'!M375</f>
        <v>0</v>
      </c>
      <c r="H138" s="673">
        <f>'D M S'!M376</f>
        <v>0</v>
      </c>
      <c r="I138" s="655"/>
      <c r="J138" s="656"/>
      <c r="K138" s="651">
        <f t="shared" si="74"/>
        <v>0</v>
      </c>
      <c r="L138" s="651">
        <f t="shared" si="75"/>
        <v>0</v>
      </c>
      <c r="M138" s="651">
        <f t="shared" si="81"/>
        <v>0</v>
      </c>
      <c r="N138" s="657">
        <f t="shared" si="82"/>
        <v>0</v>
      </c>
      <c r="O138" s="652">
        <f t="shared" si="78"/>
        <v>0</v>
      </c>
      <c r="P138" s="657">
        <f t="shared" si="83"/>
        <v>0</v>
      </c>
      <c r="Q138" s="658">
        <v>0</v>
      </c>
      <c r="R138" s="658">
        <v>0</v>
      </c>
      <c r="S138" s="654">
        <f>'[8]w Machinery Ex'!$S138+'[2]w Machinery Ex'!$S138+'[3]w Machinery Ex'!$S138+'[9]w Machinery Ex'!$S138+'[5]w Machinery Ex'!$S138+'[6]w Machinery Ex'!$S138+'[7]w Machinery Ex'!$S138</f>
        <v>0</v>
      </c>
      <c r="T138" s="1024">
        <f t="shared" si="31"/>
        <v>0</v>
      </c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125"/>
      <c r="AF138" s="90"/>
      <c r="AG138" s="90"/>
      <c r="AH138" s="90"/>
      <c r="AI138" s="90"/>
      <c r="AJ138" s="90"/>
      <c r="AK138" s="90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90"/>
      <c r="DC138" s="90"/>
      <c r="DD138" s="90"/>
      <c r="DE138" s="90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</row>
    <row r="139" spans="1:124" s="95" customFormat="1" ht="38.25" hidden="1" customHeight="1">
      <c r="A139" s="985">
        <v>22</v>
      </c>
      <c r="B139" s="1275" t="s">
        <v>172</v>
      </c>
      <c r="C139" s="988" t="s">
        <v>220</v>
      </c>
      <c r="D139" s="988"/>
      <c r="E139" s="656">
        <v>48</v>
      </c>
      <c r="F139" s="673">
        <f>'D M S'!M368</f>
        <v>0</v>
      </c>
      <c r="G139" s="673">
        <f>'D M S'!M369</f>
        <v>0</v>
      </c>
      <c r="H139" s="673">
        <f>'D M S'!M370</f>
        <v>0</v>
      </c>
      <c r="I139" s="655"/>
      <c r="J139" s="656"/>
      <c r="K139" s="651">
        <f t="shared" si="74"/>
        <v>0</v>
      </c>
      <c r="L139" s="651">
        <f t="shared" si="75"/>
        <v>0</v>
      </c>
      <c r="M139" s="651">
        <f t="shared" si="81"/>
        <v>0</v>
      </c>
      <c r="N139" s="657">
        <f t="shared" si="82"/>
        <v>0</v>
      </c>
      <c r="O139" s="652">
        <f t="shared" si="78"/>
        <v>0</v>
      </c>
      <c r="P139" s="657">
        <f t="shared" si="83"/>
        <v>0</v>
      </c>
      <c r="Q139" s="658">
        <v>0</v>
      </c>
      <c r="R139" s="658">
        <v>0</v>
      </c>
      <c r="S139" s="654">
        <f>'[8]w Machinery Ex'!$S139+'[2]w Machinery Ex'!$S139+'[3]w Machinery Ex'!$S139+'[9]w Machinery Ex'!$S139+'[5]w Machinery Ex'!$S139+'[6]w Machinery Ex'!$S139+'[7]w Machinery Ex'!$S139</f>
        <v>0</v>
      </c>
      <c r="T139" s="1024">
        <f t="shared" si="31"/>
        <v>0</v>
      </c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125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</row>
    <row r="140" spans="1:124" s="95" customFormat="1" ht="38.25" hidden="1" customHeight="1">
      <c r="A140" s="985">
        <v>23</v>
      </c>
      <c r="B140" s="1275" t="s">
        <v>172</v>
      </c>
      <c r="C140" s="988" t="s">
        <v>221</v>
      </c>
      <c r="D140" s="988"/>
      <c r="E140" s="656">
        <v>48</v>
      </c>
      <c r="F140" s="673">
        <f>'D M S'!M365</f>
        <v>0</v>
      </c>
      <c r="G140" s="673">
        <f>'D M S'!M366</f>
        <v>0</v>
      </c>
      <c r="H140" s="673">
        <f>'D M S'!M367</f>
        <v>0</v>
      </c>
      <c r="I140" s="655"/>
      <c r="J140" s="656"/>
      <c r="K140" s="651">
        <f t="shared" si="74"/>
        <v>0</v>
      </c>
      <c r="L140" s="651">
        <f t="shared" si="75"/>
        <v>0</v>
      </c>
      <c r="M140" s="651">
        <f t="shared" si="81"/>
        <v>0</v>
      </c>
      <c r="N140" s="657">
        <f t="shared" si="82"/>
        <v>0</v>
      </c>
      <c r="O140" s="652">
        <f t="shared" si="78"/>
        <v>0</v>
      </c>
      <c r="P140" s="657">
        <f t="shared" si="83"/>
        <v>0</v>
      </c>
      <c r="Q140" s="658">
        <v>0</v>
      </c>
      <c r="R140" s="658">
        <v>0</v>
      </c>
      <c r="S140" s="654">
        <f>'[8]w Machinery Ex'!$S140+'[2]w Machinery Ex'!$S140+'[3]w Machinery Ex'!$S140+'[9]w Machinery Ex'!$S140+'[5]w Machinery Ex'!$S140+'[6]w Machinery Ex'!$S140+'[7]w Machinery Ex'!$S140</f>
        <v>0</v>
      </c>
      <c r="T140" s="1024">
        <f t="shared" si="31"/>
        <v>0</v>
      </c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125"/>
      <c r="AF140" s="90"/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90"/>
      <c r="DC140" s="90"/>
      <c r="DD140" s="90"/>
      <c r="DE140" s="90"/>
      <c r="DF140" s="90"/>
      <c r="DG140" s="90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</row>
    <row r="141" spans="1:124" s="95" customFormat="1" ht="38.25" hidden="1" customHeight="1" thickBot="1">
      <c r="A141" s="985">
        <v>24</v>
      </c>
      <c r="B141" s="1275" t="s">
        <v>172</v>
      </c>
      <c r="C141" s="988" t="s">
        <v>222</v>
      </c>
      <c r="D141" s="988" t="s">
        <v>211</v>
      </c>
      <c r="E141" s="656">
        <v>48</v>
      </c>
      <c r="F141" s="673">
        <f>'D M S'!M377</f>
        <v>0</v>
      </c>
      <c r="G141" s="673">
        <f>'D M S'!M378</f>
        <v>0</v>
      </c>
      <c r="H141" s="673">
        <f>'D M S'!M379</f>
        <v>0</v>
      </c>
      <c r="I141" s="655">
        <v>80</v>
      </c>
      <c r="J141" s="656">
        <f>I141*E141</f>
        <v>3840</v>
      </c>
      <c r="K141" s="651">
        <f t="shared" si="74"/>
        <v>0</v>
      </c>
      <c r="L141" s="651">
        <f t="shared" si="75"/>
        <v>0</v>
      </c>
      <c r="M141" s="651">
        <f t="shared" si="81"/>
        <v>0</v>
      </c>
      <c r="N141" s="657">
        <f t="shared" si="82"/>
        <v>0</v>
      </c>
      <c r="O141" s="652">
        <f t="shared" si="78"/>
        <v>0</v>
      </c>
      <c r="P141" s="657">
        <f t="shared" si="83"/>
        <v>0</v>
      </c>
      <c r="Q141" s="658">
        <v>0</v>
      </c>
      <c r="R141" s="658">
        <v>0</v>
      </c>
      <c r="S141" s="654">
        <f>'[8]w Machinery Ex'!$S141+'[2]w Machinery Ex'!$S141+'[3]w Machinery Ex'!$S141+'[9]w Machinery Ex'!$S141+'[5]w Machinery Ex'!$S141+'[6]w Machinery Ex'!$S141+'[7]w Machinery Ex'!$S141</f>
        <v>0</v>
      </c>
      <c r="T141" s="1024">
        <f t="shared" si="31"/>
        <v>0</v>
      </c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125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</row>
    <row r="142" spans="1:124" s="974" customFormat="1" ht="27.75" customHeight="1" thickBot="1">
      <c r="A142" s="975"/>
      <c r="B142" s="1943" t="s">
        <v>193</v>
      </c>
      <c r="C142" s="1943"/>
      <c r="D142" s="1943"/>
      <c r="E142" s="971">
        <f>SUM(E119:E128)</f>
        <v>280</v>
      </c>
      <c r="F142" s="971">
        <f>SUM(F119:F129)</f>
        <v>210</v>
      </c>
      <c r="G142" s="971">
        <f>SUM(G119:G141)</f>
        <v>0</v>
      </c>
      <c r="H142" s="971">
        <f>SUM(H119:H141)</f>
        <v>0</v>
      </c>
      <c r="I142" s="971"/>
      <c r="J142" s="976">
        <f>SUM(J119:J131)</f>
        <v>51100</v>
      </c>
      <c r="K142" s="976">
        <f>SUM(K119:K132)</f>
        <v>49550</v>
      </c>
      <c r="L142" s="1003">
        <f t="shared" ref="L142:M142" si="85">SUM(L119:L141)</f>
        <v>0</v>
      </c>
      <c r="M142" s="1128">
        <f t="shared" si="85"/>
        <v>0</v>
      </c>
      <c r="N142" s="971"/>
      <c r="O142" s="971">
        <f>SUM(O119:O141)</f>
        <v>6</v>
      </c>
      <c r="P142" s="971"/>
      <c r="Q142" s="973"/>
      <c r="R142" s="1351">
        <f>SUM(R119:R128)</f>
        <v>420</v>
      </c>
      <c r="S142" s="1259">
        <f>SUM(S119:S141)</f>
        <v>675</v>
      </c>
      <c r="T142" s="1282">
        <f>SUM(T119:T127)</f>
        <v>560</v>
      </c>
    </row>
    <row r="143" spans="1:124" s="974" customFormat="1" ht="27.75" customHeight="1" thickBot="1">
      <c r="A143" s="977"/>
      <c r="B143" s="1942" t="s">
        <v>223</v>
      </c>
      <c r="C143" s="1942"/>
      <c r="D143" s="1942"/>
      <c r="E143" s="978">
        <f>E142+E118+E115+E111</f>
        <v>1250</v>
      </c>
      <c r="F143" s="978">
        <f>F142+F118+F115+F111</f>
        <v>830.63000000000011</v>
      </c>
      <c r="G143" s="978">
        <f>G142+G118+G115+G111</f>
        <v>10.629999999999999</v>
      </c>
      <c r="H143" s="978">
        <f>H142+H118+H115+H111</f>
        <v>0</v>
      </c>
      <c r="I143" s="978"/>
      <c r="J143" s="978">
        <f>J111+J115+J142</f>
        <v>287233.56</v>
      </c>
      <c r="K143" s="978">
        <f>K111+K115+K142</f>
        <v>215864.6489</v>
      </c>
      <c r="L143" s="978">
        <f>L111+L115+L142</f>
        <v>4567.1770999999999</v>
      </c>
      <c r="M143" s="978">
        <f>M111+M115+M142</f>
        <v>0</v>
      </c>
      <c r="N143" s="979"/>
      <c r="O143" s="979"/>
      <c r="P143" s="979"/>
      <c r="Q143" s="980"/>
      <c r="R143" s="980">
        <f>R142+R118+R111+R115</f>
        <v>7056</v>
      </c>
      <c r="S143" s="1350">
        <f>S111+S115+S142</f>
        <v>5418</v>
      </c>
      <c r="T143" s="1283">
        <f>T142+T118+T111+T115</f>
        <v>8396</v>
      </c>
      <c r="U143" s="974">
        <f>S143-'Summary (new)2'!C15</f>
        <v>1276</v>
      </c>
    </row>
    <row r="144" spans="1:124" ht="46.5" customHeight="1" thickTop="1">
      <c r="A144" s="1004"/>
      <c r="B144" s="1005"/>
      <c r="C144" s="682"/>
      <c r="D144" s="1006"/>
      <c r="E144" s="1007"/>
      <c r="F144" s="1005"/>
      <c r="G144" s="1008"/>
      <c r="H144" s="1005"/>
      <c r="I144" s="1007"/>
      <c r="J144" s="642"/>
      <c r="K144" s="639"/>
      <c r="L144" s="642"/>
      <c r="M144" s="1009"/>
      <c r="N144" s="1007"/>
      <c r="O144" s="1009"/>
      <c r="P144" s="642"/>
      <c r="Q144" s="643"/>
      <c r="R144" s="643"/>
      <c r="S144" s="1261"/>
      <c r="V144" s="100"/>
      <c r="Z144" s="96"/>
      <c r="AA144" s="96"/>
      <c r="AE144" s="126"/>
    </row>
    <row r="145" spans="1:19">
      <c r="A145" s="1010"/>
      <c r="B145" s="682"/>
      <c r="C145" s="1010"/>
      <c r="D145" s="1011"/>
      <c r="E145" s="1012"/>
      <c r="F145" s="639"/>
      <c r="G145" s="639"/>
      <c r="H145" s="639"/>
      <c r="I145" s="642"/>
      <c r="J145" s="642"/>
      <c r="K145" s="639"/>
      <c r="L145" s="642"/>
      <c r="M145" s="642"/>
      <c r="N145" s="642"/>
      <c r="O145" s="642"/>
      <c r="P145" s="642"/>
      <c r="Q145" s="644"/>
      <c r="R145" s="644"/>
      <c r="S145" s="644"/>
    </row>
  </sheetData>
  <mergeCells count="61">
    <mergeCell ref="A2:P2"/>
    <mergeCell ref="A1:P1"/>
    <mergeCell ref="A95:D95"/>
    <mergeCell ref="E95:S95"/>
    <mergeCell ref="B71:D71"/>
    <mergeCell ref="A72:D72"/>
    <mergeCell ref="B78:D78"/>
    <mergeCell ref="A79:D79"/>
    <mergeCell ref="E79:S79"/>
    <mergeCell ref="A60:D60"/>
    <mergeCell ref="E60:S60"/>
    <mergeCell ref="B65:D65"/>
    <mergeCell ref="B47:D47"/>
    <mergeCell ref="B29:D29"/>
    <mergeCell ref="A30:D30"/>
    <mergeCell ref="E30:S30"/>
    <mergeCell ref="E49:S49"/>
    <mergeCell ref="B143:D143"/>
    <mergeCell ref="B86:D86"/>
    <mergeCell ref="B88:C88"/>
    <mergeCell ref="B93:D93"/>
    <mergeCell ref="A94:D94"/>
    <mergeCell ref="B111:D111"/>
    <mergeCell ref="B142:D142"/>
    <mergeCell ref="B59:D59"/>
    <mergeCell ref="A49:D49"/>
    <mergeCell ref="B115:D115"/>
    <mergeCell ref="A33:D33"/>
    <mergeCell ref="E33:S33"/>
    <mergeCell ref="A40:D40"/>
    <mergeCell ref="E40:S40"/>
    <mergeCell ref="B48:D48"/>
    <mergeCell ref="A20:D20"/>
    <mergeCell ref="E20:S20"/>
    <mergeCell ref="A26:D26"/>
    <mergeCell ref="E26:S26"/>
    <mergeCell ref="R5:R6"/>
    <mergeCell ref="Q5:Q6"/>
    <mergeCell ref="A16:D16"/>
    <mergeCell ref="E16:S16"/>
    <mergeCell ref="A7:D7"/>
    <mergeCell ref="E7:S7"/>
    <mergeCell ref="A12:D12"/>
    <mergeCell ref="E12:S12"/>
    <mergeCell ref="D5:D6"/>
    <mergeCell ref="B3:O3"/>
    <mergeCell ref="P3:S3"/>
    <mergeCell ref="P4:S4"/>
    <mergeCell ref="A5:A6"/>
    <mergeCell ref="B5:B6"/>
    <mergeCell ref="C5:C6"/>
    <mergeCell ref="E5:E6"/>
    <mergeCell ref="F5:F6"/>
    <mergeCell ref="G5:G6"/>
    <mergeCell ref="H5:H6"/>
    <mergeCell ref="I5:I6"/>
    <mergeCell ref="J5:M5"/>
    <mergeCell ref="N5:N6"/>
    <mergeCell ref="O5:O6"/>
    <mergeCell ref="P5:P6"/>
    <mergeCell ref="S5:S6"/>
  </mergeCells>
  <printOptions horizontalCentered="1"/>
  <pageMargins left="0" right="0" top="0" bottom="0" header="0" footer="0"/>
  <pageSetup paperSize="9" scale="36" firstPageNumber="0" fitToHeight="0" orientation="landscape" r:id="rId1"/>
  <headerFooter scaleWithDoc="0" alignWithMargins="0">
    <oddFooter>&amp;L&amp;"Times New Roman,Regular"&amp;14Prepared By:-________&amp;"Lohit Hindi,Regular"&amp;10
FASIL N.&amp;C&amp;"Times New Roman,Regular"&amp;14Checked By:-_______
&amp;"BankGothic Lt BT,Light"Natan K.&amp;R&amp;"Times New Roman,Regular"&amp;12Approved By:-
AMARE M.</oddFooter>
  </headerFooter>
  <rowBreaks count="1" manualBreakCount="1">
    <brk id="94" max="18" man="1"/>
  </rowBreaks>
  <colBreaks count="1" manualBreakCount="1">
    <brk id="21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G188"/>
  <sheetViews>
    <sheetView view="pageBreakPreview" zoomScale="60" zoomScaleNormal="60" zoomScalePageLayoutView="60" workbookViewId="0">
      <pane ySplit="7" topLeftCell="A127" activePane="bottomLeft" state="frozen"/>
      <selection activeCell="F70" sqref="F70"/>
      <selection pane="bottomLeft" activeCell="G141" sqref="G141"/>
    </sheetView>
  </sheetViews>
  <sheetFormatPr defaultRowHeight="23.25"/>
  <cols>
    <col min="1" max="1" width="15" style="135" bestFit="1" customWidth="1"/>
    <col min="2" max="2" width="18.140625" style="691"/>
    <col min="3" max="3" width="26.5703125" style="691" customWidth="1"/>
    <col min="4" max="4" width="14.5703125" style="952"/>
    <col min="5" max="5" width="19.7109375" style="946" customWidth="1"/>
    <col min="6" max="6" width="15.5703125" style="217" customWidth="1"/>
    <col min="7" max="7" width="15.42578125" style="218" bestFit="1" customWidth="1"/>
    <col min="8" max="8" width="15" style="219" customWidth="1"/>
    <col min="9" max="9" width="15" style="90" customWidth="1"/>
    <col min="10" max="10" width="16.42578125" style="220" customWidth="1"/>
    <col min="11" max="11" width="15.42578125" style="90" customWidth="1"/>
    <col min="12" max="12" width="15.5703125" style="90" customWidth="1"/>
    <col min="13" max="13" width="16.85546875" style="221" customWidth="1"/>
    <col min="14" max="14" width="30.140625" style="953" customWidth="1"/>
    <col min="15" max="15" width="20.85546875" style="222" customWidth="1"/>
    <col min="16" max="16" width="27.85546875" style="952" customWidth="1"/>
    <col min="17" max="995" width="16.5703125" style="101"/>
  </cols>
  <sheetData>
    <row r="1" spans="1:995" s="766" customFormat="1" ht="36" customHeight="1">
      <c r="A1" s="1980" t="str">
        <f>'Lab. Evalu.'!A1:L1</f>
        <v>Cross-land Construction Company</v>
      </c>
      <c r="B1" s="1981"/>
      <c r="C1" s="1981"/>
      <c r="D1" s="1981"/>
      <c r="E1" s="1981"/>
      <c r="F1" s="1981"/>
      <c r="G1" s="1981"/>
      <c r="H1" s="1981"/>
      <c r="I1" s="1981"/>
      <c r="J1" s="1981"/>
      <c r="K1" s="1981"/>
      <c r="L1" s="1981"/>
      <c r="M1" s="1981"/>
      <c r="N1" s="1981"/>
      <c r="O1" s="1981"/>
      <c r="P1" s="1982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  <c r="AF1" s="765"/>
      <c r="AG1" s="765"/>
      <c r="AH1" s="765"/>
      <c r="AI1" s="765"/>
      <c r="AJ1" s="765"/>
      <c r="AK1" s="765"/>
      <c r="AL1" s="765"/>
      <c r="AM1" s="765"/>
      <c r="AN1" s="765"/>
      <c r="AO1" s="765"/>
      <c r="AP1" s="765"/>
      <c r="AQ1" s="765"/>
      <c r="AR1" s="765"/>
      <c r="AS1" s="765"/>
      <c r="AT1" s="765"/>
      <c r="AU1" s="765"/>
      <c r="AV1" s="765"/>
      <c r="AW1" s="765"/>
      <c r="AX1" s="765"/>
      <c r="AY1" s="765"/>
      <c r="AZ1" s="765"/>
      <c r="BA1" s="765"/>
      <c r="BB1" s="765"/>
      <c r="BC1" s="765"/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765"/>
      <c r="CJ1" s="765"/>
      <c r="CK1" s="765"/>
      <c r="CL1" s="765"/>
      <c r="CM1" s="765"/>
      <c r="CN1" s="765"/>
      <c r="CO1" s="765"/>
      <c r="CP1" s="765"/>
      <c r="CQ1" s="765"/>
      <c r="CR1" s="765"/>
      <c r="CS1" s="765"/>
      <c r="CT1" s="765"/>
      <c r="CU1" s="765"/>
      <c r="CV1" s="765"/>
      <c r="CW1" s="765"/>
      <c r="CX1" s="765"/>
      <c r="CY1" s="765"/>
      <c r="CZ1" s="765"/>
      <c r="DA1" s="765"/>
      <c r="DB1" s="765"/>
      <c r="DC1" s="765"/>
      <c r="DD1" s="765"/>
      <c r="DE1" s="765"/>
      <c r="DF1" s="765"/>
      <c r="DG1" s="765"/>
      <c r="DH1" s="765"/>
      <c r="DI1" s="765"/>
      <c r="DJ1" s="765"/>
      <c r="DK1" s="765"/>
      <c r="DL1" s="765"/>
      <c r="DM1" s="765"/>
      <c r="DN1" s="765"/>
      <c r="DO1" s="765"/>
      <c r="DP1" s="765"/>
      <c r="DQ1" s="765"/>
      <c r="DR1" s="765"/>
      <c r="DS1" s="765"/>
      <c r="DT1" s="765"/>
      <c r="DU1" s="765"/>
      <c r="DV1" s="765"/>
      <c r="DW1" s="765"/>
      <c r="DX1" s="765"/>
      <c r="DY1" s="765"/>
      <c r="DZ1" s="765"/>
      <c r="EA1" s="765"/>
      <c r="EB1" s="765"/>
      <c r="EC1" s="765"/>
      <c r="ED1" s="765"/>
      <c r="EE1" s="765"/>
      <c r="EF1" s="765"/>
      <c r="EG1" s="765"/>
      <c r="EH1" s="765"/>
      <c r="EI1" s="765"/>
      <c r="EJ1" s="765"/>
      <c r="EK1" s="765"/>
      <c r="EL1" s="765"/>
      <c r="EM1" s="765"/>
      <c r="EN1" s="765"/>
      <c r="EO1" s="765"/>
      <c r="EP1" s="765"/>
      <c r="EQ1" s="765"/>
      <c r="ER1" s="765"/>
      <c r="ES1" s="765"/>
      <c r="ET1" s="765"/>
      <c r="EU1" s="765"/>
      <c r="EV1" s="765"/>
      <c r="EW1" s="765"/>
      <c r="EX1" s="765"/>
      <c r="EY1" s="765"/>
      <c r="EZ1" s="765"/>
      <c r="FA1" s="765"/>
      <c r="FB1" s="765"/>
      <c r="FC1" s="765"/>
      <c r="FD1" s="765"/>
      <c r="FE1" s="765"/>
      <c r="FF1" s="765"/>
      <c r="FG1" s="765"/>
      <c r="FH1" s="765"/>
      <c r="FI1" s="765"/>
      <c r="FJ1" s="765"/>
      <c r="FK1" s="765"/>
      <c r="FL1" s="765"/>
      <c r="FM1" s="765"/>
      <c r="FN1" s="765"/>
      <c r="FO1" s="765"/>
      <c r="FP1" s="765"/>
      <c r="FQ1" s="765"/>
      <c r="FR1" s="765"/>
      <c r="FS1" s="765"/>
      <c r="FT1" s="765"/>
      <c r="FU1" s="765"/>
      <c r="FV1" s="765"/>
      <c r="FW1" s="765"/>
      <c r="FX1" s="765"/>
      <c r="FY1" s="765"/>
      <c r="FZ1" s="765"/>
      <c r="GA1" s="765"/>
      <c r="GB1" s="765"/>
      <c r="GC1" s="765"/>
      <c r="GD1" s="765"/>
      <c r="GE1" s="765"/>
      <c r="GF1" s="765"/>
      <c r="GG1" s="765"/>
      <c r="GH1" s="765"/>
      <c r="GI1" s="765"/>
      <c r="GJ1" s="765"/>
      <c r="GK1" s="765"/>
      <c r="GL1" s="765"/>
      <c r="GM1" s="765"/>
      <c r="GN1" s="765"/>
      <c r="GO1" s="765"/>
      <c r="GP1" s="765"/>
      <c r="GQ1" s="765"/>
      <c r="GR1" s="765"/>
      <c r="GS1" s="765"/>
      <c r="GT1" s="765"/>
      <c r="GU1" s="765"/>
      <c r="GV1" s="765"/>
      <c r="GW1" s="765"/>
      <c r="GX1" s="765"/>
      <c r="GY1" s="765"/>
      <c r="GZ1" s="765"/>
      <c r="HA1" s="765"/>
      <c r="HB1" s="765"/>
      <c r="HC1" s="765"/>
      <c r="HD1" s="765"/>
      <c r="HE1" s="765"/>
      <c r="HF1" s="765"/>
      <c r="HG1" s="765"/>
      <c r="HH1" s="765"/>
      <c r="HI1" s="765"/>
      <c r="HJ1" s="765"/>
      <c r="HK1" s="765"/>
      <c r="HL1" s="765"/>
      <c r="HM1" s="765"/>
      <c r="HN1" s="765"/>
      <c r="HO1" s="765"/>
      <c r="HP1" s="765"/>
      <c r="HQ1" s="765"/>
      <c r="HR1" s="765"/>
      <c r="HS1" s="765"/>
      <c r="HT1" s="765"/>
      <c r="HU1" s="765"/>
      <c r="HV1" s="765"/>
      <c r="HW1" s="765"/>
      <c r="HX1" s="765"/>
      <c r="HY1" s="765"/>
      <c r="HZ1" s="765"/>
      <c r="IA1" s="765"/>
      <c r="IB1" s="765"/>
      <c r="IC1" s="765"/>
      <c r="ID1" s="765"/>
      <c r="IE1" s="765"/>
      <c r="IF1" s="765"/>
      <c r="IG1" s="765"/>
      <c r="IH1" s="765"/>
      <c r="II1" s="765"/>
      <c r="IJ1" s="765"/>
      <c r="IK1" s="765"/>
      <c r="IL1" s="765"/>
      <c r="IM1" s="765"/>
      <c r="IN1" s="765"/>
      <c r="IO1" s="765"/>
      <c r="IP1" s="765"/>
      <c r="IQ1" s="765"/>
      <c r="IR1" s="765"/>
      <c r="IS1" s="765"/>
      <c r="IT1" s="765"/>
      <c r="IU1" s="765"/>
      <c r="IV1" s="765"/>
      <c r="IW1" s="765"/>
      <c r="IX1" s="765"/>
      <c r="IY1" s="765"/>
      <c r="IZ1" s="765"/>
      <c r="JA1" s="765"/>
      <c r="JB1" s="765"/>
      <c r="JC1" s="765"/>
      <c r="JD1" s="765"/>
      <c r="JE1" s="765"/>
      <c r="JF1" s="765"/>
      <c r="JG1" s="765"/>
      <c r="JH1" s="765"/>
      <c r="JI1" s="765"/>
      <c r="JJ1" s="765"/>
      <c r="JK1" s="765"/>
      <c r="JL1" s="765"/>
      <c r="JM1" s="765"/>
      <c r="JN1" s="765"/>
      <c r="JO1" s="765"/>
      <c r="JP1" s="765"/>
      <c r="JQ1" s="765"/>
      <c r="JR1" s="765"/>
      <c r="JS1" s="765"/>
      <c r="JT1" s="765"/>
      <c r="JU1" s="765"/>
      <c r="JV1" s="765"/>
      <c r="JW1" s="765"/>
      <c r="JX1" s="765"/>
      <c r="JY1" s="765"/>
      <c r="JZ1" s="765"/>
      <c r="KA1" s="765"/>
      <c r="KB1" s="765"/>
      <c r="KC1" s="765"/>
      <c r="KD1" s="765"/>
      <c r="KE1" s="765"/>
      <c r="KF1" s="765"/>
      <c r="KG1" s="765"/>
      <c r="KH1" s="765"/>
      <c r="KI1" s="765"/>
      <c r="KJ1" s="765"/>
      <c r="KK1" s="765"/>
      <c r="KL1" s="765"/>
      <c r="KM1" s="765"/>
      <c r="KN1" s="765"/>
      <c r="KO1" s="765"/>
      <c r="KP1" s="765"/>
      <c r="KQ1" s="765"/>
      <c r="KR1" s="765"/>
      <c r="KS1" s="765"/>
      <c r="KT1" s="765"/>
      <c r="KU1" s="765"/>
      <c r="KV1" s="765"/>
      <c r="KW1" s="765"/>
      <c r="KX1" s="765"/>
      <c r="KY1" s="765"/>
      <c r="KZ1" s="765"/>
      <c r="LA1" s="765"/>
      <c r="LB1" s="765"/>
      <c r="LC1" s="765"/>
      <c r="LD1" s="765"/>
      <c r="LE1" s="765"/>
      <c r="LF1" s="765"/>
      <c r="LG1" s="765"/>
      <c r="LH1" s="765"/>
      <c r="LI1" s="765"/>
      <c r="LJ1" s="765"/>
      <c r="LK1" s="765"/>
      <c r="LL1" s="765"/>
      <c r="LM1" s="765"/>
      <c r="LN1" s="765"/>
      <c r="LO1" s="765"/>
      <c r="LP1" s="765"/>
      <c r="LQ1" s="765"/>
      <c r="LR1" s="765"/>
      <c r="LS1" s="765"/>
      <c r="LT1" s="765"/>
      <c r="LU1" s="765"/>
      <c r="LV1" s="765"/>
      <c r="LW1" s="765"/>
      <c r="LX1" s="765"/>
      <c r="LY1" s="765"/>
      <c r="LZ1" s="765"/>
      <c r="MA1" s="765"/>
      <c r="MB1" s="765"/>
      <c r="MC1" s="765"/>
      <c r="MD1" s="765"/>
      <c r="ME1" s="765"/>
      <c r="MF1" s="765"/>
      <c r="MG1" s="765"/>
      <c r="MH1" s="765"/>
      <c r="MI1" s="765"/>
      <c r="MJ1" s="765"/>
      <c r="MK1" s="765"/>
      <c r="ML1" s="765"/>
      <c r="MM1" s="765"/>
      <c r="MN1" s="765"/>
      <c r="MO1" s="765"/>
      <c r="MP1" s="765"/>
      <c r="MQ1" s="765"/>
      <c r="MR1" s="765"/>
      <c r="MS1" s="765"/>
      <c r="MT1" s="765"/>
      <c r="MU1" s="765"/>
      <c r="MV1" s="765"/>
      <c r="MW1" s="765"/>
      <c r="MX1" s="765"/>
      <c r="MY1" s="765"/>
      <c r="MZ1" s="765"/>
      <c r="NA1" s="765"/>
      <c r="NB1" s="765"/>
      <c r="NC1" s="765"/>
      <c r="ND1" s="765"/>
      <c r="NE1" s="765"/>
      <c r="NF1" s="765"/>
      <c r="NG1" s="765"/>
      <c r="NH1" s="765"/>
      <c r="NI1" s="765"/>
      <c r="NJ1" s="765"/>
      <c r="NK1" s="765"/>
      <c r="NL1" s="765"/>
      <c r="NM1" s="765"/>
      <c r="NN1" s="765"/>
      <c r="NO1" s="765"/>
      <c r="NP1" s="765"/>
      <c r="NQ1" s="765"/>
      <c r="NR1" s="765"/>
      <c r="NS1" s="765"/>
      <c r="NT1" s="765"/>
      <c r="NU1" s="765"/>
      <c r="NV1" s="765"/>
      <c r="NW1" s="765"/>
      <c r="NX1" s="765"/>
      <c r="NY1" s="765"/>
      <c r="NZ1" s="765"/>
      <c r="OA1" s="765"/>
      <c r="OB1" s="765"/>
      <c r="OC1" s="765"/>
      <c r="OD1" s="765"/>
      <c r="OE1" s="765"/>
      <c r="OF1" s="765"/>
      <c r="OG1" s="765"/>
      <c r="OH1" s="765"/>
      <c r="OI1" s="765"/>
      <c r="OJ1" s="765"/>
      <c r="OK1" s="765"/>
      <c r="OL1" s="765"/>
      <c r="OM1" s="765"/>
      <c r="ON1" s="765"/>
      <c r="OO1" s="765"/>
      <c r="OP1" s="765"/>
      <c r="OQ1" s="765"/>
      <c r="OR1" s="765"/>
      <c r="OS1" s="765"/>
      <c r="OT1" s="765"/>
      <c r="OU1" s="765"/>
      <c r="OV1" s="765"/>
      <c r="OW1" s="765"/>
      <c r="OX1" s="765"/>
      <c r="OY1" s="765"/>
      <c r="OZ1" s="765"/>
      <c r="PA1" s="765"/>
      <c r="PB1" s="765"/>
      <c r="PC1" s="765"/>
      <c r="PD1" s="765"/>
      <c r="PE1" s="765"/>
      <c r="PF1" s="765"/>
      <c r="PG1" s="765"/>
      <c r="PH1" s="765"/>
      <c r="PI1" s="765"/>
      <c r="PJ1" s="765"/>
      <c r="PK1" s="765"/>
      <c r="PL1" s="765"/>
      <c r="PM1" s="765"/>
      <c r="PN1" s="765"/>
      <c r="PO1" s="765"/>
      <c r="PP1" s="765"/>
      <c r="PQ1" s="765"/>
      <c r="PR1" s="765"/>
      <c r="PS1" s="765"/>
      <c r="PT1" s="765"/>
      <c r="PU1" s="765"/>
      <c r="PV1" s="765"/>
      <c r="PW1" s="765"/>
      <c r="PX1" s="765"/>
      <c r="PY1" s="765"/>
      <c r="PZ1" s="765"/>
      <c r="QA1" s="765"/>
      <c r="QB1" s="765"/>
      <c r="QC1" s="765"/>
      <c r="QD1" s="765"/>
      <c r="QE1" s="765"/>
      <c r="QF1" s="765"/>
      <c r="QG1" s="765"/>
      <c r="QH1" s="765"/>
      <c r="QI1" s="765"/>
      <c r="QJ1" s="765"/>
      <c r="QK1" s="765"/>
      <c r="QL1" s="765"/>
      <c r="QM1" s="765"/>
      <c r="QN1" s="765"/>
      <c r="QO1" s="765"/>
      <c r="QP1" s="765"/>
      <c r="QQ1" s="765"/>
      <c r="QR1" s="765"/>
      <c r="QS1" s="765"/>
      <c r="QT1" s="765"/>
      <c r="QU1" s="765"/>
      <c r="QV1" s="765"/>
      <c r="QW1" s="765"/>
      <c r="QX1" s="765"/>
      <c r="QY1" s="765"/>
      <c r="QZ1" s="765"/>
      <c r="RA1" s="765"/>
      <c r="RB1" s="765"/>
      <c r="RC1" s="765"/>
      <c r="RD1" s="765"/>
      <c r="RE1" s="765"/>
      <c r="RF1" s="765"/>
      <c r="RG1" s="765"/>
      <c r="RH1" s="765"/>
      <c r="RI1" s="765"/>
      <c r="RJ1" s="765"/>
      <c r="RK1" s="765"/>
      <c r="RL1" s="765"/>
      <c r="RM1" s="765"/>
      <c r="RN1" s="765"/>
      <c r="RO1" s="765"/>
      <c r="RP1" s="765"/>
      <c r="RQ1" s="765"/>
      <c r="RR1" s="765"/>
      <c r="RS1" s="765"/>
      <c r="RT1" s="765"/>
      <c r="RU1" s="765"/>
      <c r="RV1" s="765"/>
      <c r="RW1" s="765"/>
      <c r="RX1" s="765"/>
      <c r="RY1" s="765"/>
      <c r="RZ1" s="765"/>
      <c r="SA1" s="765"/>
      <c r="SB1" s="765"/>
      <c r="SC1" s="765"/>
      <c r="SD1" s="765"/>
      <c r="SE1" s="765"/>
      <c r="SF1" s="765"/>
      <c r="SG1" s="765"/>
      <c r="SH1" s="765"/>
      <c r="SI1" s="765"/>
      <c r="SJ1" s="765"/>
      <c r="SK1" s="765"/>
      <c r="SL1" s="765"/>
      <c r="SM1" s="765"/>
      <c r="SN1" s="765"/>
      <c r="SO1" s="765"/>
      <c r="SP1" s="765"/>
      <c r="SQ1" s="765"/>
      <c r="SR1" s="765"/>
      <c r="SS1" s="765"/>
      <c r="ST1" s="765"/>
      <c r="SU1" s="765"/>
      <c r="SV1" s="765"/>
      <c r="SW1" s="765"/>
      <c r="SX1" s="765"/>
      <c r="SY1" s="765"/>
      <c r="SZ1" s="765"/>
      <c r="TA1" s="765"/>
      <c r="TB1" s="765"/>
      <c r="TC1" s="765"/>
      <c r="TD1" s="765"/>
      <c r="TE1" s="765"/>
      <c r="TF1" s="765"/>
      <c r="TG1" s="765"/>
      <c r="TH1" s="765"/>
      <c r="TI1" s="765"/>
      <c r="TJ1" s="765"/>
      <c r="TK1" s="765"/>
      <c r="TL1" s="765"/>
      <c r="TM1" s="765"/>
      <c r="TN1" s="765"/>
      <c r="TO1" s="765"/>
      <c r="TP1" s="765"/>
      <c r="TQ1" s="765"/>
      <c r="TR1" s="765"/>
      <c r="TS1" s="765"/>
      <c r="TT1" s="765"/>
      <c r="TU1" s="765"/>
      <c r="TV1" s="765"/>
      <c r="TW1" s="765"/>
      <c r="TX1" s="765"/>
      <c r="TY1" s="765"/>
      <c r="TZ1" s="765"/>
      <c r="UA1" s="765"/>
      <c r="UB1" s="765"/>
      <c r="UC1" s="765"/>
      <c r="UD1" s="765"/>
      <c r="UE1" s="765"/>
      <c r="UF1" s="765"/>
      <c r="UG1" s="765"/>
      <c r="UH1" s="765"/>
      <c r="UI1" s="765"/>
      <c r="UJ1" s="765"/>
      <c r="UK1" s="765"/>
      <c r="UL1" s="765"/>
      <c r="UM1" s="765"/>
      <c r="UN1" s="765"/>
      <c r="UO1" s="765"/>
      <c r="UP1" s="765"/>
      <c r="UQ1" s="765"/>
      <c r="UR1" s="765"/>
      <c r="US1" s="765"/>
      <c r="UT1" s="765"/>
      <c r="UU1" s="765"/>
      <c r="UV1" s="765"/>
      <c r="UW1" s="765"/>
      <c r="UX1" s="765"/>
      <c r="UY1" s="765"/>
      <c r="UZ1" s="765"/>
      <c r="VA1" s="765"/>
      <c r="VB1" s="765"/>
      <c r="VC1" s="765"/>
      <c r="VD1" s="765"/>
      <c r="VE1" s="765"/>
      <c r="VF1" s="765"/>
      <c r="VG1" s="765"/>
      <c r="VH1" s="765"/>
      <c r="VI1" s="765"/>
      <c r="VJ1" s="765"/>
      <c r="VK1" s="765"/>
      <c r="VL1" s="765"/>
      <c r="VM1" s="765"/>
      <c r="VN1" s="765"/>
      <c r="VO1" s="765"/>
      <c r="VP1" s="765"/>
      <c r="VQ1" s="765"/>
      <c r="VR1" s="765"/>
      <c r="VS1" s="765"/>
      <c r="VT1" s="765"/>
      <c r="VU1" s="765"/>
      <c r="VV1" s="765"/>
      <c r="VW1" s="765"/>
      <c r="VX1" s="765"/>
      <c r="VY1" s="765"/>
      <c r="VZ1" s="765"/>
      <c r="WA1" s="765"/>
      <c r="WB1" s="765"/>
      <c r="WC1" s="765"/>
      <c r="WD1" s="765"/>
      <c r="WE1" s="765"/>
      <c r="WF1" s="765"/>
      <c r="WG1" s="765"/>
      <c r="WH1" s="765"/>
      <c r="WI1" s="765"/>
      <c r="WJ1" s="765"/>
      <c r="WK1" s="765"/>
      <c r="WL1" s="765"/>
      <c r="WM1" s="765"/>
      <c r="WN1" s="765"/>
      <c r="WO1" s="765"/>
      <c r="WP1" s="765"/>
      <c r="WQ1" s="765"/>
      <c r="WR1" s="765"/>
      <c r="WS1" s="765"/>
      <c r="WT1" s="765"/>
      <c r="WU1" s="765"/>
      <c r="WV1" s="765"/>
      <c r="WW1" s="765"/>
      <c r="WX1" s="765"/>
      <c r="WY1" s="765"/>
      <c r="WZ1" s="765"/>
      <c r="XA1" s="765"/>
      <c r="XB1" s="765"/>
      <c r="XC1" s="765"/>
      <c r="XD1" s="765"/>
      <c r="XE1" s="765"/>
      <c r="XF1" s="765"/>
      <c r="XG1" s="765"/>
      <c r="XH1" s="765"/>
      <c r="XI1" s="765"/>
      <c r="XJ1" s="765"/>
      <c r="XK1" s="765"/>
      <c r="XL1" s="765"/>
      <c r="XM1" s="765"/>
      <c r="XN1" s="765"/>
      <c r="XO1" s="765"/>
      <c r="XP1" s="765"/>
      <c r="XQ1" s="765"/>
      <c r="XR1" s="765"/>
      <c r="XS1" s="765"/>
      <c r="XT1" s="765"/>
      <c r="XU1" s="765"/>
      <c r="XV1" s="765"/>
      <c r="XW1" s="765"/>
      <c r="XX1" s="765"/>
      <c r="XY1" s="765"/>
      <c r="XZ1" s="765"/>
      <c r="YA1" s="765"/>
      <c r="YB1" s="765"/>
      <c r="YC1" s="765"/>
      <c r="YD1" s="765"/>
      <c r="YE1" s="765"/>
      <c r="YF1" s="765"/>
      <c r="YG1" s="765"/>
      <c r="YH1" s="765"/>
      <c r="YI1" s="765"/>
      <c r="YJ1" s="765"/>
      <c r="YK1" s="765"/>
      <c r="YL1" s="765"/>
      <c r="YM1" s="765"/>
      <c r="YN1" s="765"/>
      <c r="YO1" s="765"/>
      <c r="YP1" s="765"/>
      <c r="YQ1" s="765"/>
      <c r="YR1" s="765"/>
      <c r="YS1" s="765"/>
      <c r="YT1" s="765"/>
      <c r="YU1" s="765"/>
      <c r="YV1" s="765"/>
      <c r="YW1" s="765"/>
      <c r="YX1" s="765"/>
      <c r="YY1" s="765"/>
      <c r="YZ1" s="765"/>
      <c r="ZA1" s="765"/>
      <c r="ZB1" s="765"/>
      <c r="ZC1" s="765"/>
      <c r="ZD1" s="765"/>
      <c r="ZE1" s="765"/>
      <c r="ZF1" s="765"/>
      <c r="ZG1" s="765"/>
      <c r="ZH1" s="765"/>
      <c r="ZI1" s="765"/>
      <c r="ZJ1" s="765"/>
      <c r="ZK1" s="765"/>
      <c r="ZL1" s="765"/>
      <c r="ZM1" s="765"/>
      <c r="ZN1" s="765"/>
      <c r="ZO1" s="765"/>
      <c r="ZP1" s="765"/>
      <c r="ZQ1" s="765"/>
      <c r="ZR1" s="765"/>
      <c r="ZS1" s="765"/>
      <c r="ZT1" s="765"/>
      <c r="ZU1" s="765"/>
      <c r="ZV1" s="765"/>
      <c r="ZW1" s="765"/>
      <c r="ZX1" s="765"/>
      <c r="ZY1" s="765"/>
      <c r="ZZ1" s="765"/>
      <c r="AAA1" s="765"/>
      <c r="AAB1" s="765"/>
      <c r="AAC1" s="765"/>
      <c r="AAD1" s="765"/>
      <c r="AAE1" s="765"/>
      <c r="AAF1" s="765"/>
      <c r="AAG1" s="765"/>
      <c r="AAH1" s="765"/>
      <c r="AAI1" s="765"/>
      <c r="AAJ1" s="765"/>
      <c r="AAK1" s="765"/>
      <c r="AAL1" s="765"/>
      <c r="AAM1" s="765"/>
      <c r="AAN1" s="765"/>
      <c r="AAO1" s="765"/>
      <c r="AAP1" s="765"/>
      <c r="AAQ1" s="765"/>
      <c r="AAR1" s="765"/>
      <c r="AAS1" s="765"/>
      <c r="AAT1" s="765"/>
      <c r="AAU1" s="765"/>
      <c r="AAV1" s="765"/>
      <c r="AAW1" s="765"/>
      <c r="AAX1" s="765"/>
      <c r="AAY1" s="765"/>
      <c r="AAZ1" s="765"/>
      <c r="ABA1" s="765"/>
      <c r="ABB1" s="765"/>
      <c r="ABC1" s="765"/>
      <c r="ABD1" s="765"/>
      <c r="ABE1" s="765"/>
      <c r="ABF1" s="765"/>
      <c r="ABG1" s="765"/>
      <c r="ABH1" s="765"/>
      <c r="ABI1" s="765"/>
      <c r="ABJ1" s="765"/>
      <c r="ABK1" s="765"/>
      <c r="ABL1" s="765"/>
      <c r="ABM1" s="765"/>
      <c r="ABN1" s="765"/>
      <c r="ABO1" s="765"/>
      <c r="ABP1" s="765"/>
      <c r="ABQ1" s="765"/>
      <c r="ABR1" s="765"/>
      <c r="ABS1" s="765"/>
      <c r="ABT1" s="765"/>
      <c r="ABU1" s="765"/>
      <c r="ABV1" s="765"/>
      <c r="ABW1" s="765"/>
      <c r="ABX1" s="765"/>
      <c r="ABY1" s="765"/>
      <c r="ABZ1" s="765"/>
      <c r="ACA1" s="765"/>
      <c r="ACB1" s="765"/>
      <c r="ACC1" s="765"/>
      <c r="ACD1" s="765"/>
      <c r="ACE1" s="765"/>
      <c r="ACF1" s="765"/>
      <c r="ACG1" s="765"/>
      <c r="ACH1" s="765"/>
      <c r="ACI1" s="765"/>
      <c r="ACJ1" s="765"/>
      <c r="ACK1" s="765"/>
      <c r="ACL1" s="765"/>
      <c r="ACM1" s="765"/>
      <c r="ACN1" s="765"/>
      <c r="ACO1" s="765"/>
      <c r="ACP1" s="765"/>
      <c r="ACQ1" s="765"/>
      <c r="ACR1" s="765"/>
      <c r="ACS1" s="765"/>
      <c r="ACT1" s="765"/>
      <c r="ACU1" s="765"/>
      <c r="ACV1" s="765"/>
      <c r="ACW1" s="765"/>
      <c r="ACX1" s="765"/>
      <c r="ACY1" s="765"/>
      <c r="ACZ1" s="765"/>
      <c r="ADA1" s="765"/>
      <c r="ADB1" s="765"/>
      <c r="ADC1" s="765"/>
      <c r="ADD1" s="765"/>
      <c r="ADE1" s="765"/>
      <c r="ADF1" s="765"/>
      <c r="ADG1" s="765"/>
      <c r="ADH1" s="765"/>
      <c r="ADI1" s="765"/>
      <c r="ADJ1" s="765"/>
      <c r="ADK1" s="765"/>
      <c r="ADL1" s="765"/>
      <c r="ADM1" s="765"/>
      <c r="ADN1" s="765"/>
      <c r="ADO1" s="765"/>
      <c r="ADP1" s="765"/>
      <c r="ADQ1" s="765"/>
      <c r="ADR1" s="765"/>
      <c r="ADS1" s="765"/>
      <c r="ADT1" s="765"/>
      <c r="ADU1" s="765"/>
      <c r="ADV1" s="765"/>
      <c r="ADW1" s="765"/>
      <c r="ADX1" s="765"/>
      <c r="ADY1" s="765"/>
      <c r="ADZ1" s="765"/>
      <c r="AEA1" s="765"/>
      <c r="AEB1" s="765"/>
      <c r="AEC1" s="765"/>
      <c r="AED1" s="765"/>
      <c r="AEE1" s="765"/>
      <c r="AEF1" s="765"/>
      <c r="AEG1" s="765"/>
      <c r="AEH1" s="765"/>
      <c r="AEI1" s="765"/>
      <c r="AEJ1" s="765"/>
      <c r="AEK1" s="765"/>
      <c r="AEL1" s="765"/>
      <c r="AEM1" s="765"/>
      <c r="AEN1" s="765"/>
      <c r="AEO1" s="765"/>
      <c r="AEP1" s="765"/>
      <c r="AEQ1" s="765"/>
      <c r="AER1" s="765"/>
      <c r="AES1" s="765"/>
      <c r="AET1" s="765"/>
      <c r="AEU1" s="765"/>
      <c r="AEV1" s="765"/>
      <c r="AEW1" s="765"/>
      <c r="AEX1" s="765"/>
      <c r="AEY1" s="765"/>
      <c r="AEZ1" s="765"/>
      <c r="AFA1" s="765"/>
      <c r="AFB1" s="765"/>
      <c r="AFC1" s="765"/>
      <c r="AFD1" s="765"/>
      <c r="AFE1" s="765"/>
      <c r="AFF1" s="765"/>
      <c r="AFG1" s="765"/>
      <c r="AFH1" s="765"/>
      <c r="AFI1" s="765"/>
      <c r="AFJ1" s="765"/>
      <c r="AFK1" s="765"/>
      <c r="AFL1" s="765"/>
      <c r="AFM1" s="765"/>
      <c r="AFN1" s="765"/>
      <c r="AFO1" s="765"/>
      <c r="AFP1" s="765"/>
      <c r="AFQ1" s="765"/>
      <c r="AFR1" s="765"/>
      <c r="AFS1" s="765"/>
      <c r="AFT1" s="765"/>
      <c r="AFU1" s="765"/>
      <c r="AFV1" s="765"/>
      <c r="AFW1" s="765"/>
      <c r="AFX1" s="765"/>
      <c r="AFY1" s="765"/>
      <c r="AFZ1" s="765"/>
      <c r="AGA1" s="765"/>
      <c r="AGB1" s="765"/>
      <c r="AGC1" s="765"/>
      <c r="AGD1" s="765"/>
      <c r="AGE1" s="765"/>
      <c r="AGF1" s="765"/>
      <c r="AGG1" s="765"/>
      <c r="AGH1" s="765"/>
      <c r="AGI1" s="765"/>
      <c r="AGJ1" s="765"/>
      <c r="AGK1" s="765"/>
      <c r="AGL1" s="765"/>
      <c r="AGM1" s="765"/>
      <c r="AGN1" s="765"/>
      <c r="AGO1" s="765"/>
      <c r="AGP1" s="765"/>
      <c r="AGQ1" s="765"/>
      <c r="AGR1" s="765"/>
      <c r="AGS1" s="765"/>
      <c r="AGT1" s="765"/>
      <c r="AGU1" s="765"/>
      <c r="AGV1" s="765"/>
      <c r="AGW1" s="765"/>
      <c r="AGX1" s="765"/>
      <c r="AGY1" s="765"/>
      <c r="AGZ1" s="765"/>
      <c r="AHA1" s="765"/>
      <c r="AHB1" s="765"/>
      <c r="AHC1" s="765"/>
      <c r="AHD1" s="765"/>
      <c r="AHE1" s="765"/>
      <c r="AHF1" s="765"/>
      <c r="AHG1" s="765"/>
      <c r="AHH1" s="765"/>
      <c r="AHI1" s="765"/>
      <c r="AHJ1" s="765"/>
      <c r="AHK1" s="765"/>
      <c r="AHL1" s="765"/>
      <c r="AHM1" s="765"/>
      <c r="AHN1" s="765"/>
      <c r="AHO1" s="765"/>
      <c r="AHP1" s="765"/>
      <c r="AHQ1" s="765"/>
      <c r="AHR1" s="765"/>
      <c r="AHS1" s="765"/>
      <c r="AHT1" s="765"/>
      <c r="AHU1" s="765"/>
      <c r="AHV1" s="765"/>
      <c r="AHW1" s="765"/>
      <c r="AHX1" s="765"/>
      <c r="AHY1" s="765"/>
      <c r="AHZ1" s="765"/>
      <c r="AIA1" s="765"/>
      <c r="AIB1" s="765"/>
      <c r="AIC1" s="765"/>
      <c r="AID1" s="765"/>
      <c r="AIE1" s="765"/>
      <c r="AIF1" s="765"/>
      <c r="AIG1" s="765"/>
      <c r="AIH1" s="765"/>
      <c r="AII1" s="765"/>
      <c r="AIJ1" s="765"/>
      <c r="AIK1" s="765"/>
      <c r="AIL1" s="765"/>
      <c r="AIM1" s="765"/>
      <c r="AIN1" s="765"/>
      <c r="AIO1" s="765"/>
      <c r="AIP1" s="765"/>
      <c r="AIQ1" s="765"/>
      <c r="AIR1" s="765"/>
      <c r="AIS1" s="765"/>
      <c r="AIT1" s="765"/>
      <c r="AIU1" s="765"/>
      <c r="AIV1" s="765"/>
      <c r="AIW1" s="765"/>
      <c r="AIX1" s="765"/>
      <c r="AIY1" s="765"/>
      <c r="AIZ1" s="765"/>
      <c r="AJA1" s="765"/>
      <c r="AJB1" s="765"/>
      <c r="AJC1" s="765"/>
      <c r="AJD1" s="765"/>
      <c r="AJE1" s="765"/>
      <c r="AJF1" s="765"/>
      <c r="AJG1" s="765"/>
      <c r="AJH1" s="765"/>
      <c r="AJI1" s="765"/>
      <c r="AJJ1" s="765"/>
      <c r="AJK1" s="765"/>
      <c r="AJL1" s="765"/>
      <c r="AJM1" s="765"/>
      <c r="AJN1" s="765"/>
      <c r="AJO1" s="765"/>
      <c r="AJP1" s="765"/>
      <c r="AJQ1" s="765"/>
      <c r="AJR1" s="765"/>
      <c r="AJS1" s="765"/>
      <c r="AJT1" s="765"/>
      <c r="AJU1" s="765"/>
      <c r="AJV1" s="765"/>
      <c r="AJW1" s="765"/>
      <c r="AJX1" s="765"/>
      <c r="AJY1" s="765"/>
      <c r="AJZ1" s="765"/>
      <c r="AKA1" s="765"/>
      <c r="AKB1" s="765"/>
      <c r="AKC1" s="765"/>
      <c r="AKD1" s="765"/>
      <c r="AKE1" s="765"/>
      <c r="AKF1" s="765"/>
      <c r="AKG1" s="765"/>
      <c r="AKH1" s="765"/>
      <c r="AKI1" s="765"/>
      <c r="AKJ1" s="765"/>
      <c r="AKK1" s="765"/>
      <c r="AKL1" s="765"/>
      <c r="AKM1" s="765"/>
      <c r="AKN1" s="765"/>
      <c r="AKO1" s="765"/>
      <c r="AKP1" s="765"/>
      <c r="AKQ1" s="765"/>
      <c r="AKR1" s="765"/>
      <c r="AKS1" s="765"/>
      <c r="AKT1" s="765"/>
      <c r="AKU1" s="765"/>
      <c r="AKV1" s="765"/>
      <c r="AKW1" s="765"/>
      <c r="AKX1" s="765"/>
      <c r="AKY1" s="765"/>
      <c r="AKZ1" s="765"/>
      <c r="ALA1" s="765"/>
      <c r="ALB1" s="765"/>
      <c r="ALC1" s="765"/>
      <c r="ALD1" s="765"/>
      <c r="ALE1" s="765"/>
      <c r="ALF1" s="765"/>
      <c r="ALG1" s="765"/>
    </row>
    <row r="2" spans="1:995" s="766" customFormat="1" ht="36" customHeight="1">
      <c r="A2" s="1983" t="str">
        <f>+'plan &amp; Unit price &amp; Direct cost'!A2:O2</f>
        <v>Project: Haro sebu-Lelo-Qaqe</v>
      </c>
      <c r="B2" s="1984"/>
      <c r="C2" s="1984"/>
      <c r="D2" s="1984"/>
      <c r="E2" s="1984"/>
      <c r="F2" s="1984"/>
      <c r="G2" s="1984"/>
      <c r="H2" s="1984"/>
      <c r="I2" s="1984"/>
      <c r="J2" s="1984"/>
      <c r="K2" s="1984"/>
      <c r="L2" s="1984"/>
      <c r="M2" s="1984"/>
      <c r="N2" s="1984"/>
      <c r="O2" s="1984"/>
      <c r="P2" s="198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  <c r="AF2" s="765"/>
      <c r="AG2" s="765"/>
      <c r="AH2" s="765"/>
      <c r="AI2" s="765"/>
      <c r="AJ2" s="765"/>
      <c r="AK2" s="765"/>
      <c r="AL2" s="765"/>
      <c r="AM2" s="765"/>
      <c r="AN2" s="765"/>
      <c r="AO2" s="765"/>
      <c r="AP2" s="765"/>
      <c r="AQ2" s="765"/>
      <c r="AR2" s="765"/>
      <c r="AS2" s="765"/>
      <c r="AT2" s="765"/>
      <c r="AU2" s="765"/>
      <c r="AV2" s="765"/>
      <c r="AW2" s="765"/>
      <c r="AX2" s="765"/>
      <c r="AY2" s="765"/>
      <c r="AZ2" s="765"/>
      <c r="BA2" s="765"/>
      <c r="BB2" s="765"/>
      <c r="BC2" s="765"/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 s="765"/>
      <c r="DD2" s="765"/>
      <c r="DE2" s="765"/>
      <c r="DF2" s="765"/>
      <c r="DG2" s="765"/>
      <c r="DH2" s="765"/>
      <c r="DI2" s="765"/>
      <c r="DJ2" s="765"/>
      <c r="DK2" s="765"/>
      <c r="DL2" s="765"/>
      <c r="DM2" s="765"/>
      <c r="DN2" s="765"/>
      <c r="DO2" s="765"/>
      <c r="DP2" s="765"/>
      <c r="DQ2" s="765"/>
      <c r="DR2" s="765"/>
      <c r="DS2" s="765"/>
      <c r="DT2" s="765"/>
      <c r="DU2" s="765"/>
      <c r="DV2" s="765"/>
      <c r="DW2" s="765"/>
      <c r="DX2" s="765"/>
      <c r="DY2" s="765"/>
      <c r="DZ2" s="765"/>
      <c r="EA2" s="765"/>
      <c r="EB2" s="765"/>
      <c r="EC2" s="765"/>
      <c r="ED2" s="765"/>
      <c r="EE2" s="765"/>
      <c r="EF2" s="765"/>
      <c r="EG2" s="765"/>
      <c r="EH2" s="765"/>
      <c r="EI2" s="765"/>
      <c r="EJ2" s="765"/>
      <c r="EK2" s="765"/>
      <c r="EL2" s="765"/>
      <c r="EM2" s="765"/>
      <c r="EN2" s="765"/>
      <c r="EO2" s="765"/>
      <c r="EP2" s="765"/>
      <c r="EQ2" s="765"/>
      <c r="ER2" s="765"/>
      <c r="ES2" s="765"/>
      <c r="ET2" s="765"/>
      <c r="EU2" s="765"/>
      <c r="EV2" s="765"/>
      <c r="EW2" s="765"/>
      <c r="EX2" s="765"/>
      <c r="EY2" s="765"/>
      <c r="EZ2" s="765"/>
      <c r="FA2" s="765"/>
      <c r="FB2" s="765"/>
      <c r="FC2" s="765"/>
      <c r="FD2" s="765"/>
      <c r="FE2" s="765"/>
      <c r="FF2" s="765"/>
      <c r="FG2" s="765"/>
      <c r="FH2" s="765"/>
      <c r="FI2" s="765"/>
      <c r="FJ2" s="765"/>
      <c r="FK2" s="765"/>
      <c r="FL2" s="765"/>
      <c r="FM2" s="765"/>
      <c r="FN2" s="765"/>
      <c r="FO2" s="765"/>
      <c r="FP2" s="765"/>
      <c r="FQ2" s="765"/>
      <c r="FR2" s="765"/>
      <c r="FS2" s="765"/>
      <c r="FT2" s="765"/>
      <c r="FU2" s="765"/>
      <c r="FV2" s="765"/>
      <c r="FW2" s="765"/>
      <c r="FX2" s="765"/>
      <c r="FY2" s="765"/>
      <c r="FZ2" s="765"/>
      <c r="GA2" s="765"/>
      <c r="GB2" s="765"/>
      <c r="GC2" s="765"/>
      <c r="GD2" s="765"/>
      <c r="GE2" s="765"/>
      <c r="GF2" s="765"/>
      <c r="GG2" s="765"/>
      <c r="GH2" s="765"/>
      <c r="GI2" s="765"/>
      <c r="GJ2" s="765"/>
      <c r="GK2" s="765"/>
      <c r="GL2" s="765"/>
      <c r="GM2" s="765"/>
      <c r="GN2" s="765"/>
      <c r="GO2" s="765"/>
      <c r="GP2" s="765"/>
      <c r="GQ2" s="765"/>
      <c r="GR2" s="765"/>
      <c r="GS2" s="765"/>
      <c r="GT2" s="765"/>
      <c r="GU2" s="765"/>
      <c r="GV2" s="765"/>
      <c r="GW2" s="765"/>
      <c r="GX2" s="765"/>
      <c r="GY2" s="765"/>
      <c r="GZ2" s="765"/>
      <c r="HA2" s="765"/>
      <c r="HB2" s="765"/>
      <c r="HC2" s="765"/>
      <c r="HD2" s="765"/>
      <c r="HE2" s="765"/>
      <c r="HF2" s="765"/>
      <c r="HG2" s="765"/>
      <c r="HH2" s="765"/>
      <c r="HI2" s="765"/>
      <c r="HJ2" s="765"/>
      <c r="HK2" s="765"/>
      <c r="HL2" s="765"/>
      <c r="HM2" s="765"/>
      <c r="HN2" s="765"/>
      <c r="HO2" s="765"/>
      <c r="HP2" s="765"/>
      <c r="HQ2" s="765"/>
      <c r="HR2" s="765"/>
      <c r="HS2" s="765"/>
      <c r="HT2" s="765"/>
      <c r="HU2" s="765"/>
      <c r="HV2" s="765"/>
      <c r="HW2" s="765"/>
      <c r="HX2" s="765"/>
      <c r="HY2" s="765"/>
      <c r="HZ2" s="765"/>
      <c r="IA2" s="765"/>
      <c r="IB2" s="765"/>
      <c r="IC2" s="765"/>
      <c r="ID2" s="765"/>
      <c r="IE2" s="765"/>
      <c r="IF2" s="765"/>
      <c r="IG2" s="765"/>
      <c r="IH2" s="765"/>
      <c r="II2" s="765"/>
      <c r="IJ2" s="765"/>
      <c r="IK2" s="765"/>
      <c r="IL2" s="765"/>
      <c r="IM2" s="765"/>
      <c r="IN2" s="765"/>
      <c r="IO2" s="765"/>
      <c r="IP2" s="765"/>
      <c r="IQ2" s="765"/>
      <c r="IR2" s="765"/>
      <c r="IS2" s="765"/>
      <c r="IT2" s="765"/>
      <c r="IU2" s="765"/>
      <c r="IV2" s="765"/>
      <c r="IW2" s="765"/>
      <c r="IX2" s="765"/>
      <c r="IY2" s="765"/>
      <c r="IZ2" s="765"/>
      <c r="JA2" s="765"/>
      <c r="JB2" s="765"/>
      <c r="JC2" s="765"/>
      <c r="JD2" s="765"/>
      <c r="JE2" s="765"/>
      <c r="JF2" s="765"/>
      <c r="JG2" s="765"/>
      <c r="JH2" s="765"/>
      <c r="JI2" s="765"/>
      <c r="JJ2" s="765"/>
      <c r="JK2" s="765"/>
      <c r="JL2" s="765"/>
      <c r="JM2" s="765"/>
      <c r="JN2" s="765"/>
      <c r="JO2" s="765"/>
      <c r="JP2" s="765"/>
      <c r="JQ2" s="765"/>
      <c r="JR2" s="765"/>
      <c r="JS2" s="765"/>
      <c r="JT2" s="765"/>
      <c r="JU2" s="765"/>
      <c r="JV2" s="765"/>
      <c r="JW2" s="765"/>
      <c r="JX2" s="765"/>
      <c r="JY2" s="765"/>
      <c r="JZ2" s="765"/>
      <c r="KA2" s="765"/>
      <c r="KB2" s="765"/>
      <c r="KC2" s="765"/>
      <c r="KD2" s="765"/>
      <c r="KE2" s="765"/>
      <c r="KF2" s="765"/>
      <c r="KG2" s="765"/>
      <c r="KH2" s="765"/>
      <c r="KI2" s="765"/>
      <c r="KJ2" s="765"/>
      <c r="KK2" s="765"/>
      <c r="KL2" s="765"/>
      <c r="KM2" s="765"/>
      <c r="KN2" s="765"/>
      <c r="KO2" s="765"/>
      <c r="KP2" s="765"/>
      <c r="KQ2" s="765"/>
      <c r="KR2" s="765"/>
      <c r="KS2" s="765"/>
      <c r="KT2" s="765"/>
      <c r="KU2" s="765"/>
      <c r="KV2" s="765"/>
      <c r="KW2" s="765"/>
      <c r="KX2" s="765"/>
      <c r="KY2" s="765"/>
      <c r="KZ2" s="765"/>
      <c r="LA2" s="765"/>
      <c r="LB2" s="765"/>
      <c r="LC2" s="765"/>
      <c r="LD2" s="765"/>
      <c r="LE2" s="765"/>
      <c r="LF2" s="765"/>
      <c r="LG2" s="765"/>
      <c r="LH2" s="765"/>
      <c r="LI2" s="765"/>
      <c r="LJ2" s="765"/>
      <c r="LK2" s="765"/>
      <c r="LL2" s="765"/>
      <c r="LM2" s="765"/>
      <c r="LN2" s="765"/>
      <c r="LO2" s="765"/>
      <c r="LP2" s="765"/>
      <c r="LQ2" s="765"/>
      <c r="LR2" s="765"/>
      <c r="LS2" s="765"/>
      <c r="LT2" s="765"/>
      <c r="LU2" s="765"/>
      <c r="LV2" s="765"/>
      <c r="LW2" s="765"/>
      <c r="LX2" s="765"/>
      <c r="LY2" s="765"/>
      <c r="LZ2" s="765"/>
      <c r="MA2" s="765"/>
      <c r="MB2" s="765"/>
      <c r="MC2" s="765"/>
      <c r="MD2" s="765"/>
      <c r="ME2" s="765"/>
      <c r="MF2" s="765"/>
      <c r="MG2" s="765"/>
      <c r="MH2" s="765"/>
      <c r="MI2" s="765"/>
      <c r="MJ2" s="765"/>
      <c r="MK2" s="765"/>
      <c r="ML2" s="765"/>
      <c r="MM2" s="765"/>
      <c r="MN2" s="765"/>
      <c r="MO2" s="765"/>
      <c r="MP2" s="765"/>
      <c r="MQ2" s="765"/>
      <c r="MR2" s="765"/>
      <c r="MS2" s="765"/>
      <c r="MT2" s="765"/>
      <c r="MU2" s="765"/>
      <c r="MV2" s="765"/>
      <c r="MW2" s="765"/>
      <c r="MX2" s="765"/>
      <c r="MY2" s="765"/>
      <c r="MZ2" s="765"/>
      <c r="NA2" s="765"/>
      <c r="NB2" s="765"/>
      <c r="NC2" s="765"/>
      <c r="ND2" s="765"/>
      <c r="NE2" s="765"/>
      <c r="NF2" s="765"/>
      <c r="NG2" s="765"/>
      <c r="NH2" s="765"/>
      <c r="NI2" s="765"/>
      <c r="NJ2" s="765"/>
      <c r="NK2" s="765"/>
      <c r="NL2" s="765"/>
      <c r="NM2" s="765"/>
      <c r="NN2" s="765"/>
      <c r="NO2" s="765"/>
      <c r="NP2" s="765"/>
      <c r="NQ2" s="765"/>
      <c r="NR2" s="765"/>
      <c r="NS2" s="765"/>
      <c r="NT2" s="765"/>
      <c r="NU2" s="765"/>
      <c r="NV2" s="765"/>
      <c r="NW2" s="765"/>
      <c r="NX2" s="765"/>
      <c r="NY2" s="765"/>
      <c r="NZ2" s="765"/>
      <c r="OA2" s="765"/>
      <c r="OB2" s="765"/>
      <c r="OC2" s="765"/>
      <c r="OD2" s="765"/>
      <c r="OE2" s="765"/>
      <c r="OF2" s="765"/>
      <c r="OG2" s="765"/>
      <c r="OH2" s="765"/>
      <c r="OI2" s="765"/>
      <c r="OJ2" s="765"/>
      <c r="OK2" s="765"/>
      <c r="OL2" s="765"/>
      <c r="OM2" s="765"/>
      <c r="ON2" s="765"/>
      <c r="OO2" s="765"/>
      <c r="OP2" s="765"/>
      <c r="OQ2" s="765"/>
      <c r="OR2" s="765"/>
      <c r="OS2" s="765"/>
      <c r="OT2" s="765"/>
      <c r="OU2" s="765"/>
      <c r="OV2" s="765"/>
      <c r="OW2" s="765"/>
      <c r="OX2" s="765"/>
      <c r="OY2" s="765"/>
      <c r="OZ2" s="765"/>
      <c r="PA2" s="765"/>
      <c r="PB2" s="765"/>
      <c r="PC2" s="765"/>
      <c r="PD2" s="765"/>
      <c r="PE2" s="765"/>
      <c r="PF2" s="765"/>
      <c r="PG2" s="765"/>
      <c r="PH2" s="765"/>
      <c r="PI2" s="765"/>
      <c r="PJ2" s="765"/>
      <c r="PK2" s="765"/>
      <c r="PL2" s="765"/>
      <c r="PM2" s="765"/>
      <c r="PN2" s="765"/>
      <c r="PO2" s="765"/>
      <c r="PP2" s="765"/>
      <c r="PQ2" s="765"/>
      <c r="PR2" s="765"/>
      <c r="PS2" s="765"/>
      <c r="PT2" s="765"/>
      <c r="PU2" s="765"/>
      <c r="PV2" s="765"/>
      <c r="PW2" s="765"/>
      <c r="PX2" s="765"/>
      <c r="PY2" s="765"/>
      <c r="PZ2" s="765"/>
      <c r="QA2" s="765"/>
      <c r="QB2" s="765"/>
      <c r="QC2" s="765"/>
      <c r="QD2" s="765"/>
      <c r="QE2" s="765"/>
      <c r="QF2" s="765"/>
      <c r="QG2" s="765"/>
      <c r="QH2" s="765"/>
      <c r="QI2" s="765"/>
      <c r="QJ2" s="765"/>
      <c r="QK2" s="765"/>
      <c r="QL2" s="765"/>
      <c r="QM2" s="765"/>
      <c r="QN2" s="765"/>
      <c r="QO2" s="765"/>
      <c r="QP2" s="765"/>
      <c r="QQ2" s="765"/>
      <c r="QR2" s="765"/>
      <c r="QS2" s="765"/>
      <c r="QT2" s="765"/>
      <c r="QU2" s="765"/>
      <c r="QV2" s="765"/>
      <c r="QW2" s="765"/>
      <c r="QX2" s="765"/>
      <c r="QY2" s="765"/>
      <c r="QZ2" s="765"/>
      <c r="RA2" s="765"/>
      <c r="RB2" s="765"/>
      <c r="RC2" s="765"/>
      <c r="RD2" s="765"/>
      <c r="RE2" s="765"/>
      <c r="RF2" s="765"/>
      <c r="RG2" s="765"/>
      <c r="RH2" s="765"/>
      <c r="RI2" s="765"/>
      <c r="RJ2" s="765"/>
      <c r="RK2" s="765"/>
      <c r="RL2" s="765"/>
      <c r="RM2" s="765"/>
      <c r="RN2" s="765"/>
      <c r="RO2" s="765"/>
      <c r="RP2" s="765"/>
      <c r="RQ2" s="765"/>
      <c r="RR2" s="765"/>
      <c r="RS2" s="765"/>
      <c r="RT2" s="765"/>
      <c r="RU2" s="765"/>
      <c r="RV2" s="765"/>
      <c r="RW2" s="765"/>
      <c r="RX2" s="765"/>
      <c r="RY2" s="765"/>
      <c r="RZ2" s="765"/>
      <c r="SA2" s="765"/>
      <c r="SB2" s="765"/>
      <c r="SC2" s="765"/>
      <c r="SD2" s="765"/>
      <c r="SE2" s="765"/>
      <c r="SF2" s="765"/>
      <c r="SG2" s="765"/>
      <c r="SH2" s="765"/>
      <c r="SI2" s="765"/>
      <c r="SJ2" s="765"/>
      <c r="SK2" s="765"/>
      <c r="SL2" s="765"/>
      <c r="SM2" s="765"/>
      <c r="SN2" s="765"/>
      <c r="SO2" s="765"/>
      <c r="SP2" s="765"/>
      <c r="SQ2" s="765"/>
      <c r="SR2" s="765"/>
      <c r="SS2" s="765"/>
      <c r="ST2" s="765"/>
      <c r="SU2" s="765"/>
      <c r="SV2" s="765"/>
      <c r="SW2" s="765"/>
      <c r="SX2" s="765"/>
      <c r="SY2" s="765"/>
      <c r="SZ2" s="765"/>
      <c r="TA2" s="765"/>
      <c r="TB2" s="765"/>
      <c r="TC2" s="765"/>
      <c r="TD2" s="765"/>
      <c r="TE2" s="765"/>
      <c r="TF2" s="765"/>
      <c r="TG2" s="765"/>
      <c r="TH2" s="765"/>
      <c r="TI2" s="765"/>
      <c r="TJ2" s="765"/>
      <c r="TK2" s="765"/>
      <c r="TL2" s="765"/>
      <c r="TM2" s="765"/>
      <c r="TN2" s="765"/>
      <c r="TO2" s="765"/>
      <c r="TP2" s="765"/>
      <c r="TQ2" s="765"/>
      <c r="TR2" s="765"/>
      <c r="TS2" s="765"/>
      <c r="TT2" s="765"/>
      <c r="TU2" s="765"/>
      <c r="TV2" s="765"/>
      <c r="TW2" s="765"/>
      <c r="TX2" s="765"/>
      <c r="TY2" s="765"/>
      <c r="TZ2" s="765"/>
      <c r="UA2" s="765"/>
      <c r="UB2" s="765"/>
      <c r="UC2" s="765"/>
      <c r="UD2" s="765"/>
      <c r="UE2" s="765"/>
      <c r="UF2" s="765"/>
      <c r="UG2" s="765"/>
      <c r="UH2" s="765"/>
      <c r="UI2" s="765"/>
      <c r="UJ2" s="765"/>
      <c r="UK2" s="765"/>
      <c r="UL2" s="765"/>
      <c r="UM2" s="765"/>
      <c r="UN2" s="765"/>
      <c r="UO2" s="765"/>
      <c r="UP2" s="765"/>
      <c r="UQ2" s="765"/>
      <c r="UR2" s="765"/>
      <c r="US2" s="765"/>
      <c r="UT2" s="765"/>
      <c r="UU2" s="765"/>
      <c r="UV2" s="765"/>
      <c r="UW2" s="765"/>
      <c r="UX2" s="765"/>
      <c r="UY2" s="765"/>
      <c r="UZ2" s="765"/>
      <c r="VA2" s="765"/>
      <c r="VB2" s="765"/>
      <c r="VC2" s="765"/>
      <c r="VD2" s="765"/>
      <c r="VE2" s="765"/>
      <c r="VF2" s="765"/>
      <c r="VG2" s="765"/>
      <c r="VH2" s="765"/>
      <c r="VI2" s="765"/>
      <c r="VJ2" s="765"/>
      <c r="VK2" s="765"/>
      <c r="VL2" s="765"/>
      <c r="VM2" s="765"/>
      <c r="VN2" s="765"/>
      <c r="VO2" s="765"/>
      <c r="VP2" s="765"/>
      <c r="VQ2" s="765"/>
      <c r="VR2" s="765"/>
      <c r="VS2" s="765"/>
      <c r="VT2" s="765"/>
      <c r="VU2" s="765"/>
      <c r="VV2" s="765"/>
      <c r="VW2" s="765"/>
      <c r="VX2" s="765"/>
      <c r="VY2" s="765"/>
      <c r="VZ2" s="765"/>
      <c r="WA2" s="765"/>
      <c r="WB2" s="765"/>
      <c r="WC2" s="765"/>
      <c r="WD2" s="765"/>
      <c r="WE2" s="765"/>
      <c r="WF2" s="765"/>
      <c r="WG2" s="765"/>
      <c r="WH2" s="765"/>
      <c r="WI2" s="765"/>
      <c r="WJ2" s="765"/>
      <c r="WK2" s="765"/>
      <c r="WL2" s="765"/>
      <c r="WM2" s="765"/>
      <c r="WN2" s="765"/>
      <c r="WO2" s="765"/>
      <c r="WP2" s="765"/>
      <c r="WQ2" s="765"/>
      <c r="WR2" s="765"/>
      <c r="WS2" s="765"/>
      <c r="WT2" s="765"/>
      <c r="WU2" s="765"/>
      <c r="WV2" s="765"/>
      <c r="WW2" s="765"/>
      <c r="WX2" s="765"/>
      <c r="WY2" s="765"/>
      <c r="WZ2" s="765"/>
      <c r="XA2" s="765"/>
      <c r="XB2" s="765"/>
      <c r="XC2" s="765"/>
      <c r="XD2" s="765"/>
      <c r="XE2" s="765"/>
      <c r="XF2" s="765"/>
      <c r="XG2" s="765"/>
      <c r="XH2" s="765"/>
      <c r="XI2" s="765"/>
      <c r="XJ2" s="765"/>
      <c r="XK2" s="765"/>
      <c r="XL2" s="765"/>
      <c r="XM2" s="765"/>
      <c r="XN2" s="765"/>
      <c r="XO2" s="765"/>
      <c r="XP2" s="765"/>
      <c r="XQ2" s="765"/>
      <c r="XR2" s="765"/>
      <c r="XS2" s="765"/>
      <c r="XT2" s="765"/>
      <c r="XU2" s="765"/>
      <c r="XV2" s="765"/>
      <c r="XW2" s="765"/>
      <c r="XX2" s="765"/>
      <c r="XY2" s="765"/>
      <c r="XZ2" s="765"/>
      <c r="YA2" s="765"/>
      <c r="YB2" s="765"/>
      <c r="YC2" s="765"/>
      <c r="YD2" s="765"/>
      <c r="YE2" s="765"/>
      <c r="YF2" s="765"/>
      <c r="YG2" s="765"/>
      <c r="YH2" s="765"/>
      <c r="YI2" s="765"/>
      <c r="YJ2" s="765"/>
      <c r="YK2" s="765"/>
      <c r="YL2" s="765"/>
      <c r="YM2" s="765"/>
      <c r="YN2" s="765"/>
      <c r="YO2" s="765"/>
      <c r="YP2" s="765"/>
      <c r="YQ2" s="765"/>
      <c r="YR2" s="765"/>
      <c r="YS2" s="765"/>
      <c r="YT2" s="765"/>
      <c r="YU2" s="765"/>
      <c r="YV2" s="765"/>
      <c r="YW2" s="765"/>
      <c r="YX2" s="765"/>
      <c r="YY2" s="765"/>
      <c r="YZ2" s="765"/>
      <c r="ZA2" s="765"/>
      <c r="ZB2" s="765"/>
      <c r="ZC2" s="765"/>
      <c r="ZD2" s="765"/>
      <c r="ZE2" s="765"/>
      <c r="ZF2" s="765"/>
      <c r="ZG2" s="765"/>
      <c r="ZH2" s="765"/>
      <c r="ZI2" s="765"/>
      <c r="ZJ2" s="765"/>
      <c r="ZK2" s="765"/>
      <c r="ZL2" s="765"/>
      <c r="ZM2" s="765"/>
      <c r="ZN2" s="765"/>
      <c r="ZO2" s="765"/>
      <c r="ZP2" s="765"/>
      <c r="ZQ2" s="765"/>
      <c r="ZR2" s="765"/>
      <c r="ZS2" s="765"/>
      <c r="ZT2" s="765"/>
      <c r="ZU2" s="765"/>
      <c r="ZV2" s="765"/>
      <c r="ZW2" s="765"/>
      <c r="ZX2" s="765"/>
      <c r="ZY2" s="765"/>
      <c r="ZZ2" s="765"/>
      <c r="AAA2" s="765"/>
      <c r="AAB2" s="765"/>
      <c r="AAC2" s="765"/>
      <c r="AAD2" s="765"/>
      <c r="AAE2" s="765"/>
      <c r="AAF2" s="765"/>
      <c r="AAG2" s="765"/>
      <c r="AAH2" s="765"/>
      <c r="AAI2" s="765"/>
      <c r="AAJ2" s="765"/>
      <c r="AAK2" s="765"/>
      <c r="AAL2" s="765"/>
      <c r="AAM2" s="765"/>
      <c r="AAN2" s="765"/>
      <c r="AAO2" s="765"/>
      <c r="AAP2" s="765"/>
      <c r="AAQ2" s="765"/>
      <c r="AAR2" s="765"/>
      <c r="AAS2" s="765"/>
      <c r="AAT2" s="765"/>
      <c r="AAU2" s="765"/>
      <c r="AAV2" s="765"/>
      <c r="AAW2" s="765"/>
      <c r="AAX2" s="765"/>
      <c r="AAY2" s="765"/>
      <c r="AAZ2" s="765"/>
      <c r="ABA2" s="765"/>
      <c r="ABB2" s="765"/>
      <c r="ABC2" s="765"/>
      <c r="ABD2" s="765"/>
      <c r="ABE2" s="765"/>
      <c r="ABF2" s="765"/>
      <c r="ABG2" s="765"/>
      <c r="ABH2" s="765"/>
      <c r="ABI2" s="765"/>
      <c r="ABJ2" s="765"/>
      <c r="ABK2" s="765"/>
      <c r="ABL2" s="765"/>
      <c r="ABM2" s="765"/>
      <c r="ABN2" s="765"/>
      <c r="ABO2" s="765"/>
      <c r="ABP2" s="765"/>
      <c r="ABQ2" s="765"/>
      <c r="ABR2" s="765"/>
      <c r="ABS2" s="765"/>
      <c r="ABT2" s="765"/>
      <c r="ABU2" s="765"/>
      <c r="ABV2" s="765"/>
      <c r="ABW2" s="765"/>
      <c r="ABX2" s="765"/>
      <c r="ABY2" s="765"/>
      <c r="ABZ2" s="765"/>
      <c r="ACA2" s="765"/>
      <c r="ACB2" s="765"/>
      <c r="ACC2" s="765"/>
      <c r="ACD2" s="765"/>
      <c r="ACE2" s="765"/>
      <c r="ACF2" s="765"/>
      <c r="ACG2" s="765"/>
      <c r="ACH2" s="765"/>
      <c r="ACI2" s="765"/>
      <c r="ACJ2" s="765"/>
      <c r="ACK2" s="765"/>
      <c r="ACL2" s="765"/>
      <c r="ACM2" s="765"/>
      <c r="ACN2" s="765"/>
      <c r="ACO2" s="765"/>
      <c r="ACP2" s="765"/>
      <c r="ACQ2" s="765"/>
      <c r="ACR2" s="765"/>
      <c r="ACS2" s="765"/>
      <c r="ACT2" s="765"/>
      <c r="ACU2" s="765"/>
      <c r="ACV2" s="765"/>
      <c r="ACW2" s="765"/>
      <c r="ACX2" s="765"/>
      <c r="ACY2" s="765"/>
      <c r="ACZ2" s="765"/>
      <c r="ADA2" s="765"/>
      <c r="ADB2" s="765"/>
      <c r="ADC2" s="765"/>
      <c r="ADD2" s="765"/>
      <c r="ADE2" s="765"/>
      <c r="ADF2" s="765"/>
      <c r="ADG2" s="765"/>
      <c r="ADH2" s="765"/>
      <c r="ADI2" s="765"/>
      <c r="ADJ2" s="765"/>
      <c r="ADK2" s="765"/>
      <c r="ADL2" s="765"/>
      <c r="ADM2" s="765"/>
      <c r="ADN2" s="765"/>
      <c r="ADO2" s="765"/>
      <c r="ADP2" s="765"/>
      <c r="ADQ2" s="765"/>
      <c r="ADR2" s="765"/>
      <c r="ADS2" s="765"/>
      <c r="ADT2" s="765"/>
      <c r="ADU2" s="765"/>
      <c r="ADV2" s="765"/>
      <c r="ADW2" s="765"/>
      <c r="ADX2" s="765"/>
      <c r="ADY2" s="765"/>
      <c r="ADZ2" s="765"/>
      <c r="AEA2" s="765"/>
      <c r="AEB2" s="765"/>
      <c r="AEC2" s="765"/>
      <c r="AED2" s="765"/>
      <c r="AEE2" s="765"/>
      <c r="AEF2" s="765"/>
      <c r="AEG2" s="765"/>
      <c r="AEH2" s="765"/>
      <c r="AEI2" s="765"/>
      <c r="AEJ2" s="765"/>
      <c r="AEK2" s="765"/>
      <c r="AEL2" s="765"/>
      <c r="AEM2" s="765"/>
      <c r="AEN2" s="765"/>
      <c r="AEO2" s="765"/>
      <c r="AEP2" s="765"/>
      <c r="AEQ2" s="765"/>
      <c r="AER2" s="765"/>
      <c r="AES2" s="765"/>
      <c r="AET2" s="765"/>
      <c r="AEU2" s="765"/>
      <c r="AEV2" s="765"/>
      <c r="AEW2" s="765"/>
      <c r="AEX2" s="765"/>
      <c r="AEY2" s="765"/>
      <c r="AEZ2" s="765"/>
      <c r="AFA2" s="765"/>
      <c r="AFB2" s="765"/>
      <c r="AFC2" s="765"/>
      <c r="AFD2" s="765"/>
      <c r="AFE2" s="765"/>
      <c r="AFF2" s="765"/>
      <c r="AFG2" s="765"/>
      <c r="AFH2" s="765"/>
      <c r="AFI2" s="765"/>
      <c r="AFJ2" s="765"/>
      <c r="AFK2" s="765"/>
      <c r="AFL2" s="765"/>
      <c r="AFM2" s="765"/>
      <c r="AFN2" s="765"/>
      <c r="AFO2" s="765"/>
      <c r="AFP2" s="765"/>
      <c r="AFQ2" s="765"/>
      <c r="AFR2" s="765"/>
      <c r="AFS2" s="765"/>
      <c r="AFT2" s="765"/>
      <c r="AFU2" s="765"/>
      <c r="AFV2" s="765"/>
      <c r="AFW2" s="765"/>
      <c r="AFX2" s="765"/>
      <c r="AFY2" s="765"/>
      <c r="AFZ2" s="765"/>
      <c r="AGA2" s="765"/>
      <c r="AGB2" s="765"/>
      <c r="AGC2" s="765"/>
      <c r="AGD2" s="765"/>
      <c r="AGE2" s="765"/>
      <c r="AGF2" s="765"/>
      <c r="AGG2" s="765"/>
      <c r="AGH2" s="765"/>
      <c r="AGI2" s="765"/>
      <c r="AGJ2" s="765"/>
      <c r="AGK2" s="765"/>
      <c r="AGL2" s="765"/>
      <c r="AGM2" s="765"/>
      <c r="AGN2" s="765"/>
      <c r="AGO2" s="765"/>
      <c r="AGP2" s="765"/>
      <c r="AGQ2" s="765"/>
      <c r="AGR2" s="765"/>
      <c r="AGS2" s="765"/>
      <c r="AGT2" s="765"/>
      <c r="AGU2" s="765"/>
      <c r="AGV2" s="765"/>
      <c r="AGW2" s="765"/>
      <c r="AGX2" s="765"/>
      <c r="AGY2" s="765"/>
      <c r="AGZ2" s="765"/>
      <c r="AHA2" s="765"/>
      <c r="AHB2" s="765"/>
      <c r="AHC2" s="765"/>
      <c r="AHD2" s="765"/>
      <c r="AHE2" s="765"/>
      <c r="AHF2" s="765"/>
      <c r="AHG2" s="765"/>
      <c r="AHH2" s="765"/>
      <c r="AHI2" s="765"/>
      <c r="AHJ2" s="765"/>
      <c r="AHK2" s="765"/>
      <c r="AHL2" s="765"/>
      <c r="AHM2" s="765"/>
      <c r="AHN2" s="765"/>
      <c r="AHO2" s="765"/>
      <c r="AHP2" s="765"/>
      <c r="AHQ2" s="765"/>
      <c r="AHR2" s="765"/>
      <c r="AHS2" s="765"/>
      <c r="AHT2" s="765"/>
      <c r="AHU2" s="765"/>
      <c r="AHV2" s="765"/>
      <c r="AHW2" s="765"/>
      <c r="AHX2" s="765"/>
      <c r="AHY2" s="765"/>
      <c r="AHZ2" s="765"/>
      <c r="AIA2" s="765"/>
      <c r="AIB2" s="765"/>
      <c r="AIC2" s="765"/>
      <c r="AID2" s="765"/>
      <c r="AIE2" s="765"/>
      <c r="AIF2" s="765"/>
      <c r="AIG2" s="765"/>
      <c r="AIH2" s="765"/>
      <c r="AII2" s="765"/>
      <c r="AIJ2" s="765"/>
      <c r="AIK2" s="765"/>
      <c r="AIL2" s="765"/>
      <c r="AIM2" s="765"/>
      <c r="AIN2" s="765"/>
      <c r="AIO2" s="765"/>
      <c r="AIP2" s="765"/>
      <c r="AIQ2" s="765"/>
      <c r="AIR2" s="765"/>
      <c r="AIS2" s="765"/>
      <c r="AIT2" s="765"/>
      <c r="AIU2" s="765"/>
      <c r="AIV2" s="765"/>
      <c r="AIW2" s="765"/>
      <c r="AIX2" s="765"/>
      <c r="AIY2" s="765"/>
      <c r="AIZ2" s="765"/>
      <c r="AJA2" s="765"/>
      <c r="AJB2" s="765"/>
      <c r="AJC2" s="765"/>
      <c r="AJD2" s="765"/>
      <c r="AJE2" s="765"/>
      <c r="AJF2" s="765"/>
      <c r="AJG2" s="765"/>
      <c r="AJH2" s="765"/>
      <c r="AJI2" s="765"/>
      <c r="AJJ2" s="765"/>
      <c r="AJK2" s="765"/>
      <c r="AJL2" s="765"/>
      <c r="AJM2" s="765"/>
      <c r="AJN2" s="765"/>
      <c r="AJO2" s="765"/>
      <c r="AJP2" s="765"/>
      <c r="AJQ2" s="765"/>
      <c r="AJR2" s="765"/>
      <c r="AJS2" s="765"/>
      <c r="AJT2" s="765"/>
      <c r="AJU2" s="765"/>
      <c r="AJV2" s="765"/>
      <c r="AJW2" s="765"/>
      <c r="AJX2" s="765"/>
      <c r="AJY2" s="765"/>
      <c r="AJZ2" s="765"/>
      <c r="AKA2" s="765"/>
      <c r="AKB2" s="765"/>
      <c r="AKC2" s="765"/>
      <c r="AKD2" s="765"/>
      <c r="AKE2" s="765"/>
      <c r="AKF2" s="765"/>
      <c r="AKG2" s="765"/>
      <c r="AKH2" s="765"/>
      <c r="AKI2" s="765"/>
      <c r="AKJ2" s="765"/>
      <c r="AKK2" s="765"/>
      <c r="AKL2" s="765"/>
      <c r="AKM2" s="765"/>
      <c r="AKN2" s="765"/>
      <c r="AKO2" s="765"/>
      <c r="AKP2" s="765"/>
      <c r="AKQ2" s="765"/>
      <c r="AKR2" s="765"/>
      <c r="AKS2" s="765"/>
      <c r="AKT2" s="765"/>
      <c r="AKU2" s="765"/>
      <c r="AKV2" s="765"/>
      <c r="AKW2" s="765"/>
      <c r="AKX2" s="765"/>
      <c r="AKY2" s="765"/>
      <c r="AKZ2" s="765"/>
      <c r="ALA2" s="765"/>
      <c r="ALB2" s="765"/>
      <c r="ALC2" s="765"/>
      <c r="ALD2" s="765"/>
      <c r="ALE2" s="765"/>
      <c r="ALF2" s="765"/>
      <c r="ALG2" s="765"/>
    </row>
    <row r="3" spans="1:995" s="766" customFormat="1" ht="36" customHeight="1">
      <c r="A3" s="1983" t="s">
        <v>664</v>
      </c>
      <c r="B3" s="1984"/>
      <c r="C3" s="1984"/>
      <c r="D3" s="1984"/>
      <c r="E3" s="1984"/>
      <c r="F3" s="1984"/>
      <c r="G3" s="1984"/>
      <c r="H3" s="1984"/>
      <c r="I3" s="1984"/>
      <c r="J3" s="1984"/>
      <c r="K3" s="1984"/>
      <c r="L3" s="1984"/>
      <c r="M3" s="1984"/>
      <c r="N3" s="1984"/>
      <c r="O3" s="1984"/>
      <c r="P3" s="198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AV3" s="765"/>
      <c r="AW3" s="765"/>
      <c r="AX3" s="765"/>
      <c r="AY3" s="765"/>
      <c r="AZ3" s="765"/>
      <c r="BA3" s="765"/>
      <c r="BB3" s="765"/>
      <c r="BC3" s="765"/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C3" s="765"/>
      <c r="DD3" s="765"/>
      <c r="DE3" s="765"/>
      <c r="DF3" s="765"/>
      <c r="DG3" s="765"/>
      <c r="DH3" s="765"/>
      <c r="DI3" s="765"/>
      <c r="DJ3" s="765"/>
      <c r="DK3" s="765"/>
      <c r="DL3" s="765"/>
      <c r="DM3" s="765"/>
      <c r="DN3" s="765"/>
      <c r="DO3" s="765"/>
      <c r="DP3" s="765"/>
      <c r="DQ3" s="765"/>
      <c r="DR3" s="765"/>
      <c r="DS3" s="765"/>
      <c r="DT3" s="765"/>
      <c r="DU3" s="765"/>
      <c r="DV3" s="765"/>
      <c r="DW3" s="765"/>
      <c r="DX3" s="765"/>
      <c r="DY3" s="765"/>
      <c r="DZ3" s="765"/>
      <c r="EA3" s="765"/>
      <c r="EB3" s="765"/>
      <c r="EC3" s="765"/>
      <c r="ED3" s="765"/>
      <c r="EE3" s="765"/>
      <c r="EF3" s="765"/>
      <c r="EG3" s="765"/>
      <c r="EH3" s="765"/>
      <c r="EI3" s="765"/>
      <c r="EJ3" s="765"/>
      <c r="EK3" s="765"/>
      <c r="EL3" s="765"/>
      <c r="EM3" s="765"/>
      <c r="EN3" s="765"/>
      <c r="EO3" s="765"/>
      <c r="EP3" s="765"/>
      <c r="EQ3" s="765"/>
      <c r="ER3" s="765"/>
      <c r="ES3" s="765"/>
      <c r="ET3" s="765"/>
      <c r="EU3" s="765"/>
      <c r="EV3" s="765"/>
      <c r="EW3" s="765"/>
      <c r="EX3" s="765"/>
      <c r="EY3" s="765"/>
      <c r="EZ3" s="765"/>
      <c r="FA3" s="765"/>
      <c r="FB3" s="765"/>
      <c r="FC3" s="765"/>
      <c r="FD3" s="765"/>
      <c r="FE3" s="765"/>
      <c r="FF3" s="765"/>
      <c r="FG3" s="765"/>
      <c r="FH3" s="765"/>
      <c r="FI3" s="765"/>
      <c r="FJ3" s="765"/>
      <c r="FK3" s="765"/>
      <c r="FL3" s="765"/>
      <c r="FM3" s="765"/>
      <c r="FN3" s="765"/>
      <c r="FO3" s="765"/>
      <c r="FP3" s="765"/>
      <c r="FQ3" s="765"/>
      <c r="FR3" s="765"/>
      <c r="FS3" s="765"/>
      <c r="FT3" s="765"/>
      <c r="FU3" s="765"/>
      <c r="FV3" s="765"/>
      <c r="FW3" s="765"/>
      <c r="FX3" s="765"/>
      <c r="FY3" s="765"/>
      <c r="FZ3" s="765"/>
      <c r="GA3" s="765"/>
      <c r="GB3" s="765"/>
      <c r="GC3" s="765"/>
      <c r="GD3" s="765"/>
      <c r="GE3" s="765"/>
      <c r="GF3" s="765"/>
      <c r="GG3" s="765"/>
      <c r="GH3" s="765"/>
      <c r="GI3" s="765"/>
      <c r="GJ3" s="765"/>
      <c r="GK3" s="765"/>
      <c r="GL3" s="765"/>
      <c r="GM3" s="765"/>
      <c r="GN3" s="765"/>
      <c r="GO3" s="765"/>
      <c r="GP3" s="765"/>
      <c r="GQ3" s="765"/>
      <c r="GR3" s="765"/>
      <c r="GS3" s="765"/>
      <c r="GT3" s="765"/>
      <c r="GU3" s="765"/>
      <c r="GV3" s="765"/>
      <c r="GW3" s="765"/>
      <c r="GX3" s="765"/>
      <c r="GY3" s="765"/>
      <c r="GZ3" s="765"/>
      <c r="HA3" s="765"/>
      <c r="HB3" s="765"/>
      <c r="HC3" s="765"/>
      <c r="HD3" s="765"/>
      <c r="HE3" s="765"/>
      <c r="HF3" s="765"/>
      <c r="HG3" s="765"/>
      <c r="HH3" s="765"/>
      <c r="HI3" s="765"/>
      <c r="HJ3" s="765"/>
      <c r="HK3" s="765"/>
      <c r="HL3" s="765"/>
      <c r="HM3" s="765"/>
      <c r="HN3" s="765"/>
      <c r="HO3" s="765"/>
      <c r="HP3" s="765"/>
      <c r="HQ3" s="765"/>
      <c r="HR3" s="765"/>
      <c r="HS3" s="765"/>
      <c r="HT3" s="765"/>
      <c r="HU3" s="765"/>
      <c r="HV3" s="765"/>
      <c r="HW3" s="765"/>
      <c r="HX3" s="765"/>
      <c r="HY3" s="765"/>
      <c r="HZ3" s="765"/>
      <c r="IA3" s="765"/>
      <c r="IB3" s="765"/>
      <c r="IC3" s="765"/>
      <c r="ID3" s="765"/>
      <c r="IE3" s="765"/>
      <c r="IF3" s="765"/>
      <c r="IG3" s="765"/>
      <c r="IH3" s="765"/>
      <c r="II3" s="765"/>
      <c r="IJ3" s="765"/>
      <c r="IK3" s="765"/>
      <c r="IL3" s="765"/>
      <c r="IM3" s="765"/>
      <c r="IN3" s="765"/>
      <c r="IO3" s="765"/>
      <c r="IP3" s="765"/>
      <c r="IQ3" s="765"/>
      <c r="IR3" s="765"/>
      <c r="IS3" s="765"/>
      <c r="IT3" s="765"/>
      <c r="IU3" s="765"/>
      <c r="IV3" s="765"/>
      <c r="IW3" s="765"/>
      <c r="IX3" s="765"/>
      <c r="IY3" s="765"/>
      <c r="IZ3" s="765"/>
      <c r="JA3" s="765"/>
      <c r="JB3" s="765"/>
      <c r="JC3" s="765"/>
      <c r="JD3" s="765"/>
      <c r="JE3" s="765"/>
      <c r="JF3" s="765"/>
      <c r="JG3" s="765"/>
      <c r="JH3" s="765"/>
      <c r="JI3" s="765"/>
      <c r="JJ3" s="765"/>
      <c r="JK3" s="765"/>
      <c r="JL3" s="765"/>
      <c r="JM3" s="765"/>
      <c r="JN3" s="765"/>
      <c r="JO3" s="765"/>
      <c r="JP3" s="765"/>
      <c r="JQ3" s="765"/>
      <c r="JR3" s="765"/>
      <c r="JS3" s="765"/>
      <c r="JT3" s="765"/>
      <c r="JU3" s="765"/>
      <c r="JV3" s="765"/>
      <c r="JW3" s="765"/>
      <c r="JX3" s="765"/>
      <c r="JY3" s="765"/>
      <c r="JZ3" s="765"/>
      <c r="KA3" s="765"/>
      <c r="KB3" s="765"/>
      <c r="KC3" s="765"/>
      <c r="KD3" s="765"/>
      <c r="KE3" s="765"/>
      <c r="KF3" s="765"/>
      <c r="KG3" s="765"/>
      <c r="KH3" s="765"/>
      <c r="KI3" s="765"/>
      <c r="KJ3" s="765"/>
      <c r="KK3" s="765"/>
      <c r="KL3" s="765"/>
      <c r="KM3" s="765"/>
      <c r="KN3" s="765"/>
      <c r="KO3" s="765"/>
      <c r="KP3" s="765"/>
      <c r="KQ3" s="765"/>
      <c r="KR3" s="765"/>
      <c r="KS3" s="765"/>
      <c r="KT3" s="765"/>
      <c r="KU3" s="765"/>
      <c r="KV3" s="765"/>
      <c r="KW3" s="765"/>
      <c r="KX3" s="765"/>
      <c r="KY3" s="765"/>
      <c r="KZ3" s="765"/>
      <c r="LA3" s="765"/>
      <c r="LB3" s="765"/>
      <c r="LC3" s="765"/>
      <c r="LD3" s="765"/>
      <c r="LE3" s="765"/>
      <c r="LF3" s="765"/>
      <c r="LG3" s="765"/>
      <c r="LH3" s="765"/>
      <c r="LI3" s="765"/>
      <c r="LJ3" s="765"/>
      <c r="LK3" s="765"/>
      <c r="LL3" s="765"/>
      <c r="LM3" s="765"/>
      <c r="LN3" s="765"/>
      <c r="LO3" s="765"/>
      <c r="LP3" s="765"/>
      <c r="LQ3" s="765"/>
      <c r="LR3" s="765"/>
      <c r="LS3" s="765"/>
      <c r="LT3" s="765"/>
      <c r="LU3" s="765"/>
      <c r="LV3" s="765"/>
      <c r="LW3" s="765"/>
      <c r="LX3" s="765"/>
      <c r="LY3" s="765"/>
      <c r="LZ3" s="765"/>
      <c r="MA3" s="765"/>
      <c r="MB3" s="765"/>
      <c r="MC3" s="765"/>
      <c r="MD3" s="765"/>
      <c r="ME3" s="765"/>
      <c r="MF3" s="765"/>
      <c r="MG3" s="765"/>
      <c r="MH3" s="765"/>
      <c r="MI3" s="765"/>
      <c r="MJ3" s="765"/>
      <c r="MK3" s="765"/>
      <c r="ML3" s="765"/>
      <c r="MM3" s="765"/>
      <c r="MN3" s="765"/>
      <c r="MO3" s="765"/>
      <c r="MP3" s="765"/>
      <c r="MQ3" s="765"/>
      <c r="MR3" s="765"/>
      <c r="MS3" s="765"/>
      <c r="MT3" s="765"/>
      <c r="MU3" s="765"/>
      <c r="MV3" s="765"/>
      <c r="MW3" s="765"/>
      <c r="MX3" s="765"/>
      <c r="MY3" s="765"/>
      <c r="MZ3" s="765"/>
      <c r="NA3" s="765"/>
      <c r="NB3" s="765"/>
      <c r="NC3" s="765"/>
      <c r="ND3" s="765"/>
      <c r="NE3" s="765"/>
      <c r="NF3" s="765"/>
      <c r="NG3" s="765"/>
      <c r="NH3" s="765"/>
      <c r="NI3" s="765"/>
      <c r="NJ3" s="765"/>
      <c r="NK3" s="765"/>
      <c r="NL3" s="765"/>
      <c r="NM3" s="765"/>
      <c r="NN3" s="765"/>
      <c r="NO3" s="765"/>
      <c r="NP3" s="765"/>
      <c r="NQ3" s="765"/>
      <c r="NR3" s="765"/>
      <c r="NS3" s="765"/>
      <c r="NT3" s="765"/>
      <c r="NU3" s="765"/>
      <c r="NV3" s="765"/>
      <c r="NW3" s="765"/>
      <c r="NX3" s="765"/>
      <c r="NY3" s="765"/>
      <c r="NZ3" s="765"/>
      <c r="OA3" s="765"/>
      <c r="OB3" s="765"/>
      <c r="OC3" s="765"/>
      <c r="OD3" s="765"/>
      <c r="OE3" s="765"/>
      <c r="OF3" s="765"/>
      <c r="OG3" s="765"/>
      <c r="OH3" s="765"/>
      <c r="OI3" s="765"/>
      <c r="OJ3" s="765"/>
      <c r="OK3" s="765"/>
      <c r="OL3" s="765"/>
      <c r="OM3" s="765"/>
      <c r="ON3" s="765"/>
      <c r="OO3" s="765"/>
      <c r="OP3" s="765"/>
      <c r="OQ3" s="765"/>
      <c r="OR3" s="765"/>
      <c r="OS3" s="765"/>
      <c r="OT3" s="765"/>
      <c r="OU3" s="765"/>
      <c r="OV3" s="765"/>
      <c r="OW3" s="765"/>
      <c r="OX3" s="765"/>
      <c r="OY3" s="765"/>
      <c r="OZ3" s="765"/>
      <c r="PA3" s="765"/>
      <c r="PB3" s="765"/>
      <c r="PC3" s="765"/>
      <c r="PD3" s="765"/>
      <c r="PE3" s="765"/>
      <c r="PF3" s="765"/>
      <c r="PG3" s="765"/>
      <c r="PH3" s="765"/>
      <c r="PI3" s="765"/>
      <c r="PJ3" s="765"/>
      <c r="PK3" s="765"/>
      <c r="PL3" s="765"/>
      <c r="PM3" s="765"/>
      <c r="PN3" s="765"/>
      <c r="PO3" s="765"/>
      <c r="PP3" s="765"/>
      <c r="PQ3" s="765"/>
      <c r="PR3" s="765"/>
      <c r="PS3" s="765"/>
      <c r="PT3" s="765"/>
      <c r="PU3" s="765"/>
      <c r="PV3" s="765"/>
      <c r="PW3" s="765"/>
      <c r="PX3" s="765"/>
      <c r="PY3" s="765"/>
      <c r="PZ3" s="765"/>
      <c r="QA3" s="765"/>
      <c r="QB3" s="765"/>
      <c r="QC3" s="765"/>
      <c r="QD3" s="765"/>
      <c r="QE3" s="765"/>
      <c r="QF3" s="765"/>
      <c r="QG3" s="765"/>
      <c r="QH3" s="765"/>
      <c r="QI3" s="765"/>
      <c r="QJ3" s="765"/>
      <c r="QK3" s="765"/>
      <c r="QL3" s="765"/>
      <c r="QM3" s="765"/>
      <c r="QN3" s="765"/>
      <c r="QO3" s="765"/>
      <c r="QP3" s="765"/>
      <c r="QQ3" s="765"/>
      <c r="QR3" s="765"/>
      <c r="QS3" s="765"/>
      <c r="QT3" s="765"/>
      <c r="QU3" s="765"/>
      <c r="QV3" s="765"/>
      <c r="QW3" s="765"/>
      <c r="QX3" s="765"/>
      <c r="QY3" s="765"/>
      <c r="QZ3" s="765"/>
      <c r="RA3" s="765"/>
      <c r="RB3" s="765"/>
      <c r="RC3" s="765"/>
      <c r="RD3" s="765"/>
      <c r="RE3" s="765"/>
      <c r="RF3" s="765"/>
      <c r="RG3" s="765"/>
      <c r="RH3" s="765"/>
      <c r="RI3" s="765"/>
      <c r="RJ3" s="765"/>
      <c r="RK3" s="765"/>
      <c r="RL3" s="765"/>
      <c r="RM3" s="765"/>
      <c r="RN3" s="765"/>
      <c r="RO3" s="765"/>
      <c r="RP3" s="765"/>
      <c r="RQ3" s="765"/>
      <c r="RR3" s="765"/>
      <c r="RS3" s="765"/>
      <c r="RT3" s="765"/>
      <c r="RU3" s="765"/>
      <c r="RV3" s="765"/>
      <c r="RW3" s="765"/>
      <c r="RX3" s="765"/>
      <c r="RY3" s="765"/>
      <c r="RZ3" s="765"/>
      <c r="SA3" s="765"/>
      <c r="SB3" s="765"/>
      <c r="SC3" s="765"/>
      <c r="SD3" s="765"/>
      <c r="SE3" s="765"/>
      <c r="SF3" s="765"/>
      <c r="SG3" s="765"/>
      <c r="SH3" s="765"/>
      <c r="SI3" s="765"/>
      <c r="SJ3" s="765"/>
      <c r="SK3" s="765"/>
      <c r="SL3" s="765"/>
      <c r="SM3" s="765"/>
      <c r="SN3" s="765"/>
      <c r="SO3" s="765"/>
      <c r="SP3" s="765"/>
      <c r="SQ3" s="765"/>
      <c r="SR3" s="765"/>
      <c r="SS3" s="765"/>
      <c r="ST3" s="765"/>
      <c r="SU3" s="765"/>
      <c r="SV3" s="765"/>
      <c r="SW3" s="765"/>
      <c r="SX3" s="765"/>
      <c r="SY3" s="765"/>
      <c r="SZ3" s="765"/>
      <c r="TA3" s="765"/>
      <c r="TB3" s="765"/>
      <c r="TC3" s="765"/>
      <c r="TD3" s="765"/>
      <c r="TE3" s="765"/>
      <c r="TF3" s="765"/>
      <c r="TG3" s="765"/>
      <c r="TH3" s="765"/>
      <c r="TI3" s="765"/>
      <c r="TJ3" s="765"/>
      <c r="TK3" s="765"/>
      <c r="TL3" s="765"/>
      <c r="TM3" s="765"/>
      <c r="TN3" s="765"/>
      <c r="TO3" s="765"/>
      <c r="TP3" s="765"/>
      <c r="TQ3" s="765"/>
      <c r="TR3" s="765"/>
      <c r="TS3" s="765"/>
      <c r="TT3" s="765"/>
      <c r="TU3" s="765"/>
      <c r="TV3" s="765"/>
      <c r="TW3" s="765"/>
      <c r="TX3" s="765"/>
      <c r="TY3" s="765"/>
      <c r="TZ3" s="765"/>
      <c r="UA3" s="765"/>
      <c r="UB3" s="765"/>
      <c r="UC3" s="765"/>
      <c r="UD3" s="765"/>
      <c r="UE3" s="765"/>
      <c r="UF3" s="765"/>
      <c r="UG3" s="765"/>
      <c r="UH3" s="765"/>
      <c r="UI3" s="765"/>
      <c r="UJ3" s="765"/>
      <c r="UK3" s="765"/>
      <c r="UL3" s="765"/>
      <c r="UM3" s="765"/>
      <c r="UN3" s="765"/>
      <c r="UO3" s="765"/>
      <c r="UP3" s="765"/>
      <c r="UQ3" s="765"/>
      <c r="UR3" s="765"/>
      <c r="US3" s="765"/>
      <c r="UT3" s="765"/>
      <c r="UU3" s="765"/>
      <c r="UV3" s="765"/>
      <c r="UW3" s="765"/>
      <c r="UX3" s="765"/>
      <c r="UY3" s="765"/>
      <c r="UZ3" s="765"/>
      <c r="VA3" s="765"/>
      <c r="VB3" s="765"/>
      <c r="VC3" s="765"/>
      <c r="VD3" s="765"/>
      <c r="VE3" s="765"/>
      <c r="VF3" s="765"/>
      <c r="VG3" s="765"/>
      <c r="VH3" s="765"/>
      <c r="VI3" s="765"/>
      <c r="VJ3" s="765"/>
      <c r="VK3" s="765"/>
      <c r="VL3" s="765"/>
      <c r="VM3" s="765"/>
      <c r="VN3" s="765"/>
      <c r="VO3" s="765"/>
      <c r="VP3" s="765"/>
      <c r="VQ3" s="765"/>
      <c r="VR3" s="765"/>
      <c r="VS3" s="765"/>
      <c r="VT3" s="765"/>
      <c r="VU3" s="765"/>
      <c r="VV3" s="765"/>
      <c r="VW3" s="765"/>
      <c r="VX3" s="765"/>
      <c r="VY3" s="765"/>
      <c r="VZ3" s="765"/>
      <c r="WA3" s="765"/>
      <c r="WB3" s="765"/>
      <c r="WC3" s="765"/>
      <c r="WD3" s="765"/>
      <c r="WE3" s="765"/>
      <c r="WF3" s="765"/>
      <c r="WG3" s="765"/>
      <c r="WH3" s="765"/>
      <c r="WI3" s="765"/>
      <c r="WJ3" s="765"/>
      <c r="WK3" s="765"/>
      <c r="WL3" s="765"/>
      <c r="WM3" s="765"/>
      <c r="WN3" s="765"/>
      <c r="WO3" s="765"/>
      <c r="WP3" s="765"/>
      <c r="WQ3" s="765"/>
      <c r="WR3" s="765"/>
      <c r="WS3" s="765"/>
      <c r="WT3" s="765"/>
      <c r="WU3" s="765"/>
      <c r="WV3" s="765"/>
      <c r="WW3" s="765"/>
      <c r="WX3" s="765"/>
      <c r="WY3" s="765"/>
      <c r="WZ3" s="765"/>
      <c r="XA3" s="765"/>
      <c r="XB3" s="765"/>
      <c r="XC3" s="765"/>
      <c r="XD3" s="765"/>
      <c r="XE3" s="765"/>
      <c r="XF3" s="765"/>
      <c r="XG3" s="765"/>
      <c r="XH3" s="765"/>
      <c r="XI3" s="765"/>
      <c r="XJ3" s="765"/>
      <c r="XK3" s="765"/>
      <c r="XL3" s="765"/>
      <c r="XM3" s="765"/>
      <c r="XN3" s="765"/>
      <c r="XO3" s="765"/>
      <c r="XP3" s="765"/>
      <c r="XQ3" s="765"/>
      <c r="XR3" s="765"/>
      <c r="XS3" s="765"/>
      <c r="XT3" s="765"/>
      <c r="XU3" s="765"/>
      <c r="XV3" s="765"/>
      <c r="XW3" s="765"/>
      <c r="XX3" s="765"/>
      <c r="XY3" s="765"/>
      <c r="XZ3" s="765"/>
      <c r="YA3" s="765"/>
      <c r="YB3" s="765"/>
      <c r="YC3" s="765"/>
      <c r="YD3" s="765"/>
      <c r="YE3" s="765"/>
      <c r="YF3" s="765"/>
      <c r="YG3" s="765"/>
      <c r="YH3" s="765"/>
      <c r="YI3" s="765"/>
      <c r="YJ3" s="765"/>
      <c r="YK3" s="765"/>
      <c r="YL3" s="765"/>
      <c r="YM3" s="765"/>
      <c r="YN3" s="765"/>
      <c r="YO3" s="765"/>
      <c r="YP3" s="765"/>
      <c r="YQ3" s="765"/>
      <c r="YR3" s="765"/>
      <c r="YS3" s="765"/>
      <c r="YT3" s="765"/>
      <c r="YU3" s="765"/>
      <c r="YV3" s="765"/>
      <c r="YW3" s="765"/>
      <c r="YX3" s="765"/>
      <c r="YY3" s="765"/>
      <c r="YZ3" s="765"/>
      <c r="ZA3" s="765"/>
      <c r="ZB3" s="765"/>
      <c r="ZC3" s="765"/>
      <c r="ZD3" s="765"/>
      <c r="ZE3" s="765"/>
      <c r="ZF3" s="765"/>
      <c r="ZG3" s="765"/>
      <c r="ZH3" s="765"/>
      <c r="ZI3" s="765"/>
      <c r="ZJ3" s="765"/>
      <c r="ZK3" s="765"/>
      <c r="ZL3" s="765"/>
      <c r="ZM3" s="765"/>
      <c r="ZN3" s="765"/>
      <c r="ZO3" s="765"/>
      <c r="ZP3" s="765"/>
      <c r="ZQ3" s="765"/>
      <c r="ZR3" s="765"/>
      <c r="ZS3" s="765"/>
      <c r="ZT3" s="765"/>
      <c r="ZU3" s="765"/>
      <c r="ZV3" s="765"/>
      <c r="ZW3" s="765"/>
      <c r="ZX3" s="765"/>
      <c r="ZY3" s="765"/>
      <c r="ZZ3" s="765"/>
      <c r="AAA3" s="765"/>
      <c r="AAB3" s="765"/>
      <c r="AAC3" s="765"/>
      <c r="AAD3" s="765"/>
      <c r="AAE3" s="765"/>
      <c r="AAF3" s="765"/>
      <c r="AAG3" s="765"/>
      <c r="AAH3" s="765"/>
      <c r="AAI3" s="765"/>
      <c r="AAJ3" s="765"/>
      <c r="AAK3" s="765"/>
      <c r="AAL3" s="765"/>
      <c r="AAM3" s="765"/>
      <c r="AAN3" s="765"/>
      <c r="AAO3" s="765"/>
      <c r="AAP3" s="765"/>
      <c r="AAQ3" s="765"/>
      <c r="AAR3" s="765"/>
      <c r="AAS3" s="765"/>
      <c r="AAT3" s="765"/>
      <c r="AAU3" s="765"/>
      <c r="AAV3" s="765"/>
      <c r="AAW3" s="765"/>
      <c r="AAX3" s="765"/>
      <c r="AAY3" s="765"/>
      <c r="AAZ3" s="765"/>
      <c r="ABA3" s="765"/>
      <c r="ABB3" s="765"/>
      <c r="ABC3" s="765"/>
      <c r="ABD3" s="765"/>
      <c r="ABE3" s="765"/>
      <c r="ABF3" s="765"/>
      <c r="ABG3" s="765"/>
      <c r="ABH3" s="765"/>
      <c r="ABI3" s="765"/>
      <c r="ABJ3" s="765"/>
      <c r="ABK3" s="765"/>
      <c r="ABL3" s="765"/>
      <c r="ABM3" s="765"/>
      <c r="ABN3" s="765"/>
      <c r="ABO3" s="765"/>
      <c r="ABP3" s="765"/>
      <c r="ABQ3" s="765"/>
      <c r="ABR3" s="765"/>
      <c r="ABS3" s="765"/>
      <c r="ABT3" s="765"/>
      <c r="ABU3" s="765"/>
      <c r="ABV3" s="765"/>
      <c r="ABW3" s="765"/>
      <c r="ABX3" s="765"/>
      <c r="ABY3" s="765"/>
      <c r="ABZ3" s="765"/>
      <c r="ACA3" s="765"/>
      <c r="ACB3" s="765"/>
      <c r="ACC3" s="765"/>
      <c r="ACD3" s="765"/>
      <c r="ACE3" s="765"/>
      <c r="ACF3" s="765"/>
      <c r="ACG3" s="765"/>
      <c r="ACH3" s="765"/>
      <c r="ACI3" s="765"/>
      <c r="ACJ3" s="765"/>
      <c r="ACK3" s="765"/>
      <c r="ACL3" s="765"/>
      <c r="ACM3" s="765"/>
      <c r="ACN3" s="765"/>
      <c r="ACO3" s="765"/>
      <c r="ACP3" s="765"/>
      <c r="ACQ3" s="765"/>
      <c r="ACR3" s="765"/>
      <c r="ACS3" s="765"/>
      <c r="ACT3" s="765"/>
      <c r="ACU3" s="765"/>
      <c r="ACV3" s="765"/>
      <c r="ACW3" s="765"/>
      <c r="ACX3" s="765"/>
      <c r="ACY3" s="765"/>
      <c r="ACZ3" s="765"/>
      <c r="ADA3" s="765"/>
      <c r="ADB3" s="765"/>
      <c r="ADC3" s="765"/>
      <c r="ADD3" s="765"/>
      <c r="ADE3" s="765"/>
      <c r="ADF3" s="765"/>
      <c r="ADG3" s="765"/>
      <c r="ADH3" s="765"/>
      <c r="ADI3" s="765"/>
      <c r="ADJ3" s="765"/>
      <c r="ADK3" s="765"/>
      <c r="ADL3" s="765"/>
      <c r="ADM3" s="765"/>
      <c r="ADN3" s="765"/>
      <c r="ADO3" s="765"/>
      <c r="ADP3" s="765"/>
      <c r="ADQ3" s="765"/>
      <c r="ADR3" s="765"/>
      <c r="ADS3" s="765"/>
      <c r="ADT3" s="765"/>
      <c r="ADU3" s="765"/>
      <c r="ADV3" s="765"/>
      <c r="ADW3" s="765"/>
      <c r="ADX3" s="765"/>
      <c r="ADY3" s="765"/>
      <c r="ADZ3" s="765"/>
      <c r="AEA3" s="765"/>
      <c r="AEB3" s="765"/>
      <c r="AEC3" s="765"/>
      <c r="AED3" s="765"/>
      <c r="AEE3" s="765"/>
      <c r="AEF3" s="765"/>
      <c r="AEG3" s="765"/>
      <c r="AEH3" s="765"/>
      <c r="AEI3" s="765"/>
      <c r="AEJ3" s="765"/>
      <c r="AEK3" s="765"/>
      <c r="AEL3" s="765"/>
      <c r="AEM3" s="765"/>
      <c r="AEN3" s="765"/>
      <c r="AEO3" s="765"/>
      <c r="AEP3" s="765"/>
      <c r="AEQ3" s="765"/>
      <c r="AER3" s="765"/>
      <c r="AES3" s="765"/>
      <c r="AET3" s="765"/>
      <c r="AEU3" s="765"/>
      <c r="AEV3" s="765"/>
      <c r="AEW3" s="765"/>
      <c r="AEX3" s="765"/>
      <c r="AEY3" s="765"/>
      <c r="AEZ3" s="765"/>
      <c r="AFA3" s="765"/>
      <c r="AFB3" s="765"/>
      <c r="AFC3" s="765"/>
      <c r="AFD3" s="765"/>
      <c r="AFE3" s="765"/>
      <c r="AFF3" s="765"/>
      <c r="AFG3" s="765"/>
      <c r="AFH3" s="765"/>
      <c r="AFI3" s="765"/>
      <c r="AFJ3" s="765"/>
      <c r="AFK3" s="765"/>
      <c r="AFL3" s="765"/>
      <c r="AFM3" s="765"/>
      <c r="AFN3" s="765"/>
      <c r="AFO3" s="765"/>
      <c r="AFP3" s="765"/>
      <c r="AFQ3" s="765"/>
      <c r="AFR3" s="765"/>
      <c r="AFS3" s="765"/>
      <c r="AFT3" s="765"/>
      <c r="AFU3" s="765"/>
      <c r="AFV3" s="765"/>
      <c r="AFW3" s="765"/>
      <c r="AFX3" s="765"/>
      <c r="AFY3" s="765"/>
      <c r="AFZ3" s="765"/>
      <c r="AGA3" s="765"/>
      <c r="AGB3" s="765"/>
      <c r="AGC3" s="765"/>
      <c r="AGD3" s="765"/>
      <c r="AGE3" s="765"/>
      <c r="AGF3" s="765"/>
      <c r="AGG3" s="765"/>
      <c r="AGH3" s="765"/>
      <c r="AGI3" s="765"/>
      <c r="AGJ3" s="765"/>
      <c r="AGK3" s="765"/>
      <c r="AGL3" s="765"/>
      <c r="AGM3" s="765"/>
      <c r="AGN3" s="765"/>
      <c r="AGO3" s="765"/>
      <c r="AGP3" s="765"/>
      <c r="AGQ3" s="765"/>
      <c r="AGR3" s="765"/>
      <c r="AGS3" s="765"/>
      <c r="AGT3" s="765"/>
      <c r="AGU3" s="765"/>
      <c r="AGV3" s="765"/>
      <c r="AGW3" s="765"/>
      <c r="AGX3" s="765"/>
      <c r="AGY3" s="765"/>
      <c r="AGZ3" s="765"/>
      <c r="AHA3" s="765"/>
      <c r="AHB3" s="765"/>
      <c r="AHC3" s="765"/>
      <c r="AHD3" s="765"/>
      <c r="AHE3" s="765"/>
      <c r="AHF3" s="765"/>
      <c r="AHG3" s="765"/>
      <c r="AHH3" s="765"/>
      <c r="AHI3" s="765"/>
      <c r="AHJ3" s="765"/>
      <c r="AHK3" s="765"/>
      <c r="AHL3" s="765"/>
      <c r="AHM3" s="765"/>
      <c r="AHN3" s="765"/>
      <c r="AHO3" s="765"/>
      <c r="AHP3" s="765"/>
      <c r="AHQ3" s="765"/>
      <c r="AHR3" s="765"/>
      <c r="AHS3" s="765"/>
      <c r="AHT3" s="765"/>
      <c r="AHU3" s="765"/>
      <c r="AHV3" s="765"/>
      <c r="AHW3" s="765"/>
      <c r="AHX3" s="765"/>
      <c r="AHY3" s="765"/>
      <c r="AHZ3" s="765"/>
      <c r="AIA3" s="765"/>
      <c r="AIB3" s="765"/>
      <c r="AIC3" s="765"/>
      <c r="AID3" s="765"/>
      <c r="AIE3" s="765"/>
      <c r="AIF3" s="765"/>
      <c r="AIG3" s="765"/>
      <c r="AIH3" s="765"/>
      <c r="AII3" s="765"/>
      <c r="AIJ3" s="765"/>
      <c r="AIK3" s="765"/>
      <c r="AIL3" s="765"/>
      <c r="AIM3" s="765"/>
      <c r="AIN3" s="765"/>
      <c r="AIO3" s="765"/>
      <c r="AIP3" s="765"/>
      <c r="AIQ3" s="765"/>
      <c r="AIR3" s="765"/>
      <c r="AIS3" s="765"/>
      <c r="AIT3" s="765"/>
      <c r="AIU3" s="765"/>
      <c r="AIV3" s="765"/>
      <c r="AIW3" s="765"/>
      <c r="AIX3" s="765"/>
      <c r="AIY3" s="765"/>
      <c r="AIZ3" s="765"/>
      <c r="AJA3" s="765"/>
      <c r="AJB3" s="765"/>
      <c r="AJC3" s="765"/>
      <c r="AJD3" s="765"/>
      <c r="AJE3" s="765"/>
      <c r="AJF3" s="765"/>
      <c r="AJG3" s="765"/>
      <c r="AJH3" s="765"/>
      <c r="AJI3" s="765"/>
      <c r="AJJ3" s="765"/>
      <c r="AJK3" s="765"/>
      <c r="AJL3" s="765"/>
      <c r="AJM3" s="765"/>
      <c r="AJN3" s="765"/>
      <c r="AJO3" s="765"/>
      <c r="AJP3" s="765"/>
      <c r="AJQ3" s="765"/>
      <c r="AJR3" s="765"/>
      <c r="AJS3" s="765"/>
      <c r="AJT3" s="765"/>
      <c r="AJU3" s="765"/>
      <c r="AJV3" s="765"/>
      <c r="AJW3" s="765"/>
      <c r="AJX3" s="765"/>
      <c r="AJY3" s="765"/>
      <c r="AJZ3" s="765"/>
      <c r="AKA3" s="765"/>
      <c r="AKB3" s="765"/>
      <c r="AKC3" s="765"/>
      <c r="AKD3" s="765"/>
      <c r="AKE3" s="765"/>
      <c r="AKF3" s="765"/>
      <c r="AKG3" s="765"/>
      <c r="AKH3" s="765"/>
      <c r="AKI3" s="765"/>
      <c r="AKJ3" s="765"/>
      <c r="AKK3" s="765"/>
      <c r="AKL3" s="765"/>
      <c r="AKM3" s="765"/>
      <c r="AKN3" s="765"/>
      <c r="AKO3" s="765"/>
      <c r="AKP3" s="765"/>
      <c r="AKQ3" s="765"/>
      <c r="AKR3" s="765"/>
      <c r="AKS3" s="765"/>
      <c r="AKT3" s="765"/>
      <c r="AKU3" s="765"/>
      <c r="AKV3" s="765"/>
      <c r="AKW3" s="765"/>
      <c r="AKX3" s="765"/>
      <c r="AKY3" s="765"/>
      <c r="AKZ3" s="765"/>
      <c r="ALA3" s="765"/>
      <c r="ALB3" s="765"/>
      <c r="ALC3" s="765"/>
      <c r="ALD3" s="765"/>
      <c r="ALE3" s="765"/>
      <c r="ALF3" s="765"/>
      <c r="ALG3" s="765"/>
    </row>
    <row r="4" spans="1:995" ht="25.5">
      <c r="A4" s="1393"/>
      <c r="B4" s="689"/>
      <c r="C4" s="689"/>
      <c r="D4" s="954"/>
      <c r="E4" s="935"/>
      <c r="F4" s="600"/>
      <c r="G4" s="600"/>
      <c r="H4" s="223"/>
      <c r="I4" s="600"/>
      <c r="J4" s="600"/>
      <c r="K4" s="600"/>
      <c r="L4" s="600"/>
      <c r="M4" s="224"/>
      <c r="N4" s="966" t="str">
        <f>'Summary (new)2'!G22</f>
        <v>Week 32  ((23-29)-08-07)</v>
      </c>
      <c r="O4" s="88"/>
      <c r="P4" s="1394"/>
    </row>
    <row r="5" spans="1:995" s="225" customFormat="1" ht="21" thickBot="1">
      <c r="A5" s="1395"/>
      <c r="B5" s="690"/>
      <c r="C5" s="690"/>
      <c r="D5" s="955"/>
      <c r="E5" s="936"/>
      <c r="F5" s="607"/>
      <c r="G5" s="607"/>
      <c r="H5" s="608"/>
      <c r="I5" s="227"/>
      <c r="J5" s="227"/>
      <c r="K5" s="227"/>
      <c r="L5" s="227"/>
      <c r="M5" s="609"/>
      <c r="N5" s="1986"/>
      <c r="O5" s="1986"/>
      <c r="P5" s="1396"/>
    </row>
    <row r="6" spans="1:995" s="226" customFormat="1" ht="29.25" customHeight="1" thickTop="1">
      <c r="A6" s="1995" t="s">
        <v>232</v>
      </c>
      <c r="B6" s="1987" t="s">
        <v>264</v>
      </c>
      <c r="C6" s="1987"/>
      <c r="D6" s="1989" t="s">
        <v>5</v>
      </c>
      <c r="E6" s="1991" t="s">
        <v>228</v>
      </c>
      <c r="F6" s="767" t="s">
        <v>265</v>
      </c>
      <c r="G6" s="768" t="s">
        <v>266</v>
      </c>
      <c r="H6" s="768" t="s">
        <v>268</v>
      </c>
      <c r="I6" s="768" t="s">
        <v>267</v>
      </c>
      <c r="J6" s="767" t="s">
        <v>269</v>
      </c>
      <c r="K6" s="768" t="s">
        <v>270</v>
      </c>
      <c r="L6" s="768" t="s">
        <v>717</v>
      </c>
      <c r="M6" s="1993" t="s">
        <v>230</v>
      </c>
      <c r="N6" s="1993"/>
      <c r="O6" s="1993" t="s">
        <v>231</v>
      </c>
      <c r="P6" s="1994"/>
    </row>
    <row r="7" spans="1:995" s="225" customFormat="1" ht="54" customHeight="1">
      <c r="A7" s="1996"/>
      <c r="B7" s="1988"/>
      <c r="C7" s="1988"/>
      <c r="D7" s="1990"/>
      <c r="E7" s="1992"/>
      <c r="F7" s="769" t="str">
        <f>'[8]D M S'!$M$5</f>
        <v>Day-1    23/08/07</v>
      </c>
      <c r="G7" s="769" t="str">
        <f>'[2]D M S'!$M$5</f>
        <v>Day-2   24/08/07</v>
      </c>
      <c r="H7" s="769" t="str">
        <f>'[3]D M S'!$M$5</f>
        <v>Day-3 25/08/07</v>
      </c>
      <c r="I7" s="769" t="str">
        <f>'[9]D M S'!$M$5</f>
        <v>Day-4 26/08/07</v>
      </c>
      <c r="J7" s="769" t="str">
        <f>'[5]D M S'!$M$5</f>
        <v>Day-5 27/08/07</v>
      </c>
      <c r="K7" s="769" t="str">
        <f>'[6]D M S'!$M$5</f>
        <v>Day-6 28/08/07</v>
      </c>
      <c r="L7" s="769" t="str">
        <f>'[7]D M S'!$M$5</f>
        <v>Day-7 29/08/07</v>
      </c>
      <c r="M7" s="879" t="s">
        <v>233</v>
      </c>
      <c r="N7" s="1377" t="s">
        <v>234</v>
      </c>
      <c r="O7" s="879" t="s">
        <v>233</v>
      </c>
      <c r="P7" s="1397" t="s">
        <v>234</v>
      </c>
    </row>
    <row r="8" spans="1:995" s="225" customFormat="1" ht="37.5" customHeight="1">
      <c r="A8" s="1976" t="s">
        <v>236</v>
      </c>
      <c r="B8" s="1977"/>
      <c r="C8" s="1977"/>
      <c r="D8" s="956"/>
      <c r="E8" s="937"/>
      <c r="F8" s="743"/>
      <c r="G8" s="743"/>
      <c r="H8" s="743"/>
      <c r="I8" s="743"/>
      <c r="J8" s="743"/>
      <c r="K8" s="743"/>
      <c r="L8" s="743"/>
      <c r="M8" s="764"/>
      <c r="N8" s="228"/>
      <c r="O8" s="744"/>
      <c r="P8" s="1398"/>
    </row>
    <row r="9" spans="1:995" s="225" customFormat="1" ht="33" customHeight="1">
      <c r="A9" s="1399">
        <v>1</v>
      </c>
      <c r="B9" s="1965" t="str">
        <f>'plan &amp; Unit price &amp; Direct cost'!B9:C9</f>
        <v>General</v>
      </c>
      <c r="C9" s="1965"/>
      <c r="D9" s="957" t="str">
        <f>'plan &amp; Unit price &amp; Direct cost'!D9</f>
        <v>ls</v>
      </c>
      <c r="E9" s="933">
        <f>11000/4</f>
        <v>2750</v>
      </c>
      <c r="F9" s="610">
        <f>'[8]Daily Progress Report '!$O9</f>
        <v>0</v>
      </c>
      <c r="G9" s="610">
        <f>'[2]Daily Progress Report '!$O9</f>
        <v>0</v>
      </c>
      <c r="H9" s="610">
        <f>'[3]Daily Progress Report '!$O9</f>
        <v>0</v>
      </c>
      <c r="I9" s="610">
        <f>'[9]Daily Progress Report'!$O9</f>
        <v>0</v>
      </c>
      <c r="J9" s="610">
        <f>'[5]Daily Progress Report '!$O9</f>
        <v>0</v>
      </c>
      <c r="K9" s="610">
        <f>'[6]Daily Progress Report '!$O9</f>
        <v>0</v>
      </c>
      <c r="L9" s="610">
        <f>'[7]Daily Progress Report '!$O9</f>
        <v>0</v>
      </c>
      <c r="M9" s="610">
        <v>1</v>
      </c>
      <c r="N9" s="610">
        <f>E9*M9</f>
        <v>2750</v>
      </c>
      <c r="O9" s="610">
        <f>SUM(F9:L9)</f>
        <v>0</v>
      </c>
      <c r="P9" s="1400">
        <f>E9</f>
        <v>2750</v>
      </c>
    </row>
    <row r="10" spans="1:995" s="225" customFormat="1" ht="27.75">
      <c r="A10" s="1399">
        <v>2</v>
      </c>
      <c r="B10" s="1965" t="str">
        <f>'plan &amp; Unit price &amp; Direct cost'!B10:C10</f>
        <v>Clearing &amp; Grubbing</v>
      </c>
      <c r="C10" s="1965"/>
      <c r="D10" s="957" t="str">
        <f>'plan &amp; Unit price &amp; Direct cost'!D10</f>
        <v>ha</v>
      </c>
      <c r="E10" s="933">
        <v>35000</v>
      </c>
      <c r="F10" s="610">
        <f>'[8]Daily Progress Report '!$O10</f>
        <v>0</v>
      </c>
      <c r="G10" s="610">
        <f>'[2]Daily Progress Report '!$O10</f>
        <v>0</v>
      </c>
      <c r="H10" s="610">
        <f>'[3]Daily Progress Report '!$O10</f>
        <v>0</v>
      </c>
      <c r="I10" s="610">
        <f>'[9]Daily Progress Report'!$O10</f>
        <v>0</v>
      </c>
      <c r="J10" s="610">
        <f>'[5]Daily Progress Report '!$O10</f>
        <v>0</v>
      </c>
      <c r="K10" s="610">
        <f>'[6]Daily Progress Report '!$O10</f>
        <v>0</v>
      </c>
      <c r="L10" s="610">
        <f>'[7]Daily Progress Report '!$O10</f>
        <v>0</v>
      </c>
      <c r="M10" s="610"/>
      <c r="N10" s="610">
        <f t="shared" ref="N10:N75" si="0">E10*M10</f>
        <v>0</v>
      </c>
      <c r="O10" s="610">
        <f t="shared" ref="O10:O122" si="1">SUM(F10:L10)</f>
        <v>0</v>
      </c>
      <c r="P10" s="1400">
        <f t="shared" ref="P10:P17" si="2">E10*O10</f>
        <v>0</v>
      </c>
    </row>
    <row r="11" spans="1:995" s="225" customFormat="1" ht="27.75">
      <c r="A11" s="1399"/>
      <c r="B11" s="1978" t="str">
        <f>'Direct cost summary '!B19</f>
        <v>Subgrade  Preparation</v>
      </c>
      <c r="C11" s="1979"/>
      <c r="D11" s="957" t="s">
        <v>78</v>
      </c>
      <c r="E11" s="933">
        <v>20</v>
      </c>
      <c r="F11" s="610">
        <f>'[8]Daily Progress Report '!$O11</f>
        <v>220</v>
      </c>
      <c r="G11" s="610">
        <f>'[2]Daily Progress Report '!$G$11</f>
        <v>1125</v>
      </c>
      <c r="H11" s="610">
        <f>'[3]Daily Progress Report '!$H$11</f>
        <v>0</v>
      </c>
      <c r="I11" s="610">
        <f>'[9]Daily Progress Report'!$O11</f>
        <v>545</v>
      </c>
      <c r="J11" s="610">
        <f>'[5]Daily Progress Report '!$J$11</f>
        <v>200</v>
      </c>
      <c r="K11" s="610">
        <f>'[6]Daily Progress Report '!$K$11</f>
        <v>0</v>
      </c>
      <c r="L11" s="610">
        <f>'[7]Daily Progress Report '!$L$11</f>
        <v>125</v>
      </c>
      <c r="M11" s="610">
        <f>O11*1.05</f>
        <v>2325.75</v>
      </c>
      <c r="N11" s="610">
        <f t="shared" si="0"/>
        <v>46515</v>
      </c>
      <c r="O11" s="610">
        <f>SUM(F11:L11)</f>
        <v>2215</v>
      </c>
      <c r="P11" s="1400">
        <f>O11*E11</f>
        <v>44300</v>
      </c>
    </row>
    <row r="12" spans="1:995" s="225" customFormat="1" ht="39" customHeight="1">
      <c r="A12" s="1399">
        <v>3</v>
      </c>
      <c r="B12" s="1965" t="s">
        <v>27</v>
      </c>
      <c r="C12" s="1965"/>
      <c r="D12" s="957" t="str">
        <f>'plan &amp; Unit price &amp; Direct cost'!D12</f>
        <v>m3</v>
      </c>
      <c r="E12" s="933">
        <v>34.71</v>
      </c>
      <c r="F12" s="610">
        <f>'[8]Daily Progress Report '!$O12</f>
        <v>650</v>
      </c>
      <c r="G12" s="610">
        <f>'[2]Daily Progress Report '!$O12</f>
        <v>0</v>
      </c>
      <c r="H12" s="610">
        <f>'[3]Daily Progress Report '!$O12</f>
        <v>0</v>
      </c>
      <c r="I12" s="610">
        <f>'[9]Daily Progress Report'!$O12</f>
        <v>0</v>
      </c>
      <c r="J12" s="610">
        <f>'[5]Daily Progress Report '!$O12</f>
        <v>0</v>
      </c>
      <c r="K12" s="610">
        <f>'[6]Daily Progress Report '!$O12</f>
        <v>0</v>
      </c>
      <c r="L12" s="610">
        <f>'[7]Daily Progress Report '!$O12</f>
        <v>458</v>
      </c>
      <c r="M12" s="610">
        <f>O12*1.1</f>
        <v>1218.8000000000002</v>
      </c>
      <c r="N12" s="610">
        <f t="shared" si="0"/>
        <v>42304.54800000001</v>
      </c>
      <c r="O12" s="610">
        <f t="shared" si="1"/>
        <v>1108</v>
      </c>
      <c r="P12" s="1400">
        <f t="shared" si="2"/>
        <v>38458.68</v>
      </c>
    </row>
    <row r="13" spans="1:995" s="225" customFormat="1" ht="54.75" customHeight="1">
      <c r="A13" s="1399">
        <v>4</v>
      </c>
      <c r="B13" s="1965" t="str">
        <f>'plan &amp; Unit price &amp; Direct cost'!B12:C12</f>
        <v>Extra over itemm 42.01 for common(Normal)excavation to spoil</v>
      </c>
      <c r="C13" s="1965"/>
      <c r="D13" s="957" t="str">
        <f>'plan &amp; Unit price &amp; Direct cost'!D12</f>
        <v>m3</v>
      </c>
      <c r="E13" s="938">
        <f>'plan &amp; Unit price &amp; Direct cost'!E12</f>
        <v>0</v>
      </c>
      <c r="F13" s="610">
        <f>'[8]Daily Progress Report '!$O13</f>
        <v>0</v>
      </c>
      <c r="G13" s="610">
        <f>'[2]Daily Progress Report '!$O13</f>
        <v>0</v>
      </c>
      <c r="H13" s="610">
        <f>'[3]Daily Progress Report '!$O13</f>
        <v>0</v>
      </c>
      <c r="I13" s="610">
        <f>'[9]Daily Progress Report'!$O13</f>
        <v>0</v>
      </c>
      <c r="J13" s="610">
        <f>'[5]Daily Progress Report '!$O13</f>
        <v>0</v>
      </c>
      <c r="K13" s="610">
        <f>'[6]Daily Progress Report '!$O13</f>
        <v>0</v>
      </c>
      <c r="L13" s="610">
        <f>'[7]Daily Progress Report '!$O13</f>
        <v>0</v>
      </c>
      <c r="M13" s="610"/>
      <c r="N13" s="610">
        <f t="shared" si="0"/>
        <v>0</v>
      </c>
      <c r="O13" s="610">
        <f t="shared" si="1"/>
        <v>0</v>
      </c>
      <c r="P13" s="1400">
        <f t="shared" si="2"/>
        <v>0</v>
      </c>
    </row>
    <row r="14" spans="1:995" s="225" customFormat="1" ht="40.5" customHeight="1">
      <c r="A14" s="1399">
        <v>4</v>
      </c>
      <c r="B14" s="1965" t="str">
        <f>'plan &amp; Unit price &amp; Direct cost'!B13:C13</f>
        <v>Fine Grading by embankment/borrow</v>
      </c>
      <c r="C14" s="1965"/>
      <c r="D14" s="957" t="str">
        <f>'plan &amp; Unit price &amp; Direct cost'!D13</f>
        <v>m3</v>
      </c>
      <c r="E14" s="933">
        <f>'plan &amp; Unit price &amp; Direct cost'!E13</f>
        <v>13.35</v>
      </c>
      <c r="F14" s="610">
        <f>'[8]Daily Progress Report '!$O14</f>
        <v>0</v>
      </c>
      <c r="G14" s="610">
        <f>'[2]Daily Progress Report '!$O14</f>
        <v>0</v>
      </c>
      <c r="H14" s="610">
        <f>'[3]Daily Progress Report '!$O14</f>
        <v>0</v>
      </c>
      <c r="I14" s="610">
        <f>'[9]Daily Progress Report'!$O14</f>
        <v>0</v>
      </c>
      <c r="J14" s="610">
        <f>'[5]Daily Progress Report '!$O14</f>
        <v>0</v>
      </c>
      <c r="K14" s="610">
        <f>'[6]Daily Progress Report '!$O14</f>
        <v>0</v>
      </c>
      <c r="L14" s="610">
        <f>'[7]Daily Progress Report '!$O14</f>
        <v>0</v>
      </c>
      <c r="M14" s="610"/>
      <c r="N14" s="610">
        <f t="shared" si="0"/>
        <v>0</v>
      </c>
      <c r="O14" s="610">
        <f t="shared" si="1"/>
        <v>0</v>
      </c>
      <c r="P14" s="1400">
        <f t="shared" si="2"/>
        <v>0</v>
      </c>
    </row>
    <row r="15" spans="1:995" s="225" customFormat="1" ht="27.75">
      <c r="A15" s="1399">
        <v>5</v>
      </c>
      <c r="B15" s="1965" t="str">
        <f>'Direct cost summary '!B29</f>
        <v>Capping Placing(G20)</v>
      </c>
      <c r="C15" s="1965"/>
      <c r="D15" s="957" t="str">
        <f>'plan &amp; Unit price &amp; Direct cost'!D14</f>
        <v>m3</v>
      </c>
      <c r="E15" s="933">
        <f>'Direct cost summary '!J29</f>
        <v>46.800000000000004</v>
      </c>
      <c r="F15" s="610">
        <f>'[8]Daily Progress Report '!$O15</f>
        <v>0</v>
      </c>
      <c r="G15" s="610">
        <f>'[2]Daily Progress Report '!$O15</f>
        <v>0</v>
      </c>
      <c r="H15" s="610">
        <f>'[3]Daily Progress Report '!$O15</f>
        <v>0</v>
      </c>
      <c r="I15" s="610">
        <f>'[9]Daily Progress Report'!$O15</f>
        <v>0</v>
      </c>
      <c r="J15" s="610">
        <f>'[5]Daily Progress Report '!$O15</f>
        <v>297</v>
      </c>
      <c r="K15" s="610">
        <f>'[6]Daily Progress Report '!$O15</f>
        <v>0</v>
      </c>
      <c r="L15" s="610">
        <f>'[7]Daily Progress Report '!$O15</f>
        <v>0</v>
      </c>
      <c r="M15" s="610">
        <f>O15*1.1</f>
        <v>326.70000000000005</v>
      </c>
      <c r="N15" s="610">
        <f t="shared" si="0"/>
        <v>15289.560000000003</v>
      </c>
      <c r="O15" s="610">
        <f t="shared" si="1"/>
        <v>297</v>
      </c>
      <c r="P15" s="1400">
        <f t="shared" si="2"/>
        <v>13899.6</v>
      </c>
    </row>
    <row r="16" spans="1:995" s="225" customFormat="1" ht="27.75">
      <c r="A16" s="1399">
        <v>6</v>
      </c>
      <c r="B16" s="1965" t="str">
        <f>'plan &amp; Unit price &amp; Direct cost'!B15:C15</f>
        <v>Fine Grading-Capping(G20)</v>
      </c>
      <c r="C16" s="1965"/>
      <c r="D16" s="957" t="str">
        <f>'plan &amp; Unit price &amp; Direct cost'!D15</f>
        <v>m3</v>
      </c>
      <c r="E16" s="933">
        <f>'plan &amp; Unit price &amp; Direct cost'!E15</f>
        <v>5.8500000000000005</v>
      </c>
      <c r="F16" s="610">
        <f>'[8]Daily Progress Report '!$O16</f>
        <v>0</v>
      </c>
      <c r="G16" s="610">
        <f>'[2]Daily Progress Report '!$O16</f>
        <v>0</v>
      </c>
      <c r="H16" s="610">
        <f>'[3]Daily Progress Report '!$O16</f>
        <v>0</v>
      </c>
      <c r="I16" s="610">
        <f>'[9]Daily Progress Report'!$O16</f>
        <v>0</v>
      </c>
      <c r="J16" s="610">
        <f>'[5]Daily Progress Report '!$O16</f>
        <v>0</v>
      </c>
      <c r="K16" s="610">
        <f>'[6]Daily Progress Report '!$O16</f>
        <v>0</v>
      </c>
      <c r="L16" s="610">
        <f>'[7]Daily Progress Report '!$O16</f>
        <v>0</v>
      </c>
      <c r="M16" s="610"/>
      <c r="N16" s="610">
        <f t="shared" si="0"/>
        <v>0</v>
      </c>
      <c r="O16" s="610">
        <f t="shared" si="1"/>
        <v>0</v>
      </c>
      <c r="P16" s="1400">
        <f t="shared" si="2"/>
        <v>0</v>
      </c>
    </row>
    <row r="17" spans="1:16" s="225" customFormat="1" ht="27.75">
      <c r="A17" s="1399">
        <v>7</v>
      </c>
      <c r="B17" s="1965" t="str">
        <f>'Direct cost summary '!B34</f>
        <v>Capping Placing(G7)</v>
      </c>
      <c r="C17" s="1965"/>
      <c r="D17" s="957" t="str">
        <f>'plan &amp; Unit price &amp; Direct cost'!D16</f>
        <v>m3</v>
      </c>
      <c r="E17" s="933">
        <f>'Direct cost summary '!J34</f>
        <v>46</v>
      </c>
      <c r="F17" s="610">
        <f>'[8]Daily Progress Report '!$O17</f>
        <v>0</v>
      </c>
      <c r="G17" s="610">
        <f>'[2]Daily Progress Report '!$O17</f>
        <v>0</v>
      </c>
      <c r="H17" s="610">
        <f>'[3]Daily Progress Report '!$O17</f>
        <v>0</v>
      </c>
      <c r="I17" s="610">
        <f>'[9]Daily Progress Report'!$O17</f>
        <v>0</v>
      </c>
      <c r="J17" s="610">
        <f>'[5]Daily Progress Report '!$O17</f>
        <v>0</v>
      </c>
      <c r="K17" s="610">
        <f>'[6]Daily Progress Report '!$O17</f>
        <v>0</v>
      </c>
      <c r="L17" s="610">
        <f>'[7]Daily Progress Report '!$O17</f>
        <v>400</v>
      </c>
      <c r="M17" s="610">
        <f>O17*1.15</f>
        <v>459.99999999999994</v>
      </c>
      <c r="N17" s="610">
        <f t="shared" si="0"/>
        <v>21159.999999999996</v>
      </c>
      <c r="O17" s="610">
        <f t="shared" si="1"/>
        <v>400</v>
      </c>
      <c r="P17" s="1400">
        <f t="shared" si="2"/>
        <v>18400</v>
      </c>
    </row>
    <row r="18" spans="1:16" s="225" customFormat="1" ht="27.75">
      <c r="A18" s="1399">
        <v>8</v>
      </c>
      <c r="B18" s="1965" t="str">
        <f>'Direct cost summary '!B35</f>
        <v>Fine Grading-Capping(G7)</v>
      </c>
      <c r="C18" s="1965"/>
      <c r="D18" s="957" t="s">
        <v>273</v>
      </c>
      <c r="E18" s="933">
        <f>'Direct cost summary '!J35</f>
        <v>5.75</v>
      </c>
      <c r="F18" s="610">
        <f>'[8]Daily Progress Report '!$O18</f>
        <v>0</v>
      </c>
      <c r="G18" s="610">
        <f>'[2]Daily Progress Report '!$O18</f>
        <v>0</v>
      </c>
      <c r="H18" s="610">
        <f>'[3]Daily Progress Report '!$O18</f>
        <v>0</v>
      </c>
      <c r="I18" s="610">
        <f>'[9]Daily Progress Report'!$O18</f>
        <v>0</v>
      </c>
      <c r="J18" s="610">
        <f>'[5]Daily Progress Report '!$O18</f>
        <v>0</v>
      </c>
      <c r="K18" s="610">
        <f>'[6]Daily Progress Report '!$O18</f>
        <v>0</v>
      </c>
      <c r="L18" s="610">
        <f>'[7]Daily Progress Report '!$O18</f>
        <v>0</v>
      </c>
      <c r="M18" s="610"/>
      <c r="N18" s="610">
        <f t="shared" si="0"/>
        <v>0</v>
      </c>
      <c r="O18" s="610">
        <f t="shared" ref="O18" si="3">SUM(F18:L18)</f>
        <v>0</v>
      </c>
      <c r="P18" s="1400">
        <f t="shared" ref="P18" si="4">E18*O18</f>
        <v>0</v>
      </c>
    </row>
    <row r="19" spans="1:16" s="225" customFormat="1">
      <c r="A19" s="1401" t="str">
        <f>'Direct cost summary '!A20</f>
        <v>42.03(a)</v>
      </c>
      <c r="B19" s="1975" t="str">
        <f>'Direct cost summary '!B20</f>
        <v>Cut to spoil</v>
      </c>
      <c r="C19" s="1975"/>
      <c r="D19" s="957"/>
      <c r="E19" s="933"/>
      <c r="F19" s="610">
        <f>'[1]Daily Progress Report '!$O19</f>
        <v>0</v>
      </c>
      <c r="G19" s="610">
        <f>'[2]Daily Progress Report '!$O19</f>
        <v>0</v>
      </c>
      <c r="H19" s="610">
        <f>'[3]Daily Progress Report '!$O19</f>
        <v>0</v>
      </c>
      <c r="I19" s="610">
        <f>'[9]Daily Progress Report'!$O19</f>
        <v>0</v>
      </c>
      <c r="J19" s="610">
        <f>'[5]Daily Progress Report '!$O19</f>
        <v>0</v>
      </c>
      <c r="K19" s="610">
        <f>'[6]Daily Progress Report '!$O19</f>
        <v>0</v>
      </c>
      <c r="L19" s="610">
        <f>'[7]Daily Progress Report '!$O19</f>
        <v>0</v>
      </c>
      <c r="M19" s="610"/>
      <c r="N19" s="610">
        <f t="shared" si="0"/>
        <v>0</v>
      </c>
      <c r="O19" s="610">
        <f t="shared" ref="O19" si="5">SUM(F19:L19)</f>
        <v>0</v>
      </c>
      <c r="P19" s="1400">
        <f t="shared" ref="P19" si="6">E19*O19</f>
        <v>0</v>
      </c>
    </row>
    <row r="20" spans="1:16" s="760" customFormat="1" ht="80.25" customHeight="1">
      <c r="A20" s="1402">
        <v>1</v>
      </c>
      <c r="B20" s="1973" t="str">
        <f>'Direct cost summary '!B21</f>
        <v>Extra over itemm 42.01 for common(Normal)excavation to spoil</v>
      </c>
      <c r="C20" s="1973"/>
      <c r="D20" s="958" t="s">
        <v>273</v>
      </c>
      <c r="E20" s="932">
        <f>'Direct cost summary '!J21</f>
        <v>88</v>
      </c>
      <c r="F20" s="759">
        <f>'[8]Daily Progress Report '!$O20</f>
        <v>2755</v>
      </c>
      <c r="G20" s="759">
        <f>'[2]Daily Progress Report '!$O20</f>
        <v>2350</v>
      </c>
      <c r="H20" s="759">
        <f>'[3]Daily Progress Report '!$O20</f>
        <v>0</v>
      </c>
      <c r="I20" s="759">
        <f>'[9]Daily Progress Report'!$O20</f>
        <v>2352</v>
      </c>
      <c r="J20" s="759">
        <f>'[5]Daily Progress Report '!$O20</f>
        <v>1545</v>
      </c>
      <c r="K20" s="759">
        <f>'[6]Daily Progress Report '!$O20</f>
        <v>1690</v>
      </c>
      <c r="L20" s="759">
        <f>'[7]Daily Progress Report '!$O20</f>
        <v>1585</v>
      </c>
      <c r="M20" s="759">
        <f>(('D M S'!M7+'D M S'!M10+'D M S'!M13)-7.67)*100</f>
        <v>22281.000000000004</v>
      </c>
      <c r="N20" s="759">
        <f>E20*M20</f>
        <v>1960728.0000000002</v>
      </c>
      <c r="O20" s="759">
        <f>SUM(F20:L20)</f>
        <v>12277</v>
      </c>
      <c r="P20" s="1403">
        <f>E20*O20</f>
        <v>1080376</v>
      </c>
    </row>
    <row r="21" spans="1:16" s="225" customFormat="1" ht="56.25" customHeight="1">
      <c r="A21" s="1399">
        <v>2</v>
      </c>
      <c r="B21" s="1965" t="str">
        <f>'Direct cost summary '!B23</f>
        <v>Extra over itemm 42.01 for intermediate materials excavation to spoil</v>
      </c>
      <c r="C21" s="1965"/>
      <c r="D21" s="957" t="s">
        <v>273</v>
      </c>
      <c r="E21" s="933">
        <f>'Direct cost summary '!J23</f>
        <v>99</v>
      </c>
      <c r="F21" s="759">
        <f>'[8]Daily Progress Report '!$O21</f>
        <v>0</v>
      </c>
      <c r="G21" s="610">
        <f>'[2]Daily Progress Report '!$O21</f>
        <v>300</v>
      </c>
      <c r="H21" s="610">
        <f>'[3]Daily Progress Report '!$O21</f>
        <v>0</v>
      </c>
      <c r="I21" s="759">
        <f>'[9]Daily Progress Report'!$O21</f>
        <v>300</v>
      </c>
      <c r="J21" s="610">
        <f>'[5]Daily Progress Report '!$O21</f>
        <v>160</v>
      </c>
      <c r="K21" s="610">
        <f>'[6]Daily Progress Report '!$O21</f>
        <v>160</v>
      </c>
      <c r="L21" s="610">
        <f>'[7]Daily Progress Report '!$O21</f>
        <v>100</v>
      </c>
      <c r="M21" s="610"/>
      <c r="N21" s="610">
        <f t="shared" si="0"/>
        <v>0</v>
      </c>
      <c r="O21" s="610">
        <f t="shared" ref="O21:O22" si="7">SUM(F21:L21)</f>
        <v>1020</v>
      </c>
      <c r="P21" s="1400">
        <f t="shared" ref="P21:P22" si="8">E21*O21</f>
        <v>100980</v>
      </c>
    </row>
    <row r="22" spans="1:16" s="225" customFormat="1" ht="80.25" customHeight="1">
      <c r="A22" s="1404">
        <v>3</v>
      </c>
      <c r="B22" s="1974" t="str">
        <f>'Direct cost summary '!B25</f>
        <v>Extra over itemm 42.01 for excavating and breaking in rock(hard material)excavation to spoil</v>
      </c>
      <c r="C22" s="1974"/>
      <c r="D22" s="959" t="s">
        <v>273</v>
      </c>
      <c r="E22" s="934">
        <f>'Direct cost summary '!J25</f>
        <v>119</v>
      </c>
      <c r="F22" s="759">
        <f>'[8]Daily Progress Report '!$O22</f>
        <v>0</v>
      </c>
      <c r="G22" s="750">
        <f>'[2]Daily Progress Report '!$O22</f>
        <v>0</v>
      </c>
      <c r="H22" s="750">
        <f>'[3]Daily Progress Report '!$O22</f>
        <v>0</v>
      </c>
      <c r="I22" s="759">
        <f>'[9]Daily Progress Report'!$O22</f>
        <v>0</v>
      </c>
      <c r="J22" s="750">
        <f>'[5]Daily Progress Report '!$O22</f>
        <v>0</v>
      </c>
      <c r="K22" s="750">
        <f>'[6]Daily Progress Report '!$O22</f>
        <v>0</v>
      </c>
      <c r="L22" s="750">
        <f>'[7]Daily Progress Report '!$O22</f>
        <v>0</v>
      </c>
      <c r="M22" s="750"/>
      <c r="N22" s="750">
        <f t="shared" si="0"/>
        <v>0</v>
      </c>
      <c r="O22" s="750">
        <f t="shared" si="7"/>
        <v>0</v>
      </c>
      <c r="P22" s="1405">
        <f t="shared" si="8"/>
        <v>0</v>
      </c>
    </row>
    <row r="23" spans="1:16" s="230" customFormat="1" ht="27">
      <c r="A23" s="1966" t="s">
        <v>193</v>
      </c>
      <c r="B23" s="1967"/>
      <c r="C23" s="1967"/>
      <c r="D23" s="957"/>
      <c r="E23" s="938"/>
      <c r="F23" s="610">
        <f>'[1]Daily Progress Report '!$O23</f>
        <v>0</v>
      </c>
      <c r="G23" s="610">
        <f>'[2]Daily Progress Report '!$O23</f>
        <v>0</v>
      </c>
      <c r="H23" s="610">
        <f>'[3]Daily Progress Report '!$O23</f>
        <v>0</v>
      </c>
      <c r="I23" s="610">
        <f>'[4]Daily Progress Report'!$O23</f>
        <v>0</v>
      </c>
      <c r="J23" s="610">
        <f>'[5]Daily Progress Report '!$O23</f>
        <v>0</v>
      </c>
      <c r="K23" s="610">
        <f>'[6]Daily Progress Report '!$O23</f>
        <v>0</v>
      </c>
      <c r="L23" s="610">
        <f>'[7]Daily Progress Report '!$O23</f>
        <v>0</v>
      </c>
      <c r="M23" s="610"/>
      <c r="N23" s="1386">
        <f>SUM(N9:N22)</f>
        <v>2088747.1080000002</v>
      </c>
      <c r="O23" s="610">
        <f t="shared" si="1"/>
        <v>0</v>
      </c>
      <c r="P23" s="1406">
        <f>SUM(P9:P22)</f>
        <v>1299164.28</v>
      </c>
    </row>
    <row r="24" spans="1:16" s="225" customFormat="1" ht="27">
      <c r="A24" s="1968" t="s">
        <v>585</v>
      </c>
      <c r="B24" s="1969"/>
      <c r="C24" s="1969"/>
      <c r="D24" s="960"/>
      <c r="E24" s="939"/>
      <c r="F24" s="751">
        <f>'[1]Daily Progress Report '!$O24</f>
        <v>0</v>
      </c>
      <c r="G24" s="751">
        <f>'[2]Daily Progress Report '!$O24</f>
        <v>0</v>
      </c>
      <c r="H24" s="751">
        <f>'[3]Daily Progress Report '!$O24</f>
        <v>0</v>
      </c>
      <c r="I24" s="751">
        <f>'[4]Daily Progress Report'!$O24</f>
        <v>0</v>
      </c>
      <c r="J24" s="751">
        <f>'[5]Daily Progress Report '!$O24</f>
        <v>0</v>
      </c>
      <c r="K24" s="751">
        <f>'[6]Daily Progress Report '!$O24</f>
        <v>0</v>
      </c>
      <c r="L24" s="751">
        <f>'[7]Daily Progress Report '!$O24</f>
        <v>0</v>
      </c>
      <c r="M24" s="751"/>
      <c r="N24" s="751">
        <f t="shared" si="0"/>
        <v>0</v>
      </c>
      <c r="O24" s="751">
        <f t="shared" si="1"/>
        <v>0</v>
      </c>
      <c r="P24" s="947"/>
    </row>
    <row r="25" spans="1:16" s="225" customFormat="1">
      <c r="A25" s="1401" t="str">
        <f>'plan &amp; Unit price &amp; Direct cost'!A19</f>
        <v>54.01(a)</v>
      </c>
      <c r="B25" s="1970" t="str">
        <f>'Direct cost summary '!B40</f>
        <v>Subbase Placing</v>
      </c>
      <c r="C25" s="1970"/>
      <c r="D25" s="957"/>
      <c r="E25" s="933">
        <f>'Direct cost summary '!J40</f>
        <v>84</v>
      </c>
      <c r="F25" s="610">
        <f>'[8]Daily Progress Report '!$O$25</f>
        <v>0</v>
      </c>
      <c r="G25" s="610">
        <f>'[8]Daily Progress Report '!$FO25</f>
        <v>0</v>
      </c>
      <c r="H25" s="610">
        <f>'[3]Daily Progress Report '!$O25</f>
        <v>0</v>
      </c>
      <c r="I25" s="610">
        <f>'[9]Daily Progress Report'!$O$25</f>
        <v>0</v>
      </c>
      <c r="J25" s="610">
        <f>'[5]Daily Progress Report '!$O25</f>
        <v>0</v>
      </c>
      <c r="K25" s="610">
        <f>'[6]Daily Progress Report '!$O25</f>
        <v>0</v>
      </c>
      <c r="L25" s="610">
        <f>'[7]Daily Progress Report '!$O25</f>
        <v>0</v>
      </c>
      <c r="M25" s="610"/>
      <c r="N25" s="610">
        <f t="shared" si="0"/>
        <v>0</v>
      </c>
      <c r="O25" s="610">
        <f t="shared" si="1"/>
        <v>0</v>
      </c>
      <c r="P25" s="1400">
        <f>E25*O25</f>
        <v>0</v>
      </c>
    </row>
    <row r="26" spans="1:16" s="230" customFormat="1" ht="27">
      <c r="A26" s="1971" t="s">
        <v>193</v>
      </c>
      <c r="B26" s="1972"/>
      <c r="C26" s="1972"/>
      <c r="D26" s="938"/>
      <c r="E26" s="938">
        <f>'plan &amp; Unit price &amp; Direct cost'!E20</f>
        <v>0</v>
      </c>
      <c r="F26" s="610">
        <f>'[1]Daily Progress Report '!$O26</f>
        <v>0</v>
      </c>
      <c r="G26" s="610">
        <f>'[2]Daily Progress Report '!$O26</f>
        <v>0</v>
      </c>
      <c r="H26" s="610">
        <f>'[3]Daily Progress Report '!$O26</f>
        <v>0</v>
      </c>
      <c r="I26" s="610">
        <f>'[4]Daily Progress Report'!$O26</f>
        <v>0</v>
      </c>
      <c r="J26" s="610">
        <f>'[5]Daily Progress Report '!$O26</f>
        <v>0</v>
      </c>
      <c r="K26" s="610">
        <f>'[6]Daily Progress Report '!$O26</f>
        <v>0</v>
      </c>
      <c r="L26" s="610">
        <f>'[7]Daily Progress Report '!$O26</f>
        <v>0</v>
      </c>
      <c r="M26" s="610"/>
      <c r="N26" s="610">
        <f>N25</f>
        <v>0</v>
      </c>
      <c r="O26" s="610">
        <f t="shared" si="1"/>
        <v>0</v>
      </c>
      <c r="P26" s="1406">
        <f>P25</f>
        <v>0</v>
      </c>
    </row>
    <row r="27" spans="1:16" s="225" customFormat="1" ht="27">
      <c r="A27" s="1968" t="s">
        <v>241</v>
      </c>
      <c r="B27" s="1969"/>
      <c r="C27" s="1969"/>
      <c r="D27" s="960"/>
      <c r="E27" s="940">
        <f>'plan &amp; Unit price &amp; Direct cost'!E21</f>
        <v>0</v>
      </c>
      <c r="F27" s="751">
        <f>'[1]Daily Progress Report '!$O27</f>
        <v>0</v>
      </c>
      <c r="G27" s="751">
        <f>'[2]Daily Progress Report '!$O27</f>
        <v>0</v>
      </c>
      <c r="H27" s="751">
        <f>'[3]Daily Progress Report '!$O27</f>
        <v>0</v>
      </c>
      <c r="I27" s="751">
        <f>'[4]Daily Progress Report'!$O27</f>
        <v>0</v>
      </c>
      <c r="J27" s="751">
        <f>'[5]Daily Progress Report '!$O27</f>
        <v>0</v>
      </c>
      <c r="K27" s="751">
        <f>'[6]Daily Progress Report '!$O27</f>
        <v>0</v>
      </c>
      <c r="L27" s="751">
        <f>'[7]Daily Progress Report '!$O27</f>
        <v>0</v>
      </c>
      <c r="M27" s="751"/>
      <c r="N27" s="751">
        <f t="shared" si="0"/>
        <v>0</v>
      </c>
      <c r="O27" s="751">
        <f t="shared" si="1"/>
        <v>0</v>
      </c>
      <c r="P27" s="1407"/>
    </row>
    <row r="28" spans="1:16" s="225" customFormat="1" ht="52.5" customHeight="1">
      <c r="A28" s="1399">
        <v>1</v>
      </c>
      <c r="B28" s="1965" t="str">
        <f>'Direct cost summary '!B42</f>
        <v>Structural excavation(Common)</v>
      </c>
      <c r="C28" s="1965"/>
      <c r="D28" s="957" t="str">
        <f>'plan &amp; Unit price &amp; Direct cost'!D22</f>
        <v>m3</v>
      </c>
      <c r="E28" s="933">
        <f>'Direct cost summary '!J42</f>
        <v>75</v>
      </c>
      <c r="F28" s="610">
        <f>'[8]Daily Progress Report '!$O28</f>
        <v>0</v>
      </c>
      <c r="G28" s="610">
        <f>'[2]Daily Progress Report '!$O28</f>
        <v>0</v>
      </c>
      <c r="H28" s="610">
        <f>'[3]Daily Progress Report '!$O28</f>
        <v>0</v>
      </c>
      <c r="I28" s="610">
        <f>'[9]Daily Progress Report'!$O28</f>
        <v>0</v>
      </c>
      <c r="J28" s="610">
        <f>'[5]Daily Progress Report '!$O28</f>
        <v>0</v>
      </c>
      <c r="K28" s="610">
        <f>'[6]Daily Progress Report '!$O28</f>
        <v>0</v>
      </c>
      <c r="L28" s="610">
        <f>'[7]Daily Progress Report '!$O28</f>
        <v>0</v>
      </c>
      <c r="M28" s="610"/>
      <c r="N28" s="610">
        <f t="shared" si="0"/>
        <v>0</v>
      </c>
      <c r="O28" s="610">
        <f t="shared" si="1"/>
        <v>0</v>
      </c>
      <c r="P28" s="1400">
        <f>E28*O28</f>
        <v>0</v>
      </c>
    </row>
    <row r="29" spans="1:16" s="225" customFormat="1" ht="57" customHeight="1">
      <c r="A29" s="1399">
        <v>2</v>
      </c>
      <c r="B29" s="1965" t="str">
        <f>'Direct cost summary '!B44</f>
        <v>Structural excavation(moderate)</v>
      </c>
      <c r="C29" s="1965"/>
      <c r="D29" s="957" t="str">
        <f>'plan &amp; Unit price &amp; Direct cost'!D23</f>
        <v>m3</v>
      </c>
      <c r="E29" s="933">
        <f>'Direct cost summary '!J44</f>
        <v>80</v>
      </c>
      <c r="F29" s="610">
        <f>'[8]Daily Progress Report '!$O29</f>
        <v>0</v>
      </c>
      <c r="G29" s="610">
        <f>'[2]Daily Progress Report '!$O29</f>
        <v>0</v>
      </c>
      <c r="H29" s="610">
        <f>'[3]Daily Progress Report '!$O29</f>
        <v>0</v>
      </c>
      <c r="I29" s="610">
        <f>'[9]Daily Progress Report'!$O29</f>
        <v>0</v>
      </c>
      <c r="J29" s="610">
        <f>'[5]Daily Progress Report '!$O29</f>
        <v>0</v>
      </c>
      <c r="K29" s="610">
        <f>'[6]Daily Progress Report '!$O29</f>
        <v>0</v>
      </c>
      <c r="L29" s="610">
        <f>'[7]Daily Progress Report '!$O29</f>
        <v>0</v>
      </c>
      <c r="M29" s="610"/>
      <c r="N29" s="610">
        <f t="shared" si="0"/>
        <v>0</v>
      </c>
      <c r="O29" s="610">
        <f t="shared" ref="O29" si="9">SUM(F29:L29)</f>
        <v>0</v>
      </c>
      <c r="P29" s="1400">
        <f>E29*O29</f>
        <v>0</v>
      </c>
    </row>
    <row r="30" spans="1:16" s="225" customFormat="1" ht="52.5" customHeight="1">
      <c r="A30" s="1399">
        <v>3</v>
      </c>
      <c r="B30" s="1965" t="str">
        <f>'Direct cost summary '!B46</f>
        <v>Structural excavation(Hard)</v>
      </c>
      <c r="C30" s="1965"/>
      <c r="D30" s="957" t="str">
        <f>'plan &amp; Unit price &amp; Direct cost'!D23</f>
        <v>m3</v>
      </c>
      <c r="E30" s="933">
        <f>'Direct cost summary '!J46</f>
        <v>115</v>
      </c>
      <c r="F30" s="610">
        <f>'[8]Daily Progress Report '!$O30</f>
        <v>0</v>
      </c>
      <c r="G30" s="610">
        <f>'[2]Daily Progress Report '!$O30</f>
        <v>0</v>
      </c>
      <c r="H30" s="610">
        <f>'[3]Daily Progress Report '!$O30</f>
        <v>0</v>
      </c>
      <c r="I30" s="610">
        <f>'[9]Daily Progress Report'!$O30</f>
        <v>0</v>
      </c>
      <c r="J30" s="610">
        <f>'[5]Daily Progress Report '!$O30</f>
        <v>0</v>
      </c>
      <c r="K30" s="610">
        <f>'[6]Daily Progress Report '!$O30</f>
        <v>0</v>
      </c>
      <c r="L30" s="610">
        <f>'[7]Daily Progress Report '!$O30</f>
        <v>0</v>
      </c>
      <c r="M30" s="610"/>
      <c r="N30" s="610">
        <f t="shared" si="0"/>
        <v>0</v>
      </c>
      <c r="O30" s="610">
        <f t="shared" si="1"/>
        <v>0</v>
      </c>
      <c r="P30" s="1400">
        <f>E30*O30</f>
        <v>0</v>
      </c>
    </row>
    <row r="31" spans="1:16" s="225" customFormat="1" ht="56.25" customHeight="1">
      <c r="A31" s="1399">
        <v>4</v>
      </c>
      <c r="B31" s="1965" t="str">
        <f>'Direct cost summary '!B49</f>
        <v>Backfilling from excavated material</v>
      </c>
      <c r="C31" s="1965"/>
      <c r="D31" s="957" t="str">
        <f>'plan &amp; Unit price &amp; Direct cost'!D24</f>
        <v>m3</v>
      </c>
      <c r="E31" s="933">
        <f>'Direct cost summary '!J49</f>
        <v>100</v>
      </c>
      <c r="F31" s="610">
        <f>'[8]Daily Progress Report '!$O31</f>
        <v>0</v>
      </c>
      <c r="G31" s="610">
        <f>'[2]Daily Progress Report '!$O31</f>
        <v>0</v>
      </c>
      <c r="H31" s="610">
        <f>'[3]Daily Progress Report '!$O31</f>
        <v>0</v>
      </c>
      <c r="I31" s="610">
        <f>'[9]Daily Progress Report'!$O31</f>
        <v>0</v>
      </c>
      <c r="J31" s="610">
        <f>'[5]Daily Progress Report '!$O31</f>
        <v>0</v>
      </c>
      <c r="K31" s="610">
        <f>'[6]Daily Progress Report '!$O31</f>
        <v>0</v>
      </c>
      <c r="L31" s="610">
        <f>'[7]Daily Progress Report '!$O31</f>
        <v>0</v>
      </c>
      <c r="M31" s="610"/>
      <c r="N31" s="610">
        <f t="shared" si="0"/>
        <v>0</v>
      </c>
      <c r="O31" s="610">
        <f t="shared" si="1"/>
        <v>0</v>
      </c>
      <c r="P31" s="1408">
        <f t="shared" ref="P31:P39" si="10">O31*E31</f>
        <v>0</v>
      </c>
    </row>
    <row r="32" spans="1:16" s="225" customFormat="1" ht="27.75">
      <c r="A32" s="1399">
        <v>5</v>
      </c>
      <c r="B32" s="1965" t="str">
        <f>'plan &amp; Unit price &amp; Direct cost'!B25:C25</f>
        <v>Backfilling(Selected)Minor</v>
      </c>
      <c r="C32" s="1965"/>
      <c r="D32" s="957" t="str">
        <f>'plan &amp; Unit price &amp; Direct cost'!D25</f>
        <v>m3</v>
      </c>
      <c r="E32" s="933">
        <f>'plan &amp; Unit price &amp; Direct cost'!E25</f>
        <v>47.5</v>
      </c>
      <c r="F32" s="610">
        <f>'[8]Daily Progress Report '!$O32</f>
        <v>0</v>
      </c>
      <c r="G32" s="610">
        <f>'[2]Daily Progress Report '!$O32</f>
        <v>0</v>
      </c>
      <c r="H32" s="610">
        <f>'[3]Daily Progress Report '!$O32</f>
        <v>0</v>
      </c>
      <c r="I32" s="610">
        <f>'[9]Daily Progress Report'!$O32</f>
        <v>12.49</v>
      </c>
      <c r="J32" s="610">
        <f>'[5]Daily Progress Report '!$O32</f>
        <v>7.65</v>
      </c>
      <c r="K32" s="610">
        <f>'[6]Daily Progress Report '!$O32</f>
        <v>0</v>
      </c>
      <c r="L32" s="610">
        <f>'[7]Daily Progress Report '!$O32</f>
        <v>18.36</v>
      </c>
      <c r="M32" s="610">
        <f>O32*1.1</f>
        <v>42.35</v>
      </c>
      <c r="N32" s="610">
        <f t="shared" si="0"/>
        <v>2011.625</v>
      </c>
      <c r="O32" s="610">
        <f t="shared" si="1"/>
        <v>38.5</v>
      </c>
      <c r="P32" s="1408">
        <f t="shared" si="10"/>
        <v>1828.75</v>
      </c>
    </row>
    <row r="33" spans="1:16" s="225" customFormat="1" ht="27.75">
      <c r="A33" s="1399">
        <v>6</v>
      </c>
      <c r="B33" s="1965" t="s">
        <v>599</v>
      </c>
      <c r="C33" s="1965"/>
      <c r="D33" s="957" t="str">
        <f>'plan &amp; Unit price &amp; Direct cost'!D26</f>
        <v>lm</v>
      </c>
      <c r="E33" s="933">
        <f>'Direct cost summary '!J61</f>
        <v>135</v>
      </c>
      <c r="F33" s="610">
        <f>'[8]Daily Progress Report '!$O33</f>
        <v>0</v>
      </c>
      <c r="G33" s="610">
        <f>'[2]Daily Progress Report '!$O33</f>
        <v>0</v>
      </c>
      <c r="H33" s="610">
        <f>'[3]Daily Progress Report '!$O33</f>
        <v>0</v>
      </c>
      <c r="I33" s="610">
        <f>'[9]Daily Progress Report'!$O33</f>
        <v>0</v>
      </c>
      <c r="J33" s="610">
        <f>'[5]Daily Progress Report '!$O33</f>
        <v>0</v>
      </c>
      <c r="K33" s="610">
        <f>'[6]Daily Progress Report '!$O33</f>
        <v>0</v>
      </c>
      <c r="L33" s="610">
        <f>'[7]Daily Progress Report '!$O33</f>
        <v>0</v>
      </c>
      <c r="M33" s="610">
        <v>0</v>
      </c>
      <c r="N33" s="610">
        <f t="shared" si="0"/>
        <v>0</v>
      </c>
      <c r="O33" s="610">
        <f t="shared" ref="O33" si="11">SUM(F33:L33)</f>
        <v>0</v>
      </c>
      <c r="P33" s="1408">
        <f t="shared" ref="P33" si="12">O33*E33</f>
        <v>0</v>
      </c>
    </row>
    <row r="34" spans="1:16" s="225" customFormat="1" ht="27.75">
      <c r="A34" s="1399">
        <v>7</v>
      </c>
      <c r="B34" s="1965" t="s">
        <v>602</v>
      </c>
      <c r="C34" s="1965"/>
      <c r="D34" s="957" t="str">
        <f>'plan &amp; Unit price &amp; Direct cost'!D26</f>
        <v>lm</v>
      </c>
      <c r="E34" s="933">
        <f>'Direct cost summary '!J65</f>
        <v>162</v>
      </c>
      <c r="F34" s="610">
        <f>'[8]Daily Progress Report '!$O34</f>
        <v>0</v>
      </c>
      <c r="G34" s="610">
        <f>'[2]Daily Progress Report '!$O34</f>
        <v>0</v>
      </c>
      <c r="H34" s="610">
        <f>'[3]Daily Progress Report '!$O34</f>
        <v>0</v>
      </c>
      <c r="I34" s="610">
        <f>'[9]Daily Progress Report'!$O34</f>
        <v>0</v>
      </c>
      <c r="J34" s="610">
        <f>'[5]Daily Progress Report '!$O34</f>
        <v>0</v>
      </c>
      <c r="K34" s="610">
        <f>'[6]Daily Progress Report '!$O34</f>
        <v>0</v>
      </c>
      <c r="L34" s="610">
        <f>'[7]Daily Progress Report '!$O34</f>
        <v>0</v>
      </c>
      <c r="M34" s="610"/>
      <c r="N34" s="610">
        <f t="shared" si="0"/>
        <v>0</v>
      </c>
      <c r="O34" s="610">
        <f t="shared" si="1"/>
        <v>0</v>
      </c>
      <c r="P34" s="1408">
        <f t="shared" si="10"/>
        <v>0</v>
      </c>
    </row>
    <row r="35" spans="1:16" s="225" customFormat="1" ht="53.25" customHeight="1">
      <c r="A35" s="1399">
        <v>8</v>
      </c>
      <c r="B35" s="1965" t="str">
        <f>'Direct cost summary '!B69</f>
        <v>Installation and curing(dia.48")</v>
      </c>
      <c r="C35" s="1965"/>
      <c r="D35" s="957" t="str">
        <f>'plan &amp; Unit price &amp; Direct cost'!D27</f>
        <v>lm</v>
      </c>
      <c r="E35" s="933">
        <f>'Direct cost summary '!J69</f>
        <v>240</v>
      </c>
      <c r="F35" s="610">
        <f>'[8]Daily Progress Report '!$O35</f>
        <v>0</v>
      </c>
      <c r="G35" s="610">
        <f>'[2]Daily Progress Report '!$O35</f>
        <v>0</v>
      </c>
      <c r="H35" s="610">
        <f>'[3]Daily Progress Report '!$O35</f>
        <v>0</v>
      </c>
      <c r="I35" s="610">
        <f>'[9]Daily Progress Report'!$O35</f>
        <v>0</v>
      </c>
      <c r="J35" s="610">
        <f>'[5]Daily Progress Report '!$O35</f>
        <v>0</v>
      </c>
      <c r="K35" s="610">
        <f>'[6]Daily Progress Report '!$O35</f>
        <v>0</v>
      </c>
      <c r="L35" s="610">
        <f>'[7]Daily Progress Report '!$O35</f>
        <v>0</v>
      </c>
      <c r="M35" s="610"/>
      <c r="N35" s="610">
        <f t="shared" si="0"/>
        <v>0</v>
      </c>
      <c r="O35" s="610">
        <f t="shared" si="1"/>
        <v>0</v>
      </c>
      <c r="P35" s="1408">
        <f t="shared" si="10"/>
        <v>0</v>
      </c>
    </row>
    <row r="36" spans="1:16" s="225" customFormat="1" ht="54" customHeight="1">
      <c r="A36" s="1399">
        <v>9</v>
      </c>
      <c r="B36" s="1965" t="str">
        <f>'plan &amp; Unit price &amp; Direct cost'!B28:C28</f>
        <v>Class A Concrete ( Minor )</v>
      </c>
      <c r="C36" s="1965"/>
      <c r="D36" s="957" t="str">
        <f>'plan &amp; Unit price &amp; Direct cost'!D28</f>
        <v>m3</v>
      </c>
      <c r="E36" s="933">
        <f>'plan &amp; Unit price &amp; Direct cost'!E28</f>
        <v>2524.2843167146807</v>
      </c>
      <c r="F36" s="610">
        <f>'[8]Daily Progress Report '!$O36</f>
        <v>0</v>
      </c>
      <c r="G36" s="610">
        <f>'[2]Daily Progress Report '!$O36</f>
        <v>0</v>
      </c>
      <c r="H36" s="610">
        <f>'[3]Daily Progress Report '!$O36</f>
        <v>0</v>
      </c>
      <c r="I36" s="610">
        <f>'[9]Daily Progress Report'!$O36</f>
        <v>0</v>
      </c>
      <c r="J36" s="610">
        <f>'[5]Daily Progress Report '!$O36</f>
        <v>0</v>
      </c>
      <c r="K36" s="610">
        <f>'[6]Daily Progress Report '!$O36</f>
        <v>0</v>
      </c>
      <c r="L36" s="610">
        <f>'[7]Daily Progress Report '!$O36</f>
        <v>0</v>
      </c>
      <c r="M36" s="610"/>
      <c r="N36" s="610">
        <f t="shared" si="0"/>
        <v>0</v>
      </c>
      <c r="O36" s="610">
        <f t="shared" si="1"/>
        <v>0</v>
      </c>
      <c r="P36" s="1408">
        <f t="shared" si="10"/>
        <v>0</v>
      </c>
    </row>
    <row r="37" spans="1:16" s="225" customFormat="1" ht="52.5" customHeight="1">
      <c r="A37" s="1399">
        <v>10</v>
      </c>
      <c r="B37" s="1965" t="str">
        <f>'Direct cost summary '!B93</f>
        <v>Rebar bending &amp; Placing</v>
      </c>
      <c r="C37" s="1965"/>
      <c r="D37" s="957" t="str">
        <f>'plan &amp; Unit price &amp; Direct cost'!D29</f>
        <v>Kg</v>
      </c>
      <c r="E37" s="933">
        <f>'Direct cost summary '!J93</f>
        <v>49</v>
      </c>
      <c r="F37" s="610">
        <f>'[8]Daily Progress Report '!$O37</f>
        <v>0</v>
      </c>
      <c r="G37" s="610">
        <f>'[2]Daily Progress Report '!$O37</f>
        <v>0</v>
      </c>
      <c r="H37" s="610">
        <f>'[3]Daily Progress Report '!$O37</f>
        <v>0</v>
      </c>
      <c r="I37" s="610">
        <f>'[9]Daily Progress Report'!$O37</f>
        <v>0</v>
      </c>
      <c r="J37" s="610">
        <f>'[5]Daily Progress Report '!$O37</f>
        <v>0</v>
      </c>
      <c r="K37" s="610">
        <f>'[6]Daily Progress Report '!$O37</f>
        <v>0</v>
      </c>
      <c r="L37" s="610">
        <f>'[7]Daily Progress Report '!$O37</f>
        <v>0</v>
      </c>
      <c r="M37" s="610"/>
      <c r="N37" s="610">
        <f t="shared" si="0"/>
        <v>0</v>
      </c>
      <c r="O37" s="610">
        <f t="shared" si="1"/>
        <v>0</v>
      </c>
      <c r="P37" s="1408">
        <f t="shared" si="10"/>
        <v>0</v>
      </c>
    </row>
    <row r="38" spans="1:16" s="225" customFormat="1" ht="27.75">
      <c r="A38" s="1399">
        <v>11</v>
      </c>
      <c r="B38" s="1965" t="str">
        <f>'Direct cost summary '!B100</f>
        <v>Masonory construction</v>
      </c>
      <c r="C38" s="1965"/>
      <c r="D38" s="957" t="str">
        <f>'plan &amp; Unit price &amp; Direct cost'!D30</f>
        <v>m3</v>
      </c>
      <c r="E38" s="933">
        <f>'plan &amp; Unit price &amp; Direct cost'!E30</f>
        <v>967.65840394274528</v>
      </c>
      <c r="F38" s="610">
        <f>'[8]Daily Progress Report '!$O38</f>
        <v>12.05</v>
      </c>
      <c r="G38" s="610">
        <f>'[2]Daily Progress Report '!$O38</f>
        <v>11.24</v>
      </c>
      <c r="H38" s="610">
        <f>'[3]Daily Progress Report '!$O38</f>
        <v>0</v>
      </c>
      <c r="I38" s="610">
        <f>'[9]Daily Progress Report'!$O38</f>
        <v>11.22</v>
      </c>
      <c r="J38" s="610">
        <f>'[5]Daily Progress Report '!$O38</f>
        <v>5.5</v>
      </c>
      <c r="K38" s="610">
        <f>'[6]Daily Progress Report '!$O38</f>
        <v>0</v>
      </c>
      <c r="L38" s="610">
        <f>'[7]Daily Progress Report '!$O38</f>
        <v>5.5</v>
      </c>
      <c r="M38" s="610">
        <f>'Lab. Evalu.'!G11</f>
        <v>74.099999999999994</v>
      </c>
      <c r="N38" s="610">
        <f t="shared" si="0"/>
        <v>71703.487732157417</v>
      </c>
      <c r="O38" s="610">
        <f t="shared" si="1"/>
        <v>45.51</v>
      </c>
      <c r="P38" s="1408">
        <f t="shared" si="10"/>
        <v>44038.133963434339</v>
      </c>
    </row>
    <row r="39" spans="1:16" s="225" customFormat="1" ht="27.75">
      <c r="A39" s="1404">
        <v>12</v>
      </c>
      <c r="B39" s="1974" t="str">
        <f>'Direct cost summary '!B107</f>
        <v>Paved construction</v>
      </c>
      <c r="C39" s="1974"/>
      <c r="D39" s="959" t="str">
        <f>'plan &amp; Unit price &amp; Direct cost'!D31</f>
        <v>m2</v>
      </c>
      <c r="E39" s="934">
        <f>'Direct cost summary '!J107</f>
        <v>89.860279410172211</v>
      </c>
      <c r="F39" s="610">
        <f>'[8]Daily Progress Report '!$O39</f>
        <v>16</v>
      </c>
      <c r="G39" s="750">
        <f>'[2]Daily Progress Report '!$O39</f>
        <v>12.6</v>
      </c>
      <c r="H39" s="750">
        <f>'[3]Daily Progress Report '!$O39</f>
        <v>0</v>
      </c>
      <c r="I39" s="610">
        <f>'[9]Daily Progress Report'!$O39</f>
        <v>0</v>
      </c>
      <c r="J39" s="750">
        <f>'[5]Daily Progress Report '!$O39</f>
        <v>0</v>
      </c>
      <c r="K39" s="750">
        <f>'[6]Daily Progress Report '!$O39</f>
        <v>0</v>
      </c>
      <c r="L39" s="750">
        <f>'[7]Daily Progress Report '!$O39</f>
        <v>57</v>
      </c>
      <c r="M39" s="750">
        <f>'Lab. Evalu.'!G15</f>
        <v>110</v>
      </c>
      <c r="N39" s="750">
        <f t="shared" si="0"/>
        <v>9884.6307351189425</v>
      </c>
      <c r="O39" s="750">
        <f t="shared" si="1"/>
        <v>85.6</v>
      </c>
      <c r="P39" s="1409">
        <f t="shared" si="10"/>
        <v>7692.0399175107405</v>
      </c>
    </row>
    <row r="40" spans="1:16" s="230" customFormat="1" ht="27">
      <c r="A40" s="1971" t="str">
        <f>'plan &amp; Unit price &amp; Direct cost'!A32:C32</f>
        <v>Sub Total</v>
      </c>
      <c r="B40" s="1972"/>
      <c r="C40" s="1972"/>
      <c r="D40" s="938"/>
      <c r="E40" s="938"/>
      <c r="F40" s="610">
        <f>'[1]Daily Progress Report '!$O40</f>
        <v>0</v>
      </c>
      <c r="G40" s="610">
        <f>'[2]Daily Progress Report '!$O40</f>
        <v>0</v>
      </c>
      <c r="H40" s="610">
        <f>'[3]Daily Progress Report '!$O40</f>
        <v>0</v>
      </c>
      <c r="I40" s="610">
        <f>'[4]Daily Progress Report'!$O40</f>
        <v>0</v>
      </c>
      <c r="J40" s="610">
        <f>'[5]Daily Progress Report '!$O40</f>
        <v>0</v>
      </c>
      <c r="K40" s="610">
        <f>'[6]Daily Progress Report '!$O40</f>
        <v>0</v>
      </c>
      <c r="L40" s="610">
        <f>'[7]Daily Progress Report '!$O40</f>
        <v>0</v>
      </c>
      <c r="M40" s="610"/>
      <c r="N40" s="610">
        <f>SUM(N28:N39)</f>
        <v>83599.743467276363</v>
      </c>
      <c r="O40" s="610">
        <f t="shared" si="1"/>
        <v>0</v>
      </c>
      <c r="P40" s="1410">
        <f>SUM(P28:P39)</f>
        <v>53558.923880945076</v>
      </c>
    </row>
    <row r="41" spans="1:16" s="229" customFormat="1" ht="25.5">
      <c r="A41" s="1997" t="str">
        <f>'plan &amp; Unit price &amp; Direct cost'!A33:C33</f>
        <v>GR.5.MAJOR DRAINAGE</v>
      </c>
      <c r="B41" s="1998"/>
      <c r="C41" s="1998"/>
      <c r="D41" s="939"/>
      <c r="E41" s="939"/>
      <c r="F41" s="751">
        <f>'[1]Daily Progress Report '!$O41</f>
        <v>0</v>
      </c>
      <c r="G41" s="751">
        <f>'[2]Daily Progress Report '!$O41</f>
        <v>0</v>
      </c>
      <c r="H41" s="751">
        <f>'[3]Daily Progress Report '!$O41</f>
        <v>0</v>
      </c>
      <c r="I41" s="751">
        <f>'[4]Daily Progress Report'!$O41</f>
        <v>0</v>
      </c>
      <c r="J41" s="751">
        <f>'[5]Daily Progress Report '!$O41</f>
        <v>0</v>
      </c>
      <c r="K41" s="751">
        <f>'[6]Daily Progress Report '!$O41</f>
        <v>0</v>
      </c>
      <c r="L41" s="751">
        <f>'[7]Daily Progress Report '!$O41</f>
        <v>0</v>
      </c>
      <c r="M41" s="751"/>
      <c r="N41" s="751">
        <f t="shared" si="0"/>
        <v>0</v>
      </c>
      <c r="O41" s="751">
        <f t="shared" si="1"/>
        <v>0</v>
      </c>
      <c r="P41" s="1411"/>
    </row>
    <row r="42" spans="1:16" s="229" customFormat="1" ht="82.5" customHeight="1">
      <c r="A42" s="1412">
        <v>1</v>
      </c>
      <c r="B42" s="1999" t="str">
        <f>'Direct cost summary '!B117</f>
        <v>Excavation of soft material irrespective of depth</v>
      </c>
      <c r="C42" s="1999"/>
      <c r="D42" s="933" t="str">
        <f>'plan &amp; Unit price &amp; Direct cost'!D34</f>
        <v>m3</v>
      </c>
      <c r="E42" s="933">
        <f>'Direct cost summary '!J117</f>
        <v>135</v>
      </c>
      <c r="F42" s="610">
        <f>'[8]Daily Progress Report '!$O42</f>
        <v>0</v>
      </c>
      <c r="G42" s="610">
        <f>'[2]Daily Progress Report '!$O42</f>
        <v>0</v>
      </c>
      <c r="H42" s="610">
        <f>'[3]Daily Progress Report '!$O42</f>
        <v>0</v>
      </c>
      <c r="I42" s="610">
        <f>'[9]Daily Progress Report'!$O42</f>
        <v>0</v>
      </c>
      <c r="J42" s="610">
        <f>'[5]Daily Progress Report '!$O42</f>
        <v>0</v>
      </c>
      <c r="K42" s="610">
        <f>'[6]Daily Progress Report '!$O42</f>
        <v>0</v>
      </c>
      <c r="L42" s="610">
        <f>'[7]Daily Progress Report '!$O42</f>
        <v>0</v>
      </c>
      <c r="M42" s="610">
        <f>O42*1.15</f>
        <v>0</v>
      </c>
      <c r="N42" s="610">
        <f t="shared" si="0"/>
        <v>0</v>
      </c>
      <c r="O42" s="610">
        <f t="shared" si="1"/>
        <v>0</v>
      </c>
      <c r="P42" s="1413">
        <f t="shared" ref="P42:P55" si="13">O42*E42</f>
        <v>0</v>
      </c>
    </row>
    <row r="43" spans="1:16" s="229" customFormat="1" ht="79.5" customHeight="1">
      <c r="A43" s="1412">
        <v>2</v>
      </c>
      <c r="B43" s="1999" t="str">
        <f>'Direct cost summary '!B119</f>
        <v>Excavation of intermidiate material irrespective of depth</v>
      </c>
      <c r="C43" s="1999"/>
      <c r="D43" s="933" t="str">
        <f>'plan &amp; Unit price &amp; Direct cost'!D35</f>
        <v>m3</v>
      </c>
      <c r="E43" s="933">
        <f>'Direct cost summary '!J119</f>
        <v>200</v>
      </c>
      <c r="F43" s="610">
        <f>'[8]Daily Progress Report '!$O43</f>
        <v>0</v>
      </c>
      <c r="G43" s="610">
        <f>'[2]Daily Progress Report '!$O43</f>
        <v>0</v>
      </c>
      <c r="H43" s="610">
        <f>'[3]Daily Progress Report '!$O43</f>
        <v>0</v>
      </c>
      <c r="I43" s="610">
        <f>'[9]Daily Progress Report'!$O43</f>
        <v>0</v>
      </c>
      <c r="J43" s="610">
        <f>'[5]Daily Progress Report '!$O43</f>
        <v>0</v>
      </c>
      <c r="K43" s="610">
        <f>'[6]Daily Progress Report '!$O43</f>
        <v>0</v>
      </c>
      <c r="L43" s="610">
        <f>'[7]Daily Progress Report '!$O43</f>
        <v>0</v>
      </c>
      <c r="M43" s="610"/>
      <c r="N43" s="610">
        <f t="shared" si="0"/>
        <v>0</v>
      </c>
      <c r="O43" s="610">
        <f t="shared" ref="O43:O44" si="14">SUM(F43:L43)</f>
        <v>0</v>
      </c>
      <c r="P43" s="1413">
        <f t="shared" ref="P43:P44" si="15">O43*E43</f>
        <v>0</v>
      </c>
    </row>
    <row r="44" spans="1:16" s="229" customFormat="1" ht="51" customHeight="1">
      <c r="A44" s="1412">
        <v>3</v>
      </c>
      <c r="B44" s="1999" t="str">
        <f>'Direct cost summary '!B121</f>
        <v>Excavation of Hard material irrespective of depth</v>
      </c>
      <c r="C44" s="1999"/>
      <c r="D44" s="933" t="str">
        <f>'plan &amp; Unit price &amp; Direct cost'!D36</f>
        <v>m3</v>
      </c>
      <c r="E44" s="933">
        <f>'Direct cost summary '!J121</f>
        <v>500</v>
      </c>
      <c r="F44" s="610">
        <f>'[8]Daily Progress Report '!$O44</f>
        <v>79.290000000000006</v>
      </c>
      <c r="G44" s="610">
        <f>'[2]Daily Progress Report '!$O44</f>
        <v>48.3</v>
      </c>
      <c r="H44" s="610">
        <f>'[3]Daily Progress Report '!$O44</f>
        <v>0</v>
      </c>
      <c r="I44" s="610">
        <f>'[9]Daily Progress Report'!$O44</f>
        <v>80.5</v>
      </c>
      <c r="J44" s="610">
        <f>'[5]Daily Progress Report '!$O44</f>
        <v>10.35</v>
      </c>
      <c r="K44" s="610">
        <f>'[6]Daily Progress Report '!$O44</f>
        <v>0</v>
      </c>
      <c r="L44" s="610">
        <f>'[7]Daily Progress Report '!$O44</f>
        <v>78</v>
      </c>
      <c r="M44" s="610">
        <f>O44*1.2</f>
        <v>355.72800000000001</v>
      </c>
      <c r="N44" s="610">
        <f t="shared" si="0"/>
        <v>177864</v>
      </c>
      <c r="O44" s="610">
        <f t="shared" si="14"/>
        <v>296.44</v>
      </c>
      <c r="P44" s="1414">
        <f t="shared" si="15"/>
        <v>148220</v>
      </c>
    </row>
    <row r="45" spans="1:16" s="229" customFormat="1" ht="54.75" customHeight="1">
      <c r="A45" s="1412">
        <v>4</v>
      </c>
      <c r="B45" s="1999" t="str">
        <f>'Direct cost summary '!B123</f>
        <v>Backfilling from excavated material</v>
      </c>
      <c r="C45" s="1999"/>
      <c r="D45" s="933" t="str">
        <f>'plan &amp; Unit price &amp; Direct cost'!D35</f>
        <v>m3</v>
      </c>
      <c r="E45" s="933">
        <f>'Direct cost summary '!J123</f>
        <v>120</v>
      </c>
      <c r="F45" s="610">
        <f>'[8]Daily Progress Report '!$O45</f>
        <v>0</v>
      </c>
      <c r="G45" s="610">
        <f>'[2]Daily Progress Report '!$O45</f>
        <v>0</v>
      </c>
      <c r="H45" s="610">
        <f>'[3]Daily Progress Report '!$O45</f>
        <v>0</v>
      </c>
      <c r="I45" s="610">
        <f>'[9]Daily Progress Report'!$O45</f>
        <v>0</v>
      </c>
      <c r="J45" s="610">
        <f>'[5]Daily Progress Report '!$O45</f>
        <v>0</v>
      </c>
      <c r="K45" s="610">
        <f>'[6]Daily Progress Report '!$O45</f>
        <v>0</v>
      </c>
      <c r="L45" s="610">
        <f>'[7]Daily Progress Report '!$O45</f>
        <v>0</v>
      </c>
      <c r="M45" s="610"/>
      <c r="N45" s="610">
        <f t="shared" si="0"/>
        <v>0</v>
      </c>
      <c r="O45" s="610">
        <f t="shared" si="1"/>
        <v>0</v>
      </c>
      <c r="P45" s="1413">
        <f t="shared" si="13"/>
        <v>0</v>
      </c>
    </row>
    <row r="46" spans="1:16" s="229" customFormat="1" ht="27.75">
      <c r="A46" s="1412">
        <v>5</v>
      </c>
      <c r="B46" s="1999" t="str">
        <f>'Direct cost summary '!B127</f>
        <v>Handlaid filling</v>
      </c>
      <c r="C46" s="1999"/>
      <c r="D46" s="933" t="str">
        <f>'plan &amp; Unit price &amp; Direct cost'!D36</f>
        <v>m3</v>
      </c>
      <c r="E46" s="933">
        <f>'Direct cost summary '!J127</f>
        <v>114</v>
      </c>
      <c r="F46" s="610">
        <f>'[8]Daily Progress Report '!$O46</f>
        <v>0</v>
      </c>
      <c r="G46" s="610">
        <f>'[2]Daily Progress Report '!$O46</f>
        <v>0</v>
      </c>
      <c r="H46" s="610">
        <f>'[3]Daily Progress Report '!$O46</f>
        <v>0</v>
      </c>
      <c r="I46" s="610">
        <f>'[9]Daily Progress Report'!$O46</f>
        <v>0</v>
      </c>
      <c r="J46" s="610">
        <f>'[5]Daily Progress Report '!$O46</f>
        <v>0</v>
      </c>
      <c r="K46" s="610">
        <f>'[6]Daily Progress Report '!$O46</f>
        <v>0</v>
      </c>
      <c r="L46" s="610">
        <f>'[7]Daily Progress Report '!$O46</f>
        <v>0</v>
      </c>
      <c r="M46" s="610"/>
      <c r="N46" s="610">
        <f t="shared" si="0"/>
        <v>0</v>
      </c>
      <c r="O46" s="610">
        <f t="shared" si="1"/>
        <v>0</v>
      </c>
      <c r="P46" s="1413">
        <f t="shared" si="13"/>
        <v>0</v>
      </c>
    </row>
    <row r="47" spans="1:16" s="229" customFormat="1" ht="27.75">
      <c r="A47" s="1412">
        <v>6</v>
      </c>
      <c r="B47" s="1999" t="str">
        <f>'Direct cost summary '!B131</f>
        <v>Granular material filling</v>
      </c>
      <c r="C47" s="1999"/>
      <c r="D47" s="933" t="str">
        <f>'plan &amp; Unit price &amp; Direct cost'!D37</f>
        <v>m3</v>
      </c>
      <c r="E47" s="933">
        <f>'Direct cost summary '!J131</f>
        <v>106.4</v>
      </c>
      <c r="F47" s="610">
        <f>'[8]Daily Progress Report '!$O47</f>
        <v>0</v>
      </c>
      <c r="G47" s="610">
        <f>'[2]Daily Progress Report '!$O47</f>
        <v>0</v>
      </c>
      <c r="H47" s="610">
        <f>'[3]Daily Progress Report '!$O47</f>
        <v>0</v>
      </c>
      <c r="I47" s="610">
        <f>'[9]Daily Progress Report'!$O47</f>
        <v>120</v>
      </c>
      <c r="J47" s="610">
        <f>'[5]Daily Progress Report '!$O47</f>
        <v>24</v>
      </c>
      <c r="K47" s="610">
        <f>'[6]Daily Progress Report '!$O47</f>
        <v>0</v>
      </c>
      <c r="L47" s="610">
        <f>'[7]Daily Progress Report '!$O47</f>
        <v>0</v>
      </c>
      <c r="M47" s="610"/>
      <c r="N47" s="610">
        <f t="shared" si="0"/>
        <v>0</v>
      </c>
      <c r="O47" s="610">
        <f t="shared" si="1"/>
        <v>144</v>
      </c>
      <c r="P47" s="1413">
        <f t="shared" si="13"/>
        <v>15321.6</v>
      </c>
    </row>
    <row r="48" spans="1:16" s="229" customFormat="1" ht="27.75">
      <c r="A48" s="1412">
        <v>7</v>
      </c>
      <c r="B48" s="1999" t="str">
        <f>'Direct cost summary '!B141</f>
        <v xml:space="preserve"> Concrete Class ''A''</v>
      </c>
      <c r="C48" s="1999"/>
      <c r="D48" s="933" t="str">
        <f>'plan &amp; Unit price &amp; Direct cost'!D38</f>
        <v>m3</v>
      </c>
      <c r="E48" s="933">
        <f>'Direct cost summary '!J141</f>
        <v>3832.4204852278754</v>
      </c>
      <c r="F48" s="610">
        <f>'[8]Daily Progress Report '!$O48</f>
        <v>0</v>
      </c>
      <c r="G48" s="610">
        <f>'[2]Daily Progress Report '!$O48</f>
        <v>0</v>
      </c>
      <c r="H48" s="610">
        <f>'[3]Daily Progress Report '!$O48</f>
        <v>0</v>
      </c>
      <c r="I48" s="610">
        <f>'[9]Daily Progress Report'!$O48</f>
        <v>0</v>
      </c>
      <c r="J48" s="610">
        <f>'[5]Daily Progress Report '!$O48</f>
        <v>0</v>
      </c>
      <c r="K48" s="610">
        <f>'[6]Daily Progress Report '!$O48</f>
        <v>0</v>
      </c>
      <c r="L48" s="610">
        <f>'[7]Daily Progress Report '!$O48</f>
        <v>0</v>
      </c>
      <c r="M48" s="610">
        <f>O48</f>
        <v>0</v>
      </c>
      <c r="N48" s="610">
        <f t="shared" si="0"/>
        <v>0</v>
      </c>
      <c r="O48" s="610">
        <f t="shared" si="1"/>
        <v>0</v>
      </c>
      <c r="P48" s="1413">
        <f t="shared" si="13"/>
        <v>0</v>
      </c>
    </row>
    <row r="49" spans="1:995" s="229" customFormat="1" ht="27.75">
      <c r="A49" s="1412">
        <v>8</v>
      </c>
      <c r="B49" s="1999" t="str">
        <f>'Direct cost summary '!B151</f>
        <v xml:space="preserve"> Concrete C-25</v>
      </c>
      <c r="C49" s="1999"/>
      <c r="D49" s="933" t="str">
        <f>'plan &amp; Unit price &amp; Direct cost'!D39</f>
        <v>Kg</v>
      </c>
      <c r="E49" s="933">
        <f>'Direct cost summary '!J142</f>
        <v>4900</v>
      </c>
      <c r="F49" s="610">
        <f>'[8]Daily Progress Report '!$O49</f>
        <v>0</v>
      </c>
      <c r="G49" s="610">
        <f>'[2]Daily Progress Report '!$O49</f>
        <v>0</v>
      </c>
      <c r="H49" s="610">
        <f>'[3]Daily Progress Report '!$O49</f>
        <v>0</v>
      </c>
      <c r="I49" s="610">
        <f>'[9]Daily Progress Report'!$O49</f>
        <v>0</v>
      </c>
      <c r="J49" s="610">
        <f>'[5]Daily Progress Report '!$O49</f>
        <v>0</v>
      </c>
      <c r="K49" s="610">
        <f>'[6]Daily Progress Report '!$O49</f>
        <v>0</v>
      </c>
      <c r="L49" s="610">
        <f>'[7]Daily Progress Report '!$O49</f>
        <v>0</v>
      </c>
      <c r="M49" s="610"/>
      <c r="N49" s="610">
        <f t="shared" si="0"/>
        <v>0</v>
      </c>
      <c r="O49" s="610">
        <f t="shared" ref="O49" si="16">SUM(F49:L49)</f>
        <v>0</v>
      </c>
      <c r="P49" s="1413">
        <f t="shared" ref="P49" si="17">O49*E49</f>
        <v>0</v>
      </c>
    </row>
    <row r="50" spans="1:995" s="229" customFormat="1" ht="27.75">
      <c r="A50" s="1412">
        <v>9</v>
      </c>
      <c r="B50" s="1999" t="str">
        <f>'Direct cost summary '!B161</f>
        <v xml:space="preserve"> Concrete C-20</v>
      </c>
      <c r="C50" s="1999"/>
      <c r="D50" s="933" t="str">
        <f>'plan &amp; Unit price &amp; Direct cost'!D40</f>
        <v>LM</v>
      </c>
      <c r="E50" s="933">
        <f>'Direct cost summary '!J143</f>
        <v>20.240623885117696</v>
      </c>
      <c r="F50" s="610">
        <f>'[8]Daily Progress Report '!$O50</f>
        <v>0</v>
      </c>
      <c r="G50" s="610">
        <f>'[2]Daily Progress Report '!$O50</f>
        <v>0</v>
      </c>
      <c r="H50" s="610">
        <f>'[3]Daily Progress Report '!$O50</f>
        <v>0</v>
      </c>
      <c r="I50" s="610">
        <f>'[9]Daily Progress Report'!$O50</f>
        <v>0</v>
      </c>
      <c r="J50" s="610">
        <f>'[5]Daily Progress Report '!$O50</f>
        <v>0</v>
      </c>
      <c r="K50" s="610">
        <f>'[6]Daily Progress Report '!$O50</f>
        <v>0</v>
      </c>
      <c r="L50" s="610">
        <f>'[7]Daily Progress Report '!$O50</f>
        <v>0</v>
      </c>
      <c r="M50" s="610"/>
      <c r="N50" s="610">
        <f t="shared" si="0"/>
        <v>0</v>
      </c>
      <c r="O50" s="610">
        <f t="shared" ref="O50" si="18">SUM(F50:L50)</f>
        <v>0</v>
      </c>
      <c r="P50" s="1413">
        <f t="shared" ref="P50" si="19">O50*E50</f>
        <v>0</v>
      </c>
    </row>
    <row r="51" spans="1:995" s="229" customFormat="1" ht="27.75">
      <c r="A51" s="1412">
        <v>10</v>
      </c>
      <c r="B51" s="1999" t="str">
        <f>'Direct cost summary '!B171</f>
        <v xml:space="preserve"> Concrete C-15</v>
      </c>
      <c r="C51" s="1999"/>
      <c r="D51" s="933" t="str">
        <f>'plan &amp; Unit price &amp; Direct cost'!D41</f>
        <v>m3</v>
      </c>
      <c r="E51" s="933">
        <f>'Direct cost summary '!J144</f>
        <v>89.295834763346761</v>
      </c>
      <c r="F51" s="610">
        <f>'[8]Daily Progress Report '!$O51</f>
        <v>0</v>
      </c>
      <c r="G51" s="610">
        <f>'[2]Daily Progress Report '!$O51</f>
        <v>0</v>
      </c>
      <c r="H51" s="610">
        <f>'[3]Daily Progress Report '!$O51</f>
        <v>0</v>
      </c>
      <c r="I51" s="610">
        <f>'[9]Daily Progress Report'!$O51</f>
        <v>0</v>
      </c>
      <c r="J51" s="610">
        <f>'[5]Daily Progress Report '!$O51</f>
        <v>0</v>
      </c>
      <c r="K51" s="610">
        <f>'[6]Daily Progress Report '!$O51</f>
        <v>0</v>
      </c>
      <c r="L51" s="610">
        <f>'[7]Daily Progress Report '!$O51</f>
        <v>0</v>
      </c>
      <c r="M51" s="610"/>
      <c r="N51" s="610">
        <f t="shared" si="0"/>
        <v>0</v>
      </c>
      <c r="O51" s="610">
        <f t="shared" ref="O51" si="20">SUM(F51:L51)</f>
        <v>0</v>
      </c>
      <c r="P51" s="1413">
        <f t="shared" ref="P51" si="21">O51*E51</f>
        <v>0</v>
      </c>
    </row>
    <row r="52" spans="1:995" s="229" customFormat="1" ht="27.75">
      <c r="A52" s="1412">
        <v>11</v>
      </c>
      <c r="B52" s="1999" t="str">
        <f>'Direct cost summary '!B181</f>
        <v xml:space="preserve"> Concrete C-5</v>
      </c>
      <c r="C52" s="1999"/>
      <c r="D52" s="933" t="s">
        <v>273</v>
      </c>
      <c r="E52" s="933">
        <f>'Direct cost summary '!J181</f>
        <v>2912.6395687731851</v>
      </c>
      <c r="F52" s="610">
        <f>'[8]Daily Progress Report '!$O52</f>
        <v>0</v>
      </c>
      <c r="G52" s="610">
        <f>'[2]Daily Progress Report '!$O52</f>
        <v>0</v>
      </c>
      <c r="H52" s="610">
        <f>'[3]Daily Progress Report '!$O52</f>
        <v>0</v>
      </c>
      <c r="I52" s="610">
        <f>'[9]Daily Progress Report'!$O52</f>
        <v>0</v>
      </c>
      <c r="J52" s="610">
        <f>'[5]Daily Progress Report '!$O52</f>
        <v>4.24</v>
      </c>
      <c r="K52" s="610">
        <f>'[6]Daily Progress Report '!$O52</f>
        <v>0</v>
      </c>
      <c r="L52" s="610">
        <f>'[7]Daily Progress Report '!$O52</f>
        <v>1.56</v>
      </c>
      <c r="M52" s="610">
        <f>O52</f>
        <v>5.8000000000000007</v>
      </c>
      <c r="N52" s="610">
        <f t="shared" si="0"/>
        <v>16893.309498884475</v>
      </c>
      <c r="O52" s="610">
        <f t="shared" ref="O52" si="22">SUM(F52:L52)</f>
        <v>5.8000000000000007</v>
      </c>
      <c r="P52" s="1413">
        <f t="shared" ref="P52" si="23">O52*E52</f>
        <v>16893.309498884475</v>
      </c>
    </row>
    <row r="53" spans="1:995" s="229" customFormat="1" ht="27.75">
      <c r="A53" s="1412">
        <v>12</v>
      </c>
      <c r="B53" s="1999" t="str">
        <f>'Direct cost summary '!B183</f>
        <v>Rebar bending &amp; Placing</v>
      </c>
      <c r="C53" s="1999"/>
      <c r="D53" s="933" t="str">
        <f>'plan &amp; Unit price &amp; Direct cost'!D39</f>
        <v>Kg</v>
      </c>
      <c r="E53" s="933">
        <f>'Direct cost summary '!J183</f>
        <v>49</v>
      </c>
      <c r="F53" s="610">
        <f>'[8]Daily Progress Report '!$O53</f>
        <v>0</v>
      </c>
      <c r="G53" s="610">
        <f>'[2]Daily Progress Report '!$O53</f>
        <v>0</v>
      </c>
      <c r="H53" s="610">
        <f>'[3]Daily Progress Report '!$O53</f>
        <v>0</v>
      </c>
      <c r="I53" s="610">
        <f>'[9]Daily Progress Report'!$O53</f>
        <v>0</v>
      </c>
      <c r="J53" s="610">
        <f>'[5]Daily Progress Report '!$O53</f>
        <v>0</v>
      </c>
      <c r="K53" s="610">
        <f>'[6]Daily Progress Report '!$O53</f>
        <v>0</v>
      </c>
      <c r="L53" s="610">
        <f>'[7]Daily Progress Report '!$O53</f>
        <v>0</v>
      </c>
      <c r="M53" s="610"/>
      <c r="N53" s="610">
        <f t="shared" si="0"/>
        <v>0</v>
      </c>
      <c r="O53" s="610">
        <f>SUM(F53:L53)</f>
        <v>0</v>
      </c>
      <c r="P53" s="1413">
        <f t="shared" si="13"/>
        <v>0</v>
      </c>
    </row>
    <row r="54" spans="1:995" s="229" customFormat="1" ht="49.5" customHeight="1">
      <c r="A54" s="1412">
        <v>13</v>
      </c>
      <c r="B54" s="1999" t="str">
        <f>'plan &amp; Unit price &amp; Direct cost'!B40:C40</f>
        <v>Concrete bridge  railing with R.C posts</v>
      </c>
      <c r="C54" s="1999"/>
      <c r="D54" s="933" t="str">
        <f>'plan &amp; Unit price &amp; Direct cost'!D40</f>
        <v>LM</v>
      </c>
      <c r="E54" s="933">
        <f>'plan &amp; Unit price &amp; Direct cost'!E40</f>
        <v>500</v>
      </c>
      <c r="F54" s="610">
        <f>'[8]Daily Progress Report '!$O54</f>
        <v>0</v>
      </c>
      <c r="G54" s="610">
        <f>'[2]Daily Progress Report '!$O54</f>
        <v>0</v>
      </c>
      <c r="H54" s="610">
        <f>'[3]Daily Progress Report '!$O54</f>
        <v>0</v>
      </c>
      <c r="I54" s="610">
        <f>'[9]Daily Progress Report'!$O54</f>
        <v>0</v>
      </c>
      <c r="J54" s="610">
        <f>'[5]Daily Progress Report '!$O54</f>
        <v>0</v>
      </c>
      <c r="K54" s="610">
        <f>'[6]Daily Progress Report '!$O54</f>
        <v>0</v>
      </c>
      <c r="L54" s="610">
        <f>'[7]Daily Progress Report '!$O54</f>
        <v>0</v>
      </c>
      <c r="M54" s="610"/>
      <c r="N54" s="610">
        <f t="shared" si="0"/>
        <v>0</v>
      </c>
      <c r="O54" s="610">
        <f t="shared" si="1"/>
        <v>0</v>
      </c>
      <c r="P54" s="1413">
        <f t="shared" si="13"/>
        <v>0</v>
      </c>
    </row>
    <row r="55" spans="1:995" s="229" customFormat="1" ht="27.75">
      <c r="A55" s="1415">
        <v>14</v>
      </c>
      <c r="B55" s="2000" t="str">
        <f>'Direct cost summary '!B204</f>
        <v>Masonory construction</v>
      </c>
      <c r="C55" s="2000"/>
      <c r="D55" s="934" t="str">
        <f>'plan &amp; Unit price &amp; Direct cost'!D41</f>
        <v>m3</v>
      </c>
      <c r="E55" s="934">
        <f>'Direct cost summary '!J204</f>
        <v>1064.8334950338951</v>
      </c>
      <c r="F55" s="610">
        <f>'[8]Daily Progress Report '!$O55</f>
        <v>0</v>
      </c>
      <c r="G55" s="750">
        <f>'[2]Daily Progress Report '!$O55</f>
        <v>0</v>
      </c>
      <c r="H55" s="750">
        <f>'[3]Daily Progress Report '!$O55</f>
        <v>0</v>
      </c>
      <c r="I55" s="610">
        <f>'[9]Daily Progress Report'!$O55</f>
        <v>0</v>
      </c>
      <c r="J55" s="750">
        <f>'[5]Daily Progress Report '!$O55</f>
        <v>0</v>
      </c>
      <c r="K55" s="750">
        <f>'[6]Daily Progress Report '!$O55</f>
        <v>0</v>
      </c>
      <c r="L55" s="750">
        <f>'[7]Daily Progress Report '!$O55</f>
        <v>0</v>
      </c>
      <c r="M55" s="750">
        <f>O55</f>
        <v>0</v>
      </c>
      <c r="N55" s="750">
        <f t="shared" si="0"/>
        <v>0</v>
      </c>
      <c r="O55" s="750">
        <f t="shared" si="1"/>
        <v>0</v>
      </c>
      <c r="P55" s="1416">
        <f t="shared" si="13"/>
        <v>0</v>
      </c>
    </row>
    <row r="56" spans="1:995" s="230" customFormat="1" ht="27">
      <c r="A56" s="1966" t="s">
        <v>193</v>
      </c>
      <c r="B56" s="1967"/>
      <c r="C56" s="1967"/>
      <c r="D56" s="1387"/>
      <c r="E56" s="1387"/>
      <c r="F56" s="1388">
        <f>'[1]Daily Progress Report '!$O56</f>
        <v>0</v>
      </c>
      <c r="G56" s="1388">
        <f>'[2]Daily Progress Report '!$O56</f>
        <v>0</v>
      </c>
      <c r="H56" s="1388">
        <f>'[3]Daily Progress Report '!$O56</f>
        <v>0</v>
      </c>
      <c r="I56" s="1388">
        <f>'[4]Daily Progress Report'!$O56</f>
        <v>0</v>
      </c>
      <c r="J56" s="1388">
        <f>'[5]Daily Progress Report '!$O56</f>
        <v>0</v>
      </c>
      <c r="K56" s="1388">
        <f>'[6]Daily Progress Report '!$O56</f>
        <v>0</v>
      </c>
      <c r="L56" s="1388">
        <f>'[7]Daily Progress Report '!$O56</f>
        <v>0</v>
      </c>
      <c r="M56" s="1388"/>
      <c r="N56" s="1389">
        <f>SUM(N42:N55)</f>
        <v>194757.30949888448</v>
      </c>
      <c r="O56" s="1388">
        <f t="shared" si="1"/>
        <v>0</v>
      </c>
      <c r="P56" s="1417">
        <f>SUM(P42:P55)</f>
        <v>180434.90949888449</v>
      </c>
    </row>
    <row r="57" spans="1:995" s="225" customFormat="1" ht="27">
      <c r="A57" s="1968" t="s">
        <v>245</v>
      </c>
      <c r="B57" s="1969"/>
      <c r="C57" s="1969"/>
      <c r="D57" s="960"/>
      <c r="E57" s="939"/>
      <c r="F57" s="751">
        <f>'[1]Daily Progress Report '!$O57</f>
        <v>0</v>
      </c>
      <c r="G57" s="751">
        <f>'[2]Daily Progress Report '!$O57</f>
        <v>0</v>
      </c>
      <c r="H57" s="751">
        <f>'[3]Daily Progress Report '!$O57</f>
        <v>0</v>
      </c>
      <c r="I57" s="751">
        <f>'[4]Daily Progress Report'!$O57</f>
        <v>0</v>
      </c>
      <c r="J57" s="751">
        <f>'[5]Daily Progress Report '!$O57</f>
        <v>0</v>
      </c>
      <c r="K57" s="751">
        <f>'[6]Daily Progress Report '!$O57</f>
        <v>0</v>
      </c>
      <c r="L57" s="751">
        <f>'[7]Daily Progress Report '!$O57</f>
        <v>0</v>
      </c>
      <c r="M57" s="751"/>
      <c r="N57" s="751">
        <f t="shared" si="0"/>
        <v>0</v>
      </c>
      <c r="O57" s="751">
        <f t="shared" si="1"/>
        <v>0</v>
      </c>
      <c r="P57" s="1418">
        <v>0</v>
      </c>
    </row>
    <row r="58" spans="1:995" s="225" customFormat="1" ht="27.75">
      <c r="A58" s="1399">
        <v>1</v>
      </c>
      <c r="B58" s="1965" t="str">
        <f>'plan &amp; Unit price &amp; Direct cost'!B44:C44</f>
        <v>Reflective road sign</v>
      </c>
      <c r="C58" s="1965"/>
      <c r="D58" s="957" t="s">
        <v>104</v>
      </c>
      <c r="E58" s="933">
        <f>'plan &amp; Unit price &amp; Direct cost'!E44</f>
        <v>2000</v>
      </c>
      <c r="F58" s="610">
        <f>'[8]Daily Progress Report '!$O58</f>
        <v>0</v>
      </c>
      <c r="G58" s="610">
        <f>'[2]Daily Progress Report '!$O58</f>
        <v>0</v>
      </c>
      <c r="H58" s="610">
        <f>'[3]Daily Progress Report '!$O58</f>
        <v>0</v>
      </c>
      <c r="I58" s="610">
        <f>'[9]Daily Progress Report'!$O58</f>
        <v>0</v>
      </c>
      <c r="J58" s="610">
        <f>'[5]Daily Progress Report '!$O58</f>
        <v>0</v>
      </c>
      <c r="K58" s="610">
        <f>'[6]Daily Progress Report '!$O58</f>
        <v>0</v>
      </c>
      <c r="L58" s="610">
        <f>'[7]Daily Progress Report '!$O58</f>
        <v>0</v>
      </c>
      <c r="M58" s="610"/>
      <c r="N58" s="610">
        <f t="shared" si="0"/>
        <v>0</v>
      </c>
      <c r="O58" s="610">
        <f t="shared" si="1"/>
        <v>0</v>
      </c>
      <c r="P58" s="1413">
        <v>0</v>
      </c>
    </row>
    <row r="59" spans="1:995" s="225" customFormat="1" ht="20.100000000000001" customHeight="1">
      <c r="A59" s="1399">
        <v>2</v>
      </c>
      <c r="B59" s="1965" t="str">
        <f>'plan &amp; Unit price &amp; Direct cost'!B45:C45</f>
        <v>Project sign with post</v>
      </c>
      <c r="C59" s="1965"/>
      <c r="D59" s="957" t="str">
        <f>'plan &amp; Unit price &amp; Direct cost'!D45</f>
        <v>pcs</v>
      </c>
      <c r="E59" s="933">
        <f>'plan &amp; Unit price &amp; Direct cost'!E45</f>
        <v>1000</v>
      </c>
      <c r="F59" s="610">
        <f>'[8]Daily Progress Report '!$O59</f>
        <v>0</v>
      </c>
      <c r="G59" s="610">
        <f>'[2]Daily Progress Report '!$O59</f>
        <v>0</v>
      </c>
      <c r="H59" s="610">
        <f>'[3]Daily Progress Report '!$O59</f>
        <v>0</v>
      </c>
      <c r="I59" s="610">
        <f>'[9]Daily Progress Report'!$O59</f>
        <v>0</v>
      </c>
      <c r="J59" s="610">
        <f>'[5]Daily Progress Report '!$O59</f>
        <v>0</v>
      </c>
      <c r="K59" s="610">
        <f>'[6]Daily Progress Report '!$O59</f>
        <v>0</v>
      </c>
      <c r="L59" s="610">
        <f>'[7]Daily Progress Report '!$O59</f>
        <v>0</v>
      </c>
      <c r="M59" s="610"/>
      <c r="N59" s="610">
        <f t="shared" si="0"/>
        <v>0</v>
      </c>
      <c r="O59" s="610">
        <f t="shared" si="1"/>
        <v>0</v>
      </c>
      <c r="P59" s="1413">
        <v>0</v>
      </c>
    </row>
    <row r="60" spans="1:995" s="225" customFormat="1" ht="27.75">
      <c r="A60" s="1404">
        <v>3</v>
      </c>
      <c r="B60" s="1974" t="str">
        <f>'plan &amp; Unit price &amp; Direct cost'!B46:C46</f>
        <v>Concrete sign post</v>
      </c>
      <c r="C60" s="1974"/>
      <c r="D60" s="959" t="str">
        <f>'plan &amp; Unit price &amp; Direct cost'!D46</f>
        <v>pcs</v>
      </c>
      <c r="E60" s="934">
        <f>'plan &amp; Unit price &amp; Direct cost'!E46</f>
        <v>500</v>
      </c>
      <c r="F60" s="610">
        <f>'[8]Daily Progress Report '!$O60</f>
        <v>0</v>
      </c>
      <c r="G60" s="750">
        <f>'[2]Daily Progress Report '!$O60</f>
        <v>0</v>
      </c>
      <c r="H60" s="750">
        <f>'[3]Daily Progress Report '!$O60</f>
        <v>0</v>
      </c>
      <c r="I60" s="610">
        <f>'[9]Daily Progress Report'!$O60</f>
        <v>0</v>
      </c>
      <c r="J60" s="750">
        <f>'[5]Daily Progress Report '!$O60</f>
        <v>0</v>
      </c>
      <c r="K60" s="750">
        <f>'[6]Daily Progress Report '!$O60</f>
        <v>0</v>
      </c>
      <c r="L60" s="750">
        <f>'[7]Daily Progress Report '!$O60</f>
        <v>0</v>
      </c>
      <c r="M60" s="750"/>
      <c r="N60" s="750">
        <f t="shared" si="0"/>
        <v>0</v>
      </c>
      <c r="O60" s="750">
        <f t="shared" si="1"/>
        <v>0</v>
      </c>
      <c r="P60" s="1416">
        <v>0</v>
      </c>
    </row>
    <row r="61" spans="1:995" s="230" customFormat="1" ht="27">
      <c r="A61" s="1966" t="s">
        <v>193</v>
      </c>
      <c r="B61" s="1967"/>
      <c r="C61" s="1967"/>
      <c r="D61" s="1387"/>
      <c r="E61" s="1387"/>
      <c r="F61" s="1388">
        <f>'[1]Daily Progress Report '!$O61</f>
        <v>0</v>
      </c>
      <c r="G61" s="1388">
        <f>'[2]Daily Progress Report '!$O61</f>
        <v>0</v>
      </c>
      <c r="H61" s="1388">
        <f>'[3]Daily Progress Report '!$O61</f>
        <v>0</v>
      </c>
      <c r="I61" s="1388">
        <f>'[4]Daily Progress Report'!$O61</f>
        <v>0</v>
      </c>
      <c r="J61" s="1388">
        <f>'[5]Daily Progress Report '!$O61</f>
        <v>0</v>
      </c>
      <c r="K61" s="1388">
        <f>'[6]Daily Progress Report '!$O61</f>
        <v>0</v>
      </c>
      <c r="L61" s="1388">
        <f>'[7]Daily Progress Report '!$O61</f>
        <v>0</v>
      </c>
      <c r="M61" s="1388"/>
      <c r="N61" s="1388">
        <f t="shared" si="0"/>
        <v>0</v>
      </c>
      <c r="O61" s="1388">
        <f t="shared" si="1"/>
        <v>0</v>
      </c>
      <c r="P61" s="1419">
        <v>0</v>
      </c>
    </row>
    <row r="62" spans="1:995" s="229" customFormat="1" ht="27" hidden="1">
      <c r="A62" s="2001" t="s">
        <v>246</v>
      </c>
      <c r="B62" s="2002"/>
      <c r="C62" s="2002"/>
      <c r="D62" s="939"/>
      <c r="E62" s="939"/>
      <c r="F62" s="751">
        <f>'[1]Daily Progress Report '!$O62</f>
        <v>0</v>
      </c>
      <c r="G62" s="751">
        <f>'[2]Daily Progress Report '!$O62</f>
        <v>0</v>
      </c>
      <c r="H62" s="751">
        <f>'[3]Daily Progress Report '!$O62</f>
        <v>0</v>
      </c>
      <c r="I62" s="751">
        <f>'[4]Daily Progress Report'!$O62</f>
        <v>0</v>
      </c>
      <c r="J62" s="751">
        <f>'[5]Daily Progress Report '!$O62</f>
        <v>0</v>
      </c>
      <c r="K62" s="751">
        <f>'[6]Daily Progress Report '!$O62</f>
        <v>0</v>
      </c>
      <c r="L62" s="751">
        <f>'[7]Daily Progress Report '!$O62</f>
        <v>0</v>
      </c>
      <c r="M62" s="751" t="e">
        <f>'[1]Daily Progress Report '!$M62+'[2]Daily Progress Report '!$M62+'[3]Daily Progress Report '!$M62+'[4]Daily Progress Report'!$M62+'[5]Daily Progress Report '!$M62+'[6]Daily Progress Report '!$M62+'[7]Daily Progress Report '!$M62</f>
        <v>#REF!</v>
      </c>
      <c r="N62" s="751" t="e">
        <f t="shared" si="0"/>
        <v>#REF!</v>
      </c>
      <c r="O62" s="751">
        <f t="shared" si="1"/>
        <v>0</v>
      </c>
      <c r="P62" s="1420"/>
    </row>
    <row r="63" spans="1:995" s="85" customFormat="1" ht="2.25" hidden="1" customHeight="1">
      <c r="A63" s="1421"/>
      <c r="B63" s="2005"/>
      <c r="C63" s="2005"/>
      <c r="D63" s="2005"/>
      <c r="E63" s="941"/>
      <c r="F63" s="745"/>
      <c r="G63" s="745"/>
      <c r="H63" s="745"/>
      <c r="I63" s="746"/>
      <c r="J63" s="746"/>
      <c r="K63" s="746"/>
      <c r="L63" s="747"/>
      <c r="M63" s="748"/>
      <c r="N63" s="967"/>
      <c r="O63" s="749"/>
      <c r="P63" s="950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01"/>
      <c r="AX63" s="101"/>
      <c r="AY63" s="101"/>
      <c r="AZ63" s="101"/>
      <c r="BA63" s="101"/>
      <c r="BB63" s="101"/>
      <c r="BC63" s="101"/>
      <c r="BD63" s="101"/>
      <c r="BE63" s="101"/>
      <c r="BF63" s="101"/>
      <c r="BG63" s="101"/>
      <c r="BH63" s="101"/>
      <c r="BI63" s="101"/>
      <c r="BJ63" s="101"/>
      <c r="BK63" s="101"/>
      <c r="BL63" s="101"/>
      <c r="BM63" s="101"/>
      <c r="BN63" s="101"/>
      <c r="BO63" s="101"/>
      <c r="BP63" s="101"/>
      <c r="BQ63" s="101"/>
      <c r="BR63" s="101"/>
      <c r="BS63" s="101"/>
      <c r="BT63" s="101"/>
      <c r="BU63" s="101"/>
      <c r="BV63" s="101"/>
      <c r="BW63" s="101"/>
      <c r="BX63" s="101"/>
      <c r="BY63" s="101"/>
      <c r="BZ63" s="101"/>
      <c r="CA63" s="101"/>
      <c r="CB63" s="101"/>
      <c r="CC63" s="101"/>
      <c r="CD63" s="101"/>
      <c r="CE63" s="101"/>
      <c r="CF63" s="101"/>
      <c r="CG63" s="101"/>
      <c r="CH63" s="101"/>
      <c r="CI63" s="101"/>
      <c r="CJ63" s="101"/>
      <c r="CK63" s="101"/>
      <c r="CL63" s="101"/>
      <c r="CM63" s="101"/>
      <c r="CN63" s="101"/>
      <c r="CO63" s="101"/>
      <c r="CP63" s="101"/>
      <c r="CQ63" s="101"/>
      <c r="CR63" s="101"/>
      <c r="CS63" s="101"/>
      <c r="CT63" s="101"/>
      <c r="CU63" s="101"/>
      <c r="CV63" s="101"/>
      <c r="CW63" s="101"/>
      <c r="CX63" s="101"/>
      <c r="CY63" s="101"/>
      <c r="CZ63" s="101"/>
      <c r="DA63" s="101"/>
      <c r="DB63" s="101"/>
      <c r="DC63" s="101"/>
      <c r="DD63" s="101"/>
      <c r="DE63" s="101"/>
      <c r="DF63" s="101"/>
      <c r="DG63" s="101"/>
      <c r="DH63" s="101"/>
      <c r="DI63" s="101"/>
      <c r="DJ63" s="101"/>
      <c r="DK63" s="101"/>
      <c r="DL63" s="101"/>
      <c r="DM63" s="101"/>
      <c r="DN63" s="101"/>
      <c r="DO63" s="101"/>
      <c r="DP63" s="101"/>
      <c r="DQ63" s="101"/>
      <c r="DR63" s="101"/>
      <c r="DS63" s="101"/>
      <c r="DT63" s="101"/>
      <c r="DU63" s="101"/>
      <c r="DV63" s="101"/>
      <c r="DW63" s="101"/>
      <c r="DX63" s="101"/>
      <c r="DY63" s="101"/>
      <c r="DZ63" s="101"/>
      <c r="EA63" s="101"/>
      <c r="EB63" s="101"/>
      <c r="EC63" s="101"/>
      <c r="ED63" s="101"/>
      <c r="EE63" s="101"/>
      <c r="EF63" s="101"/>
      <c r="EG63" s="101"/>
      <c r="EH63" s="101"/>
      <c r="EI63" s="101"/>
      <c r="EJ63" s="101"/>
      <c r="EK63" s="101"/>
      <c r="EL63" s="101"/>
      <c r="EM63" s="101"/>
      <c r="EN63" s="101"/>
      <c r="EO63" s="101"/>
      <c r="EP63" s="101"/>
      <c r="EQ63" s="101"/>
      <c r="ER63" s="101"/>
      <c r="ES63" s="101"/>
      <c r="ET63" s="101"/>
      <c r="EU63" s="101"/>
      <c r="EV63" s="101"/>
      <c r="EW63" s="101"/>
      <c r="EX63" s="101"/>
      <c r="EY63" s="101"/>
      <c r="EZ63" s="101"/>
      <c r="FA63" s="101"/>
      <c r="FB63" s="101"/>
      <c r="FC63" s="101"/>
      <c r="FD63" s="101"/>
      <c r="FE63" s="101"/>
      <c r="FF63" s="101"/>
      <c r="FG63" s="101"/>
      <c r="FH63" s="101"/>
      <c r="FI63" s="101"/>
      <c r="FJ63" s="101"/>
      <c r="FK63" s="101"/>
      <c r="FL63" s="101"/>
      <c r="FM63" s="101"/>
      <c r="FN63" s="101"/>
      <c r="FO63" s="101"/>
      <c r="FP63" s="101"/>
      <c r="FQ63" s="101"/>
      <c r="FR63" s="101"/>
      <c r="FS63" s="101"/>
      <c r="FT63" s="101"/>
      <c r="FU63" s="101"/>
      <c r="FV63" s="101"/>
      <c r="FW63" s="101"/>
      <c r="FX63" s="101"/>
      <c r="FY63" s="101"/>
      <c r="FZ63" s="101"/>
      <c r="GA63" s="101"/>
      <c r="GB63" s="101"/>
      <c r="GC63" s="101"/>
      <c r="GD63" s="101"/>
      <c r="GE63" s="101"/>
      <c r="GF63" s="101"/>
      <c r="GG63" s="101"/>
      <c r="GH63" s="101"/>
      <c r="GI63" s="101"/>
      <c r="GJ63" s="101"/>
      <c r="GK63" s="101"/>
      <c r="GL63" s="101"/>
      <c r="GM63" s="101"/>
      <c r="GN63" s="101"/>
      <c r="GO63" s="101"/>
      <c r="GP63" s="101"/>
      <c r="GQ63" s="101"/>
      <c r="GR63" s="101"/>
      <c r="GS63" s="101"/>
      <c r="GT63" s="101"/>
      <c r="GU63" s="101"/>
      <c r="GV63" s="101"/>
      <c r="GW63" s="101"/>
      <c r="GX63" s="101"/>
      <c r="GY63" s="101"/>
      <c r="GZ63" s="101"/>
      <c r="HA63" s="101"/>
      <c r="HB63" s="101"/>
      <c r="HC63" s="101"/>
      <c r="HD63" s="101"/>
      <c r="HE63" s="101"/>
      <c r="HF63" s="101"/>
      <c r="HG63" s="101"/>
      <c r="HH63" s="101"/>
      <c r="HI63" s="101"/>
      <c r="HJ63" s="101"/>
      <c r="HK63" s="101"/>
      <c r="HL63" s="101"/>
      <c r="HM63" s="101"/>
      <c r="HN63" s="101"/>
      <c r="HO63" s="101"/>
      <c r="HP63" s="101"/>
      <c r="HQ63" s="101"/>
      <c r="HR63" s="101"/>
      <c r="HS63" s="101"/>
      <c r="HT63" s="101"/>
      <c r="HU63" s="101"/>
      <c r="HV63" s="101"/>
      <c r="HW63" s="101"/>
      <c r="HX63" s="101"/>
      <c r="HY63" s="101"/>
      <c r="HZ63" s="101"/>
      <c r="IA63" s="101"/>
      <c r="IB63" s="101"/>
      <c r="IC63" s="101"/>
      <c r="ID63" s="101"/>
      <c r="IE63" s="101"/>
      <c r="IF63" s="101"/>
      <c r="IG63" s="101"/>
      <c r="IH63" s="101"/>
      <c r="II63" s="101"/>
      <c r="IJ63" s="101"/>
      <c r="IK63" s="101"/>
      <c r="IL63" s="101"/>
      <c r="IM63" s="101"/>
      <c r="IN63" s="101"/>
      <c r="IO63" s="101"/>
      <c r="IP63" s="101"/>
      <c r="IQ63" s="101"/>
      <c r="IR63" s="101"/>
      <c r="IS63" s="101"/>
      <c r="IT63" s="101"/>
      <c r="IU63" s="101"/>
      <c r="IV63" s="101"/>
      <c r="IW63" s="101"/>
      <c r="IX63" s="101"/>
      <c r="IY63" s="101"/>
      <c r="IZ63" s="101"/>
      <c r="JA63" s="101"/>
      <c r="JB63" s="101"/>
      <c r="JC63" s="101"/>
      <c r="JD63" s="101"/>
      <c r="JE63" s="101"/>
      <c r="JF63" s="101"/>
      <c r="JG63" s="101"/>
      <c r="JH63" s="101"/>
      <c r="JI63" s="101"/>
      <c r="JJ63" s="101"/>
      <c r="JK63" s="101"/>
      <c r="JL63" s="101"/>
      <c r="JM63" s="101"/>
      <c r="JN63" s="101"/>
      <c r="JO63" s="101"/>
      <c r="JP63" s="101"/>
      <c r="JQ63" s="101"/>
      <c r="JR63" s="101"/>
      <c r="JS63" s="101"/>
      <c r="JT63" s="101"/>
      <c r="JU63" s="101"/>
      <c r="JV63" s="101"/>
      <c r="JW63" s="101"/>
      <c r="JX63" s="101"/>
      <c r="JY63" s="101"/>
      <c r="JZ63" s="101"/>
      <c r="KA63" s="101"/>
      <c r="KB63" s="101"/>
      <c r="KC63" s="101"/>
      <c r="KD63" s="101"/>
      <c r="KE63" s="101"/>
      <c r="KF63" s="101"/>
      <c r="KG63" s="101"/>
      <c r="KH63" s="101"/>
      <c r="KI63" s="101"/>
      <c r="KJ63" s="101"/>
      <c r="KK63" s="101"/>
      <c r="KL63" s="101"/>
      <c r="KM63" s="101"/>
      <c r="KN63" s="101"/>
      <c r="KO63" s="101"/>
      <c r="KP63" s="101"/>
      <c r="KQ63" s="101"/>
      <c r="KR63" s="101"/>
      <c r="KS63" s="101"/>
      <c r="KT63" s="101"/>
      <c r="KU63" s="101"/>
      <c r="KV63" s="101"/>
      <c r="KW63" s="101"/>
      <c r="KX63" s="101"/>
      <c r="KY63" s="101"/>
      <c r="KZ63" s="101"/>
      <c r="LA63" s="101"/>
      <c r="LB63" s="101"/>
      <c r="LC63" s="101"/>
      <c r="LD63" s="101"/>
      <c r="LE63" s="101"/>
      <c r="LF63" s="101"/>
      <c r="LG63" s="101"/>
      <c r="LH63" s="101"/>
      <c r="LI63" s="101"/>
      <c r="LJ63" s="101"/>
      <c r="LK63" s="101"/>
      <c r="LL63" s="101"/>
      <c r="LM63" s="101"/>
      <c r="LN63" s="101"/>
      <c r="LO63" s="101"/>
      <c r="LP63" s="101"/>
      <c r="LQ63" s="101"/>
      <c r="LR63" s="101"/>
      <c r="LS63" s="101"/>
      <c r="LT63" s="101"/>
      <c r="LU63" s="101"/>
      <c r="LV63" s="101"/>
      <c r="LW63" s="101"/>
      <c r="LX63" s="101"/>
      <c r="LY63" s="101"/>
      <c r="LZ63" s="101"/>
      <c r="MA63" s="101"/>
      <c r="MB63" s="101"/>
      <c r="MC63" s="101"/>
      <c r="MD63" s="101"/>
      <c r="ME63" s="101"/>
      <c r="MF63" s="101"/>
      <c r="MG63" s="101"/>
      <c r="MH63" s="101"/>
      <c r="MI63" s="101"/>
      <c r="MJ63" s="101"/>
      <c r="MK63" s="101"/>
      <c r="ML63" s="101"/>
      <c r="MM63" s="101"/>
      <c r="MN63" s="101"/>
      <c r="MO63" s="101"/>
      <c r="MP63" s="101"/>
      <c r="MQ63" s="101"/>
      <c r="MR63" s="101"/>
      <c r="MS63" s="101"/>
      <c r="MT63" s="101"/>
      <c r="MU63" s="101"/>
      <c r="MV63" s="101"/>
      <c r="MW63" s="101"/>
      <c r="MX63" s="101"/>
      <c r="MY63" s="101"/>
      <c r="MZ63" s="101"/>
      <c r="NA63" s="101"/>
      <c r="NB63" s="101"/>
      <c r="NC63" s="101"/>
      <c r="ND63" s="101"/>
      <c r="NE63" s="101"/>
      <c r="NF63" s="101"/>
      <c r="NG63" s="101"/>
      <c r="NH63" s="101"/>
      <c r="NI63" s="101"/>
      <c r="NJ63" s="101"/>
      <c r="NK63" s="101"/>
      <c r="NL63" s="101"/>
      <c r="NM63" s="101"/>
      <c r="NN63" s="101"/>
      <c r="NO63" s="101"/>
      <c r="NP63" s="101"/>
      <c r="NQ63" s="101"/>
      <c r="NR63" s="101"/>
      <c r="NS63" s="101"/>
      <c r="NT63" s="101"/>
      <c r="NU63" s="101"/>
      <c r="NV63" s="101"/>
      <c r="NW63" s="101"/>
      <c r="NX63" s="101"/>
      <c r="NY63" s="101"/>
      <c r="NZ63" s="101"/>
      <c r="OA63" s="101"/>
      <c r="OB63" s="101"/>
      <c r="OC63" s="101"/>
      <c r="OD63" s="101"/>
      <c r="OE63" s="101"/>
      <c r="OF63" s="101"/>
      <c r="OG63" s="101"/>
      <c r="OH63" s="101"/>
      <c r="OI63" s="101"/>
      <c r="OJ63" s="101"/>
      <c r="OK63" s="101"/>
      <c r="OL63" s="101"/>
      <c r="OM63" s="101"/>
      <c r="ON63" s="101"/>
      <c r="OO63" s="101"/>
      <c r="OP63" s="101"/>
      <c r="OQ63" s="101"/>
      <c r="OR63" s="101"/>
      <c r="OS63" s="101"/>
      <c r="OT63" s="101"/>
      <c r="OU63" s="101"/>
      <c r="OV63" s="101"/>
      <c r="OW63" s="101"/>
      <c r="OX63" s="101"/>
      <c r="OY63" s="101"/>
      <c r="OZ63" s="101"/>
      <c r="PA63" s="101"/>
      <c r="PB63" s="101"/>
      <c r="PC63" s="101"/>
      <c r="PD63" s="101"/>
      <c r="PE63" s="101"/>
      <c r="PF63" s="101"/>
      <c r="PG63" s="101"/>
      <c r="PH63" s="101"/>
      <c r="PI63" s="101"/>
      <c r="PJ63" s="101"/>
      <c r="PK63" s="101"/>
      <c r="PL63" s="101"/>
      <c r="PM63" s="101"/>
      <c r="PN63" s="101"/>
      <c r="PO63" s="101"/>
      <c r="PP63" s="101"/>
      <c r="PQ63" s="101"/>
      <c r="PR63" s="101"/>
      <c r="PS63" s="101"/>
      <c r="PT63" s="101"/>
      <c r="PU63" s="101"/>
      <c r="PV63" s="101"/>
      <c r="PW63" s="101"/>
      <c r="PX63" s="101"/>
      <c r="PY63" s="101"/>
      <c r="PZ63" s="101"/>
      <c r="QA63" s="101"/>
      <c r="QB63" s="101"/>
      <c r="QC63" s="101"/>
      <c r="QD63" s="101"/>
      <c r="QE63" s="101"/>
      <c r="QF63" s="101"/>
      <c r="QG63" s="101"/>
      <c r="QH63" s="101"/>
      <c r="QI63" s="101"/>
      <c r="QJ63" s="101"/>
      <c r="QK63" s="101"/>
      <c r="QL63" s="101"/>
      <c r="QM63" s="101"/>
      <c r="QN63" s="101"/>
      <c r="QO63" s="101"/>
      <c r="QP63" s="101"/>
      <c r="QQ63" s="101"/>
      <c r="QR63" s="101"/>
      <c r="QS63" s="101"/>
      <c r="QT63" s="101"/>
      <c r="QU63" s="101"/>
      <c r="QV63" s="101"/>
      <c r="QW63" s="101"/>
      <c r="QX63" s="101"/>
      <c r="QY63" s="101"/>
      <c r="QZ63" s="101"/>
      <c r="RA63" s="101"/>
      <c r="RB63" s="101"/>
      <c r="RC63" s="101"/>
      <c r="RD63" s="101"/>
      <c r="RE63" s="101"/>
      <c r="RF63" s="101"/>
      <c r="RG63" s="101"/>
      <c r="RH63" s="101"/>
      <c r="RI63" s="101"/>
      <c r="RJ63" s="101"/>
      <c r="RK63" s="101"/>
      <c r="RL63" s="101"/>
      <c r="RM63" s="101"/>
      <c r="RN63" s="101"/>
      <c r="RO63" s="101"/>
      <c r="RP63" s="101"/>
      <c r="RQ63" s="101"/>
      <c r="RR63" s="101"/>
      <c r="RS63" s="101"/>
      <c r="RT63" s="101"/>
      <c r="RU63" s="101"/>
      <c r="RV63" s="101"/>
      <c r="RW63" s="101"/>
      <c r="RX63" s="101"/>
      <c r="RY63" s="101"/>
      <c r="RZ63" s="101"/>
      <c r="SA63" s="101"/>
      <c r="SB63" s="101"/>
      <c r="SC63" s="101"/>
      <c r="SD63" s="101"/>
      <c r="SE63" s="101"/>
      <c r="SF63" s="101"/>
      <c r="SG63" s="101"/>
      <c r="SH63" s="101"/>
      <c r="SI63" s="101"/>
      <c r="SJ63" s="101"/>
      <c r="SK63" s="101"/>
      <c r="SL63" s="101"/>
      <c r="SM63" s="101"/>
      <c r="SN63" s="101"/>
      <c r="SO63" s="101"/>
      <c r="SP63" s="101"/>
      <c r="SQ63" s="101"/>
      <c r="SR63" s="101"/>
      <c r="SS63" s="101"/>
      <c r="ST63" s="101"/>
      <c r="SU63" s="101"/>
      <c r="SV63" s="101"/>
      <c r="SW63" s="101"/>
      <c r="SX63" s="101"/>
      <c r="SY63" s="101"/>
      <c r="SZ63" s="101"/>
      <c r="TA63" s="101"/>
      <c r="TB63" s="101"/>
      <c r="TC63" s="101"/>
      <c r="TD63" s="101"/>
      <c r="TE63" s="101"/>
      <c r="TF63" s="101"/>
      <c r="TG63" s="101"/>
      <c r="TH63" s="101"/>
      <c r="TI63" s="101"/>
      <c r="TJ63" s="101"/>
      <c r="TK63" s="101"/>
      <c r="TL63" s="101"/>
      <c r="TM63" s="101"/>
      <c r="TN63" s="101"/>
      <c r="TO63" s="101"/>
      <c r="TP63" s="101"/>
      <c r="TQ63" s="101"/>
      <c r="TR63" s="101"/>
      <c r="TS63" s="101"/>
      <c r="TT63" s="101"/>
      <c r="TU63" s="101"/>
      <c r="TV63" s="101"/>
      <c r="TW63" s="101"/>
      <c r="TX63" s="101"/>
      <c r="TY63" s="101"/>
      <c r="TZ63" s="101"/>
      <c r="UA63" s="101"/>
      <c r="UB63" s="101"/>
      <c r="UC63" s="101"/>
      <c r="UD63" s="101"/>
      <c r="UE63" s="101"/>
      <c r="UF63" s="101"/>
      <c r="UG63" s="101"/>
      <c r="UH63" s="101"/>
      <c r="UI63" s="101"/>
      <c r="UJ63" s="101"/>
      <c r="UK63" s="101"/>
      <c r="UL63" s="101"/>
      <c r="UM63" s="101"/>
      <c r="UN63" s="101"/>
      <c r="UO63" s="101"/>
      <c r="UP63" s="101"/>
      <c r="UQ63" s="101"/>
      <c r="UR63" s="101"/>
      <c r="US63" s="101"/>
      <c r="UT63" s="101"/>
      <c r="UU63" s="101"/>
      <c r="UV63" s="101"/>
      <c r="UW63" s="101"/>
      <c r="UX63" s="101"/>
      <c r="UY63" s="101"/>
      <c r="UZ63" s="101"/>
      <c r="VA63" s="101"/>
      <c r="VB63" s="101"/>
      <c r="VC63" s="101"/>
      <c r="VD63" s="101"/>
      <c r="VE63" s="101"/>
      <c r="VF63" s="101"/>
      <c r="VG63" s="101"/>
      <c r="VH63" s="101"/>
      <c r="VI63" s="101"/>
      <c r="VJ63" s="101"/>
      <c r="VK63" s="101"/>
      <c r="VL63" s="101"/>
      <c r="VM63" s="101"/>
      <c r="VN63" s="101"/>
      <c r="VO63" s="101"/>
      <c r="VP63" s="101"/>
      <c r="VQ63" s="101"/>
      <c r="VR63" s="101"/>
      <c r="VS63" s="101"/>
      <c r="VT63" s="101"/>
      <c r="VU63" s="101"/>
      <c r="VV63" s="101"/>
      <c r="VW63" s="101"/>
      <c r="VX63" s="101"/>
      <c r="VY63" s="101"/>
      <c r="VZ63" s="101"/>
      <c r="WA63" s="101"/>
      <c r="WB63" s="101"/>
      <c r="WC63" s="101"/>
      <c r="WD63" s="101"/>
      <c r="WE63" s="101"/>
      <c r="WF63" s="101"/>
      <c r="WG63" s="101"/>
      <c r="WH63" s="101"/>
      <c r="WI63" s="101"/>
      <c r="WJ63" s="101"/>
      <c r="WK63" s="101"/>
      <c r="WL63" s="101"/>
      <c r="WM63" s="101"/>
      <c r="WN63" s="101"/>
      <c r="WO63" s="101"/>
      <c r="WP63" s="101"/>
      <c r="WQ63" s="101"/>
      <c r="WR63" s="101"/>
      <c r="WS63" s="101"/>
      <c r="WT63" s="101"/>
      <c r="WU63" s="101"/>
      <c r="WV63" s="101"/>
      <c r="WW63" s="101"/>
      <c r="WX63" s="101"/>
      <c r="WY63" s="101"/>
      <c r="WZ63" s="101"/>
      <c r="XA63" s="101"/>
      <c r="XB63" s="101"/>
      <c r="XC63" s="101"/>
      <c r="XD63" s="101"/>
      <c r="XE63" s="101"/>
      <c r="XF63" s="101"/>
      <c r="XG63" s="101"/>
      <c r="XH63" s="101"/>
      <c r="XI63" s="101"/>
      <c r="XJ63" s="101"/>
      <c r="XK63" s="101"/>
      <c r="XL63" s="101"/>
      <c r="XM63" s="101"/>
      <c r="XN63" s="101"/>
      <c r="XO63" s="101"/>
      <c r="XP63" s="101"/>
      <c r="XQ63" s="101"/>
      <c r="XR63" s="101"/>
      <c r="XS63" s="101"/>
      <c r="XT63" s="101"/>
      <c r="XU63" s="101"/>
      <c r="XV63" s="101"/>
      <c r="XW63" s="101"/>
      <c r="XX63" s="101"/>
      <c r="XY63" s="101"/>
      <c r="XZ63" s="101"/>
      <c r="YA63" s="101"/>
      <c r="YB63" s="101"/>
      <c r="YC63" s="101"/>
      <c r="YD63" s="101"/>
      <c r="YE63" s="101"/>
      <c r="YF63" s="101"/>
      <c r="YG63" s="101"/>
      <c r="YH63" s="101"/>
      <c r="YI63" s="101"/>
      <c r="YJ63" s="101"/>
      <c r="YK63" s="101"/>
      <c r="YL63" s="101"/>
      <c r="YM63" s="101"/>
      <c r="YN63" s="101"/>
      <c r="YO63" s="101"/>
      <c r="YP63" s="101"/>
      <c r="YQ63" s="101"/>
      <c r="YR63" s="101"/>
      <c r="YS63" s="101"/>
      <c r="YT63" s="101"/>
      <c r="YU63" s="101"/>
      <c r="YV63" s="101"/>
      <c r="YW63" s="101"/>
      <c r="YX63" s="101"/>
      <c r="YY63" s="101"/>
      <c r="YZ63" s="101"/>
      <c r="ZA63" s="101"/>
      <c r="ZB63" s="101"/>
      <c r="ZC63" s="101"/>
      <c r="ZD63" s="101"/>
      <c r="ZE63" s="101"/>
      <c r="ZF63" s="101"/>
      <c r="ZG63" s="101"/>
      <c r="ZH63" s="101"/>
      <c r="ZI63" s="101"/>
      <c r="ZJ63" s="101"/>
      <c r="ZK63" s="101"/>
      <c r="ZL63" s="101"/>
      <c r="ZM63" s="101"/>
      <c r="ZN63" s="101"/>
      <c r="ZO63" s="101"/>
      <c r="ZP63" s="101"/>
      <c r="ZQ63" s="101"/>
      <c r="ZR63" s="101"/>
      <c r="ZS63" s="101"/>
      <c r="ZT63" s="101"/>
      <c r="ZU63" s="101"/>
      <c r="ZV63" s="101"/>
      <c r="ZW63" s="101"/>
      <c r="ZX63" s="101"/>
      <c r="ZY63" s="101"/>
      <c r="ZZ63" s="101"/>
      <c r="AAA63" s="101"/>
      <c r="AAB63" s="101"/>
      <c r="AAC63" s="101"/>
      <c r="AAD63" s="101"/>
      <c r="AAE63" s="101"/>
      <c r="AAF63" s="101"/>
      <c r="AAG63" s="101"/>
      <c r="AAH63" s="101"/>
      <c r="AAI63" s="101"/>
      <c r="AAJ63" s="101"/>
      <c r="AAK63" s="101"/>
      <c r="AAL63" s="101"/>
      <c r="AAM63" s="101"/>
      <c r="AAN63" s="101"/>
      <c r="AAO63" s="101"/>
      <c r="AAP63" s="101"/>
      <c r="AAQ63" s="101"/>
      <c r="AAR63" s="101"/>
      <c r="AAS63" s="101"/>
      <c r="AAT63" s="101"/>
      <c r="AAU63" s="101"/>
      <c r="AAV63" s="101"/>
      <c r="AAW63" s="101"/>
      <c r="AAX63" s="101"/>
      <c r="AAY63" s="101"/>
      <c r="AAZ63" s="101"/>
      <c r="ABA63" s="101"/>
      <c r="ABB63" s="101"/>
      <c r="ABC63" s="101"/>
      <c r="ABD63" s="101"/>
      <c r="ABE63" s="101"/>
      <c r="ABF63" s="101"/>
      <c r="ABG63" s="101"/>
      <c r="ABH63" s="101"/>
      <c r="ABI63" s="101"/>
      <c r="ABJ63" s="101"/>
      <c r="ABK63" s="101"/>
      <c r="ABL63" s="101"/>
      <c r="ABM63" s="101"/>
      <c r="ABN63" s="101"/>
      <c r="ABO63" s="101"/>
      <c r="ABP63" s="101"/>
      <c r="ABQ63" s="101"/>
      <c r="ABR63" s="101"/>
      <c r="ABS63" s="101"/>
      <c r="ABT63" s="101"/>
      <c r="ABU63" s="101"/>
      <c r="ABV63" s="101"/>
      <c r="ABW63" s="101"/>
      <c r="ABX63" s="101"/>
      <c r="ABY63" s="101"/>
      <c r="ABZ63" s="101"/>
      <c r="ACA63" s="101"/>
      <c r="ACB63" s="101"/>
      <c r="ACC63" s="101"/>
      <c r="ACD63" s="101"/>
      <c r="ACE63" s="101"/>
      <c r="ACF63" s="101"/>
      <c r="ACG63" s="101"/>
      <c r="ACH63" s="101"/>
      <c r="ACI63" s="101"/>
      <c r="ACJ63" s="101"/>
      <c r="ACK63" s="101"/>
      <c r="ACL63" s="101"/>
      <c r="ACM63" s="101"/>
      <c r="ACN63" s="101"/>
      <c r="ACO63" s="101"/>
      <c r="ACP63" s="101"/>
      <c r="ACQ63" s="101"/>
      <c r="ACR63" s="101"/>
      <c r="ACS63" s="101"/>
      <c r="ACT63" s="101"/>
      <c r="ACU63" s="101"/>
      <c r="ACV63" s="101"/>
      <c r="ACW63" s="101"/>
      <c r="ACX63" s="101"/>
      <c r="ACY63" s="101"/>
      <c r="ACZ63" s="101"/>
      <c r="ADA63" s="101"/>
      <c r="ADB63" s="101"/>
      <c r="ADC63" s="101"/>
      <c r="ADD63" s="101"/>
      <c r="ADE63" s="101"/>
      <c r="ADF63" s="101"/>
      <c r="ADG63" s="101"/>
      <c r="ADH63" s="101"/>
      <c r="ADI63" s="101"/>
      <c r="ADJ63" s="101"/>
      <c r="ADK63" s="101"/>
      <c r="ADL63" s="101"/>
      <c r="ADM63" s="101"/>
      <c r="ADN63" s="101"/>
      <c r="ADO63" s="101"/>
      <c r="ADP63" s="101"/>
      <c r="ADQ63" s="101"/>
      <c r="ADR63" s="101"/>
      <c r="ADS63" s="101"/>
      <c r="ADT63" s="101"/>
      <c r="ADU63" s="101"/>
      <c r="ADV63" s="101"/>
      <c r="ADW63" s="101"/>
      <c r="ADX63" s="101"/>
      <c r="ADY63" s="101"/>
      <c r="ADZ63" s="101"/>
      <c r="AEA63" s="101"/>
      <c r="AEB63" s="101"/>
      <c r="AEC63" s="101"/>
      <c r="AED63" s="101"/>
      <c r="AEE63" s="101"/>
      <c r="AEF63" s="101"/>
      <c r="AEG63" s="101"/>
      <c r="AEH63" s="101"/>
      <c r="AEI63" s="101"/>
      <c r="AEJ63" s="101"/>
      <c r="AEK63" s="101"/>
      <c r="AEL63" s="101"/>
      <c r="AEM63" s="101"/>
      <c r="AEN63" s="101"/>
      <c r="AEO63" s="101"/>
      <c r="AEP63" s="101"/>
      <c r="AEQ63" s="101"/>
      <c r="AER63" s="101"/>
      <c r="AES63" s="101"/>
      <c r="AET63" s="101"/>
      <c r="AEU63" s="101"/>
      <c r="AEV63" s="101"/>
      <c r="AEW63" s="101"/>
      <c r="AEX63" s="101"/>
      <c r="AEY63" s="101"/>
      <c r="AEZ63" s="101"/>
      <c r="AFA63" s="101"/>
      <c r="AFB63" s="101"/>
      <c r="AFC63" s="101"/>
      <c r="AFD63" s="101"/>
      <c r="AFE63" s="101"/>
      <c r="AFF63" s="101"/>
      <c r="AFG63" s="101"/>
      <c r="AFH63" s="101"/>
      <c r="AFI63" s="101"/>
      <c r="AFJ63" s="101"/>
      <c r="AFK63" s="101"/>
      <c r="AFL63" s="101"/>
      <c r="AFM63" s="101"/>
      <c r="AFN63" s="101"/>
      <c r="AFO63" s="101"/>
      <c r="AFP63" s="101"/>
      <c r="AFQ63" s="101"/>
      <c r="AFR63" s="101"/>
      <c r="AFS63" s="101"/>
      <c r="AFT63" s="101"/>
      <c r="AFU63" s="101"/>
      <c r="AFV63" s="101"/>
      <c r="AFW63" s="101"/>
      <c r="AFX63" s="101"/>
      <c r="AFY63" s="101"/>
      <c r="AFZ63" s="101"/>
      <c r="AGA63" s="101"/>
      <c r="AGB63" s="101"/>
      <c r="AGC63" s="101"/>
      <c r="AGD63" s="101"/>
      <c r="AGE63" s="101"/>
      <c r="AGF63" s="101"/>
      <c r="AGG63" s="101"/>
      <c r="AGH63" s="101"/>
      <c r="AGI63" s="101"/>
      <c r="AGJ63" s="101"/>
      <c r="AGK63" s="101"/>
      <c r="AGL63" s="101"/>
      <c r="AGM63" s="101"/>
      <c r="AGN63" s="101"/>
      <c r="AGO63" s="101"/>
      <c r="AGP63" s="101"/>
      <c r="AGQ63" s="101"/>
      <c r="AGR63" s="101"/>
      <c r="AGS63" s="101"/>
      <c r="AGT63" s="101"/>
      <c r="AGU63" s="101"/>
      <c r="AGV63" s="101"/>
      <c r="AGW63" s="101"/>
      <c r="AGX63" s="101"/>
      <c r="AGY63" s="101"/>
      <c r="AGZ63" s="101"/>
      <c r="AHA63" s="101"/>
      <c r="AHB63" s="101"/>
      <c r="AHC63" s="101"/>
      <c r="AHD63" s="101"/>
      <c r="AHE63" s="101"/>
      <c r="AHF63" s="101"/>
      <c r="AHG63" s="101"/>
      <c r="AHH63" s="101"/>
      <c r="AHI63" s="101"/>
      <c r="AHJ63" s="101"/>
      <c r="AHK63" s="101"/>
      <c r="AHL63" s="101"/>
      <c r="AHM63" s="101"/>
      <c r="AHN63" s="101"/>
      <c r="AHO63" s="101"/>
      <c r="AHP63" s="101"/>
      <c r="AHQ63" s="101"/>
      <c r="AHR63" s="101"/>
      <c r="AHS63" s="101"/>
      <c r="AHT63" s="101"/>
      <c r="AHU63" s="101"/>
      <c r="AHV63" s="101"/>
      <c r="AHW63" s="101"/>
      <c r="AHX63" s="101"/>
      <c r="AHY63" s="101"/>
      <c r="AHZ63" s="101"/>
      <c r="AIA63" s="101"/>
      <c r="AIB63" s="101"/>
      <c r="AIC63" s="101"/>
      <c r="AID63" s="101"/>
      <c r="AIE63" s="101"/>
      <c r="AIF63" s="101"/>
      <c r="AIG63" s="101"/>
      <c r="AIH63" s="101"/>
      <c r="AII63" s="101"/>
      <c r="AIJ63" s="101"/>
      <c r="AIK63" s="101"/>
      <c r="AIL63" s="101"/>
      <c r="AIM63" s="101"/>
      <c r="AIN63" s="101"/>
      <c r="AIO63" s="101"/>
      <c r="AIP63" s="101"/>
      <c r="AIQ63" s="101"/>
      <c r="AIR63" s="101"/>
      <c r="AIS63" s="101"/>
      <c r="AIT63" s="101"/>
      <c r="AIU63" s="101"/>
      <c r="AIV63" s="101"/>
      <c r="AIW63" s="101"/>
      <c r="AIX63" s="101"/>
      <c r="AIY63" s="101"/>
      <c r="AIZ63" s="101"/>
      <c r="AJA63" s="101"/>
      <c r="AJB63" s="101"/>
      <c r="AJC63" s="101"/>
      <c r="AJD63" s="101"/>
      <c r="AJE63" s="101"/>
      <c r="AJF63" s="101"/>
      <c r="AJG63" s="101"/>
      <c r="AJH63" s="101"/>
      <c r="AJI63" s="101"/>
      <c r="AJJ63" s="101"/>
      <c r="AJK63" s="101"/>
      <c r="AJL63" s="101"/>
      <c r="AJM63" s="101"/>
      <c r="AJN63" s="101"/>
      <c r="AJO63" s="101"/>
      <c r="AJP63" s="101"/>
      <c r="AJQ63" s="101"/>
      <c r="AJR63" s="101"/>
      <c r="AJS63" s="101"/>
      <c r="AJT63" s="101"/>
      <c r="AJU63" s="101"/>
      <c r="AJV63" s="101"/>
      <c r="AJW63" s="101"/>
      <c r="AJX63" s="101"/>
      <c r="AJY63" s="101"/>
      <c r="AJZ63" s="101"/>
      <c r="AKA63" s="101"/>
      <c r="AKB63" s="101"/>
      <c r="AKC63" s="101"/>
      <c r="AKD63" s="101"/>
      <c r="AKE63" s="101"/>
      <c r="AKF63" s="101"/>
      <c r="AKG63" s="101"/>
      <c r="AKH63" s="101"/>
      <c r="AKI63" s="101"/>
      <c r="AKJ63" s="101"/>
      <c r="AKK63" s="101"/>
      <c r="AKL63" s="101"/>
      <c r="AKM63" s="101"/>
      <c r="AKN63" s="101"/>
      <c r="AKO63" s="101"/>
      <c r="AKP63" s="101"/>
      <c r="AKQ63" s="101"/>
      <c r="AKR63" s="101"/>
      <c r="AKS63" s="101"/>
      <c r="AKT63" s="101"/>
      <c r="AKU63" s="101"/>
      <c r="AKV63" s="101"/>
      <c r="AKW63" s="101"/>
      <c r="AKX63" s="101"/>
      <c r="AKY63" s="101"/>
      <c r="AKZ63" s="101"/>
      <c r="ALA63" s="101"/>
      <c r="ALB63" s="101"/>
      <c r="ALC63" s="101"/>
      <c r="ALD63" s="101"/>
      <c r="ALE63" s="101"/>
      <c r="ALF63" s="101"/>
      <c r="ALG63" s="101"/>
    </row>
    <row r="64" spans="1:995" s="225" customFormat="1" ht="25.5">
      <c r="A64" s="2003" t="s">
        <v>247</v>
      </c>
      <c r="B64" s="2004"/>
      <c r="C64" s="2004"/>
      <c r="D64" s="957"/>
      <c r="E64" s="933"/>
      <c r="F64" s="610">
        <f>'[1]Daily Progress Report '!$O63</f>
        <v>0</v>
      </c>
      <c r="G64" s="610">
        <f>'[2]Daily Progress Report '!$O63</f>
        <v>0</v>
      </c>
      <c r="H64" s="610">
        <f>'[3]Daily Progress Report '!$O63</f>
        <v>0</v>
      </c>
      <c r="I64" s="610">
        <f>'[4]Daily Progress Report'!$O63</f>
        <v>0</v>
      </c>
      <c r="J64" s="610">
        <f>'[5]Daily Progress Report '!$O63</f>
        <v>0</v>
      </c>
      <c r="K64" s="610">
        <f>'[6]Daily Progress Report '!$O63</f>
        <v>0</v>
      </c>
      <c r="L64" s="610">
        <f>'[7]Daily Progress Report '!$O63</f>
        <v>0</v>
      </c>
      <c r="M64" s="610"/>
      <c r="N64" s="610">
        <f t="shared" si="0"/>
        <v>0</v>
      </c>
      <c r="O64" s="610">
        <f t="shared" si="1"/>
        <v>0</v>
      </c>
      <c r="P64" s="1408"/>
    </row>
    <row r="65" spans="1:16" s="225" customFormat="1" ht="45.75" customHeight="1">
      <c r="A65" s="1422">
        <f>'plan &amp; Unit price &amp; Direct cost'!A50</f>
        <v>1</v>
      </c>
      <c r="B65" s="1965" t="str">
        <f>'Direct cost summary '!B15</f>
        <v>Excavation to stock/production</v>
      </c>
      <c r="C65" s="1965"/>
      <c r="D65" s="957" t="str">
        <f>'plan &amp; Unit price &amp; Direct cost'!D50</f>
        <v>m3</v>
      </c>
      <c r="E65" s="933">
        <f>'Direct cost summary '!J15</f>
        <v>22.25</v>
      </c>
      <c r="F65" s="610">
        <f>'[8]Daily Progress Report '!$O64</f>
        <v>0</v>
      </c>
      <c r="G65" s="610">
        <f>'[2]Daily Progress Report '!$O64</f>
        <v>0</v>
      </c>
      <c r="H65" s="610">
        <f>'[3]Daily Progress Report '!$O64</f>
        <v>0</v>
      </c>
      <c r="I65" s="610">
        <f>'[9]Daily Progress Report'!$O64</f>
        <v>0</v>
      </c>
      <c r="J65" s="610">
        <f>'[5]Daily Progress Report '!$O64</f>
        <v>0</v>
      </c>
      <c r="K65" s="610">
        <f>'[6]Daily Progress Report '!$O64</f>
        <v>0</v>
      </c>
      <c r="L65" s="610">
        <f>'[7]Daily Progress Report '!$O64</f>
        <v>0</v>
      </c>
      <c r="M65" s="610"/>
      <c r="N65" s="610">
        <f t="shared" si="0"/>
        <v>0</v>
      </c>
      <c r="O65" s="610">
        <f t="shared" si="1"/>
        <v>0</v>
      </c>
      <c r="P65" s="1408">
        <f t="shared" ref="P65:P117" si="24">E65*O65</f>
        <v>0</v>
      </c>
    </row>
    <row r="66" spans="1:16" s="225" customFormat="1" ht="50.25" customHeight="1">
      <c r="A66" s="1422">
        <f>'plan &amp; Unit price &amp; Direct cost'!A51</f>
        <v>3</v>
      </c>
      <c r="B66" s="1965" t="str">
        <f>'Direct cost summary '!B27</f>
        <v>Capping Production(G20)</v>
      </c>
      <c r="C66" s="1965"/>
      <c r="D66" s="957" t="str">
        <f>'plan &amp; Unit price &amp; Direct cost'!D51</f>
        <v>m3</v>
      </c>
      <c r="E66" s="933">
        <f>'Direct cost summary '!J27</f>
        <v>29.25</v>
      </c>
      <c r="F66" s="610">
        <f>'[8]Daily Progress Report '!$O65</f>
        <v>0</v>
      </c>
      <c r="G66" s="610">
        <f>'[2]Daily Progress Report '!$O65</f>
        <v>0</v>
      </c>
      <c r="H66" s="610">
        <f>'[3]Daily Progress Report '!$O65</f>
        <v>0</v>
      </c>
      <c r="I66" s="610">
        <f>'[9]Daily Progress Report'!$O65</f>
        <v>250</v>
      </c>
      <c r="J66" s="610">
        <f>'[5]Daily Progress Report '!$O65</f>
        <v>335</v>
      </c>
      <c r="K66" s="610">
        <f>'[6]Daily Progress Report '!$O65</f>
        <v>0</v>
      </c>
      <c r="L66" s="610">
        <f>'[7]Daily Progress Report '!$O65</f>
        <v>375</v>
      </c>
      <c r="M66" s="610">
        <f>O66*1.1</f>
        <v>1056</v>
      </c>
      <c r="N66" s="610">
        <f t="shared" si="0"/>
        <v>30888</v>
      </c>
      <c r="O66" s="610">
        <f t="shared" si="1"/>
        <v>960</v>
      </c>
      <c r="P66" s="1408">
        <f t="shared" si="24"/>
        <v>28080</v>
      </c>
    </row>
    <row r="67" spans="1:16" s="225" customFormat="1" ht="26.25">
      <c r="A67" s="1422">
        <f>'plan &amp; Unit price &amp; Direct cost'!A52</f>
        <v>5</v>
      </c>
      <c r="B67" s="1965" t="str">
        <f>'Direct cost summary '!B32</f>
        <v>Capping Production(G7)</v>
      </c>
      <c r="C67" s="1965"/>
      <c r="D67" s="957" t="str">
        <f>'plan &amp; Unit price &amp; Direct cost'!D52</f>
        <v>m3</v>
      </c>
      <c r="E67" s="933">
        <f>'Direct cost summary '!J32</f>
        <v>28.75</v>
      </c>
      <c r="F67" s="610">
        <f>'[8]Daily Progress Report '!$O66</f>
        <v>0</v>
      </c>
      <c r="G67" s="610">
        <f>'[2]Daily Progress Report '!$O66</f>
        <v>0</v>
      </c>
      <c r="H67" s="610">
        <f>'[3]Daily Progress Report '!$O66</f>
        <v>0</v>
      </c>
      <c r="I67" s="610">
        <f>'[9]Daily Progress Report'!$O66</f>
        <v>0</v>
      </c>
      <c r="J67" s="610">
        <f>'[5]Daily Progress Report '!$O66</f>
        <v>0</v>
      </c>
      <c r="K67" s="610">
        <f>'[6]Daily Progress Report '!$O66</f>
        <v>0</v>
      </c>
      <c r="L67" s="610">
        <f>'[7]Daily Progress Report '!$O66</f>
        <v>0</v>
      </c>
      <c r="M67" s="610"/>
      <c r="N67" s="610">
        <f>E67*M67</f>
        <v>0</v>
      </c>
      <c r="O67" s="610">
        <f t="shared" ref="O67" si="25">SUM(F67:L67)</f>
        <v>0</v>
      </c>
      <c r="P67" s="1408">
        <f t="shared" ref="P67" si="26">E67*O67</f>
        <v>0</v>
      </c>
    </row>
    <row r="68" spans="1:16" s="225" customFormat="1" ht="26.25">
      <c r="A68" s="1422">
        <f>'plan &amp; Unit price &amp; Direct cost'!A52</f>
        <v>5</v>
      </c>
      <c r="B68" s="1965" t="str">
        <f>'Direct cost summary '!B38</f>
        <v>Subbase production (Natural)</v>
      </c>
      <c r="C68" s="1965"/>
      <c r="D68" s="957" t="str">
        <f>'plan &amp; Unit price &amp; Direct cost'!D52</f>
        <v>m3</v>
      </c>
      <c r="E68" s="933">
        <f>'Direct cost summary '!J38</f>
        <v>42</v>
      </c>
      <c r="F68" s="610">
        <f>'[8]Daily Progress Report '!$O67</f>
        <v>0</v>
      </c>
      <c r="G68" s="610">
        <f>'[2]Daily Progress Report '!$O67</f>
        <v>0</v>
      </c>
      <c r="H68" s="610">
        <f>'[3]Daily Progress Report '!$O67</f>
        <v>0</v>
      </c>
      <c r="I68" s="610">
        <f>'[9]Daily Progress Report'!$O67</f>
        <v>0</v>
      </c>
      <c r="J68" s="610">
        <f>'[5]Daily Progress Report '!$O67</f>
        <v>0</v>
      </c>
      <c r="K68" s="610">
        <f>'[6]Daily Progress Report '!$O67</f>
        <v>0</v>
      </c>
      <c r="L68" s="610">
        <f>'[7]Daily Progress Report '!$O67</f>
        <v>0</v>
      </c>
      <c r="M68" s="610"/>
      <c r="N68" s="610">
        <f t="shared" si="0"/>
        <v>0</v>
      </c>
      <c r="O68" s="610">
        <f t="shared" si="1"/>
        <v>0</v>
      </c>
      <c r="P68" s="1408">
        <f t="shared" si="24"/>
        <v>0</v>
      </c>
    </row>
    <row r="69" spans="1:16" s="225" customFormat="1" ht="47.25" customHeight="1">
      <c r="A69" s="1422">
        <f>'plan &amp; Unit price &amp; Direct cost'!A53</f>
        <v>6</v>
      </c>
      <c r="B69" s="1965" t="str">
        <f>'Direct cost summary '!B51</f>
        <v>Backfill Material Production(minor)</v>
      </c>
      <c r="C69" s="1965"/>
      <c r="D69" s="957" t="str">
        <f>'plan &amp; Unit price &amp; Direct cost'!D53</f>
        <v>m3</v>
      </c>
      <c r="E69" s="933">
        <f>'Direct cost summary '!J51</f>
        <v>31.25</v>
      </c>
      <c r="F69" s="610">
        <f>'[8]Daily Progress Report '!$O68</f>
        <v>0</v>
      </c>
      <c r="G69" s="610">
        <f>'[2]Daily Progress Report '!$O68</f>
        <v>0</v>
      </c>
      <c r="H69" s="610">
        <f>'[3]Daily Progress Report '!$O68</f>
        <v>0</v>
      </c>
      <c r="I69" s="610">
        <f>'[9]Daily Progress Report'!$O68</f>
        <v>0</v>
      </c>
      <c r="J69" s="610">
        <f>'[5]Daily Progress Report '!$O68</f>
        <v>0</v>
      </c>
      <c r="K69" s="610">
        <f>'[6]Daily Progress Report '!$O68</f>
        <v>0</v>
      </c>
      <c r="L69" s="610">
        <f>'[7]Daily Progress Report '!$O68</f>
        <v>0</v>
      </c>
      <c r="M69" s="610"/>
      <c r="N69" s="610">
        <f t="shared" si="0"/>
        <v>0</v>
      </c>
      <c r="O69" s="610">
        <f t="shared" si="1"/>
        <v>0</v>
      </c>
      <c r="P69" s="1408">
        <f t="shared" si="24"/>
        <v>0</v>
      </c>
    </row>
    <row r="70" spans="1:16" s="225" customFormat="1" ht="26.25">
      <c r="A70" s="1422">
        <f>'plan &amp; Unit price &amp; Direct cost'!A54</f>
        <v>7</v>
      </c>
      <c r="B70" s="1965" t="str">
        <f>'Direct cost summary '!B59</f>
        <v>R.C. Pipe Production(dia.36")</v>
      </c>
      <c r="C70" s="1965"/>
      <c r="D70" s="957" t="str">
        <f>'plan &amp; Unit price &amp; Direct cost'!D54</f>
        <v>Pcs</v>
      </c>
      <c r="E70" s="938">
        <f>'Direct cost summary '!J59</f>
        <v>4005</v>
      </c>
      <c r="F70" s="610">
        <f>'[8]Daily Progress Report '!$O69</f>
        <v>0</v>
      </c>
      <c r="G70" s="610">
        <f>'[2]Daily Progress Report '!$O69</f>
        <v>0</v>
      </c>
      <c r="H70" s="610">
        <f>'[3]Daily Progress Report '!$O69</f>
        <v>0</v>
      </c>
      <c r="I70" s="610">
        <f>'[9]Daily Progress Report'!$O69</f>
        <v>0</v>
      </c>
      <c r="J70" s="610">
        <f>'[5]Daily Progress Report '!$O69</f>
        <v>0</v>
      </c>
      <c r="K70" s="610">
        <f>'[6]Daily Progress Report '!$O69</f>
        <v>0</v>
      </c>
      <c r="L70" s="610">
        <f>'[7]Daily Progress Report '!$O69</f>
        <v>0</v>
      </c>
      <c r="M70" s="610"/>
      <c r="N70" s="610">
        <f t="shared" si="0"/>
        <v>0</v>
      </c>
      <c r="O70" s="610">
        <f t="shared" si="1"/>
        <v>0</v>
      </c>
      <c r="P70" s="1408">
        <f t="shared" si="24"/>
        <v>0</v>
      </c>
    </row>
    <row r="71" spans="1:16" s="225" customFormat="1" ht="26.25">
      <c r="A71" s="1422">
        <f>'plan &amp; Unit price &amp; Direct cost'!A55</f>
        <v>8</v>
      </c>
      <c r="B71" s="1965" t="str">
        <f>'Direct cost summary '!B63</f>
        <v>R.C. Pipe Production(dia.42")</v>
      </c>
      <c r="C71" s="1965"/>
      <c r="D71" s="957" t="str">
        <f>'plan &amp; Unit price &amp; Direct cost'!D55</f>
        <v>Pcs</v>
      </c>
      <c r="E71" s="938">
        <f>'Direct cost summary '!J63</f>
        <v>4806</v>
      </c>
      <c r="F71" s="610">
        <f>'[8]Daily Progress Report '!$O70</f>
        <v>0</v>
      </c>
      <c r="G71" s="610">
        <f>'[2]Daily Progress Report '!$O70</f>
        <v>0</v>
      </c>
      <c r="H71" s="610">
        <f>'[3]Daily Progress Report '!$O70</f>
        <v>0</v>
      </c>
      <c r="I71" s="610">
        <f>'[9]Daily Progress Report'!$O70</f>
        <v>0</v>
      </c>
      <c r="J71" s="610">
        <f>'[5]Daily Progress Report '!$O70</f>
        <v>0</v>
      </c>
      <c r="K71" s="610">
        <f>'[6]Daily Progress Report '!$O70</f>
        <v>0</v>
      </c>
      <c r="L71" s="610">
        <f>'[7]Daily Progress Report '!$O70</f>
        <v>0</v>
      </c>
      <c r="M71" s="610"/>
      <c r="N71" s="610">
        <f t="shared" si="0"/>
        <v>0</v>
      </c>
      <c r="O71" s="610">
        <f t="shared" ref="O71" si="27">SUM(F71:L71)</f>
        <v>0</v>
      </c>
      <c r="P71" s="1408">
        <f t="shared" ref="P71" si="28">E71*O71</f>
        <v>0</v>
      </c>
    </row>
    <row r="72" spans="1:16" s="225" customFormat="1" ht="42.75" customHeight="1">
      <c r="A72" s="1422">
        <f>'plan &amp; Unit price &amp; Direct cost'!A55</f>
        <v>8</v>
      </c>
      <c r="B72" s="1965" t="str">
        <f>'Direct cost summary '!B67</f>
        <v>R.C. Pipe Production(dia.48")</v>
      </c>
      <c r="C72" s="1965"/>
      <c r="D72" s="957" t="str">
        <f>'plan &amp; Unit price &amp; Direct cost'!D55</f>
        <v>Pcs</v>
      </c>
      <c r="E72" s="938">
        <f>'Direct cost summary '!J67</f>
        <v>5280</v>
      </c>
      <c r="F72" s="610">
        <f>'[8]Daily Progress Report '!$O71</f>
        <v>0</v>
      </c>
      <c r="G72" s="610">
        <f>'[2]Daily Progress Report '!$O71</f>
        <v>0</v>
      </c>
      <c r="H72" s="610">
        <f>'[3]Daily Progress Report '!$O71</f>
        <v>0</v>
      </c>
      <c r="I72" s="610">
        <f>'[9]Daily Progress Report'!$O71</f>
        <v>0</v>
      </c>
      <c r="J72" s="610">
        <f>'[5]Daily Progress Report '!$O71</f>
        <v>0</v>
      </c>
      <c r="K72" s="610">
        <f>'[6]Daily Progress Report '!$O71</f>
        <v>0</v>
      </c>
      <c r="L72" s="610">
        <f>'[7]Daily Progress Report '!$O71</f>
        <v>0</v>
      </c>
      <c r="M72" s="610"/>
      <c r="N72" s="610">
        <f t="shared" si="0"/>
        <v>0</v>
      </c>
      <c r="O72" s="610">
        <f t="shared" si="1"/>
        <v>0</v>
      </c>
      <c r="P72" s="1408">
        <f t="shared" si="24"/>
        <v>0</v>
      </c>
    </row>
    <row r="73" spans="1:16" s="225" customFormat="1" ht="33" customHeight="1">
      <c r="A73" s="1422"/>
      <c r="B73" s="1975" t="str">
        <f>'Direct cost summary '!B70</f>
        <v>Class 'A' Concrete(Minor)</v>
      </c>
      <c r="C73" s="1975"/>
      <c r="D73" s="957"/>
      <c r="E73" s="933">
        <f>'plan &amp; Unit price &amp; Direct cost'!E56</f>
        <v>0</v>
      </c>
      <c r="F73" s="610">
        <f>'[8]Daily Progress Report '!$O72</f>
        <v>0</v>
      </c>
      <c r="G73" s="610">
        <f>'[2]Daily Progress Report '!$O72</f>
        <v>0</v>
      </c>
      <c r="H73" s="610">
        <f>'[3]Daily Progress Report '!$O72</f>
        <v>0</v>
      </c>
      <c r="I73" s="610">
        <f>'[9]Daily Progress Report'!$O72</f>
        <v>0</v>
      </c>
      <c r="J73" s="610">
        <f>'[5]Daily Progress Report '!$O72</f>
        <v>0</v>
      </c>
      <c r="K73" s="610">
        <f>'[6]Daily Progress Report '!$O72</f>
        <v>0</v>
      </c>
      <c r="L73" s="610">
        <f>'[7]Daily Progress Report '!$O72</f>
        <v>0</v>
      </c>
      <c r="M73" s="610"/>
      <c r="N73" s="610">
        <f t="shared" si="0"/>
        <v>0</v>
      </c>
      <c r="O73" s="610">
        <f t="shared" si="1"/>
        <v>0</v>
      </c>
      <c r="P73" s="1408">
        <f t="shared" si="24"/>
        <v>0</v>
      </c>
    </row>
    <row r="74" spans="1:16" s="225" customFormat="1" ht="26.25">
      <c r="A74" s="1422">
        <f>'plan &amp; Unit price &amp; Direct cost'!A57</f>
        <v>9</v>
      </c>
      <c r="B74" s="1965" t="str">
        <f>'Direct cost summary '!B71</f>
        <v>Sand production</v>
      </c>
      <c r="C74" s="1965"/>
      <c r="D74" s="957" t="str">
        <f>'plan &amp; Unit price &amp; Direct cost'!D57</f>
        <v>m3</v>
      </c>
      <c r="E74" s="933">
        <f>'Direct cost summary '!J71</f>
        <v>16.78125611849239</v>
      </c>
      <c r="F74" s="610">
        <f>'[8]Daily Progress Report '!$O73</f>
        <v>0</v>
      </c>
      <c r="G74" s="610">
        <f>'[2]Daily Progress Report '!$O73</f>
        <v>0</v>
      </c>
      <c r="H74" s="610">
        <f>'[3]Daily Progress Report '!$O73</f>
        <v>0</v>
      </c>
      <c r="I74" s="610">
        <f>'[9]Daily Progress Report'!$O73</f>
        <v>0</v>
      </c>
      <c r="J74" s="610">
        <f>'[5]Daily Progress Report '!$O73</f>
        <v>0</v>
      </c>
      <c r="K74" s="610">
        <f>'[6]Daily Progress Report '!$O73</f>
        <v>0</v>
      </c>
      <c r="L74" s="610">
        <f>'[7]Daily Progress Report '!$O73</f>
        <v>0</v>
      </c>
      <c r="M74" s="610"/>
      <c r="N74" s="610">
        <f t="shared" si="0"/>
        <v>0</v>
      </c>
      <c r="O74" s="610">
        <f t="shared" si="1"/>
        <v>0</v>
      </c>
      <c r="P74" s="1408">
        <f t="shared" si="24"/>
        <v>0</v>
      </c>
    </row>
    <row r="75" spans="1:16" s="225" customFormat="1" ht="76.5" customHeight="1">
      <c r="A75" s="1422">
        <f>'plan &amp; Unit price &amp; Direct cost'!A58</f>
        <v>10</v>
      </c>
      <c r="B75" s="1965" t="str">
        <f>'Direct cost summary '!B73</f>
        <v>Stone Production ( For Aggregate  by Quarryman )</v>
      </c>
      <c r="C75" s="1965"/>
      <c r="D75" s="957" t="str">
        <f>'plan &amp; Unit price &amp; Direct cost'!D58</f>
        <v>m3</v>
      </c>
      <c r="E75" s="938">
        <f>'Direct cost summary '!J73</f>
        <v>75.05302406412082</v>
      </c>
      <c r="F75" s="610">
        <f>'[8]Daily Progress Report '!$O74</f>
        <v>0</v>
      </c>
      <c r="G75" s="610">
        <f>'[2]Daily Progress Report '!$O74</f>
        <v>0</v>
      </c>
      <c r="H75" s="610">
        <f>'[3]Daily Progress Report '!$O74</f>
        <v>0</v>
      </c>
      <c r="I75" s="610">
        <f>'[9]Daily Progress Report'!$O74</f>
        <v>0</v>
      </c>
      <c r="J75" s="610">
        <f>'[5]Daily Progress Report '!$O74</f>
        <v>0</v>
      </c>
      <c r="K75" s="610">
        <f>'[6]Daily Progress Report '!$O74</f>
        <v>0</v>
      </c>
      <c r="L75" s="610">
        <f>'[7]Daily Progress Report '!$O74</f>
        <v>0</v>
      </c>
      <c r="M75" s="610"/>
      <c r="N75" s="610">
        <f t="shared" si="0"/>
        <v>0</v>
      </c>
      <c r="O75" s="610">
        <f t="shared" si="1"/>
        <v>0</v>
      </c>
      <c r="P75" s="1408">
        <f t="shared" si="24"/>
        <v>0</v>
      </c>
    </row>
    <row r="76" spans="1:16" s="225" customFormat="1" ht="26.25">
      <c r="A76" s="1422">
        <f>'plan &amp; Unit price &amp; Direct cost'!A59</f>
        <v>11</v>
      </c>
      <c r="B76" s="1965" t="str">
        <f>'Direct cost summary '!B74</f>
        <v>Stone Production</v>
      </c>
      <c r="C76" s="1965"/>
      <c r="D76" s="957" t="str">
        <f>'plan &amp; Unit price &amp; Direct cost'!D59</f>
        <v>m3</v>
      </c>
      <c r="E76" s="938">
        <f>'Direct cost summary '!J74</f>
        <v>47.607783089855246</v>
      </c>
      <c r="F76" s="610">
        <f>'[8]Daily Progress Report '!$O75</f>
        <v>0</v>
      </c>
      <c r="G76" s="610">
        <f>'[2]Daily Progress Report '!$O75</f>
        <v>0</v>
      </c>
      <c r="H76" s="610">
        <f>'[3]Daily Progress Report '!$O75</f>
        <v>0</v>
      </c>
      <c r="I76" s="610">
        <f>'[9]Daily Progress Report'!$O75</f>
        <v>0</v>
      </c>
      <c r="J76" s="610">
        <f>'[5]Daily Progress Report '!$O75</f>
        <v>0</v>
      </c>
      <c r="K76" s="610">
        <f>'[6]Daily Progress Report '!$O75</f>
        <v>0</v>
      </c>
      <c r="L76" s="610">
        <f>'[7]Daily Progress Report '!$O75</f>
        <v>0</v>
      </c>
      <c r="M76" s="610"/>
      <c r="N76" s="610">
        <f t="shared" ref="N76:N140" si="29">E76*M76</f>
        <v>0</v>
      </c>
      <c r="O76" s="610">
        <f t="shared" si="1"/>
        <v>0</v>
      </c>
      <c r="P76" s="1408">
        <f t="shared" si="24"/>
        <v>0</v>
      </c>
    </row>
    <row r="77" spans="1:16" s="225" customFormat="1" ht="20.100000000000001" customHeight="1">
      <c r="A77" s="1422">
        <f>'plan &amp; Unit price &amp; Direct cost'!A60</f>
        <v>12</v>
      </c>
      <c r="B77" s="1965" t="str">
        <f>'Direct cost summary '!B76</f>
        <v>C.agg. production</v>
      </c>
      <c r="C77" s="1965"/>
      <c r="D77" s="957" t="str">
        <f>'plan &amp; Unit price &amp; Direct cost'!D60</f>
        <v>M3</v>
      </c>
      <c r="E77" s="938">
        <f>'Direct cost summary '!J76</f>
        <v>229.79201671723325</v>
      </c>
      <c r="F77" s="610">
        <f>'[8]Daily Progress Report '!$O76</f>
        <v>0</v>
      </c>
      <c r="G77" s="610">
        <f>'[2]Daily Progress Report '!$O76</f>
        <v>4.6399999999999997</v>
      </c>
      <c r="H77" s="610">
        <f>'[3]Daily Progress Report '!$O76</f>
        <v>0</v>
      </c>
      <c r="I77" s="610">
        <f>'[9]Daily Progress Report'!$O76</f>
        <v>5.04</v>
      </c>
      <c r="J77" s="610">
        <f>'[5]Daily Progress Report '!$O76</f>
        <v>5.8079999999999998</v>
      </c>
      <c r="K77" s="610">
        <f>'[6]Daily Progress Report '!$O76</f>
        <v>4.4640000000000004</v>
      </c>
      <c r="L77" s="610">
        <f>'[7]Daily Progress Report '!$O76</f>
        <v>7.68</v>
      </c>
      <c r="M77" s="610">
        <v>31.12</v>
      </c>
      <c r="N77" s="610">
        <f t="shared" si="29"/>
        <v>7151.1275602402993</v>
      </c>
      <c r="O77" s="610">
        <f t="shared" si="1"/>
        <v>27.631999999999998</v>
      </c>
      <c r="P77" s="1408">
        <f t="shared" si="24"/>
        <v>6349.6130059305888</v>
      </c>
    </row>
    <row r="78" spans="1:16" s="225" customFormat="1" ht="30" customHeight="1">
      <c r="A78" s="1422"/>
      <c r="B78" s="1975" t="str">
        <f>'Direct cost summary '!B81</f>
        <v>Class 'C' Concrete(Minor)</v>
      </c>
      <c r="C78" s="1975"/>
      <c r="D78" s="957"/>
      <c r="E78" s="933">
        <f>'plan &amp; Unit price &amp; Direct cost'!E61</f>
        <v>0</v>
      </c>
      <c r="F78" s="610">
        <f>'[8]Daily Progress Report '!$O77</f>
        <v>0</v>
      </c>
      <c r="G78" s="610">
        <f>'[2]Daily Progress Report '!$O77</f>
        <v>0</v>
      </c>
      <c r="H78" s="610">
        <f>'[3]Daily Progress Report '!$O77</f>
        <v>0</v>
      </c>
      <c r="I78" s="610">
        <f>'[9]Daily Progress Report'!$O77</f>
        <v>0</v>
      </c>
      <c r="J78" s="610">
        <f>'[5]Daily Progress Report '!$O77</f>
        <v>0</v>
      </c>
      <c r="K78" s="610">
        <f>'[6]Daily Progress Report '!$O77</f>
        <v>0</v>
      </c>
      <c r="L78" s="610">
        <f>'[7]Daily Progress Report '!$O77</f>
        <v>0</v>
      </c>
      <c r="M78" s="610"/>
      <c r="N78" s="610">
        <f t="shared" si="29"/>
        <v>0</v>
      </c>
      <c r="O78" s="610">
        <f t="shared" ref="O78:O82" si="30">SUM(F78:L78)</f>
        <v>0</v>
      </c>
      <c r="P78" s="1408">
        <f t="shared" ref="P78:P82" si="31">E78*O78</f>
        <v>0</v>
      </c>
    </row>
    <row r="79" spans="1:16" s="225" customFormat="1" ht="27.75" customHeight="1">
      <c r="A79" s="1422">
        <f>'plan &amp; Unit price &amp; Direct cost'!A62</f>
        <v>13</v>
      </c>
      <c r="B79" s="1965" t="str">
        <f>'Direct cost summary '!B82</f>
        <v>Sand production</v>
      </c>
      <c r="C79" s="1965"/>
      <c r="D79" s="957" t="str">
        <f>'plan &amp; Unit price &amp; Direct cost'!D62</f>
        <v>m3</v>
      </c>
      <c r="E79" s="933">
        <f>'Direct cost summary '!J82</f>
        <v>16.096306889166168</v>
      </c>
      <c r="F79" s="610">
        <f>'[8]Daily Progress Report '!$O78</f>
        <v>0</v>
      </c>
      <c r="G79" s="610">
        <f>'[2]Daily Progress Report '!$O78</f>
        <v>0</v>
      </c>
      <c r="H79" s="610">
        <f>'[3]Daily Progress Report '!$O78</f>
        <v>0</v>
      </c>
      <c r="I79" s="610">
        <f>'[9]Daily Progress Report'!$O78</f>
        <v>0</v>
      </c>
      <c r="J79" s="610">
        <f>'[5]Daily Progress Report '!$O78</f>
        <v>0</v>
      </c>
      <c r="K79" s="610">
        <f>'[6]Daily Progress Report '!$O78</f>
        <v>0</v>
      </c>
      <c r="L79" s="610">
        <f>'[7]Daily Progress Report '!$O78</f>
        <v>0</v>
      </c>
      <c r="M79" s="610"/>
      <c r="N79" s="610">
        <f t="shared" si="29"/>
        <v>0</v>
      </c>
      <c r="O79" s="610">
        <f t="shared" si="30"/>
        <v>0</v>
      </c>
      <c r="P79" s="1408">
        <f t="shared" si="31"/>
        <v>0</v>
      </c>
    </row>
    <row r="80" spans="1:16" s="225" customFormat="1" ht="75" customHeight="1">
      <c r="A80" s="1422">
        <f>'plan &amp; Unit price &amp; Direct cost'!A63</f>
        <v>14</v>
      </c>
      <c r="B80" s="1965" t="str">
        <f>'Direct cost summary '!B84</f>
        <v>Stone Production ( For Aggregate  by Quarryman )</v>
      </c>
      <c r="C80" s="1965"/>
      <c r="D80" s="957" t="str">
        <f>'plan &amp; Unit price &amp; Direct cost'!D63</f>
        <v>m3</v>
      </c>
      <c r="E80" s="938">
        <f>'Direct cost summary '!J84</f>
        <v>71.989635326809761</v>
      </c>
      <c r="F80" s="610">
        <f>'[8]Daily Progress Report '!$O79</f>
        <v>0</v>
      </c>
      <c r="G80" s="610">
        <f>'[2]Daily Progress Report '!$O79</f>
        <v>0</v>
      </c>
      <c r="H80" s="610">
        <f>'[3]Daily Progress Report '!$O79</f>
        <v>0</v>
      </c>
      <c r="I80" s="610">
        <f>'[9]Daily Progress Report'!$O79</f>
        <v>0</v>
      </c>
      <c r="J80" s="610">
        <f>'[5]Daily Progress Report '!$O79</f>
        <v>0</v>
      </c>
      <c r="K80" s="610">
        <f>'[6]Daily Progress Report '!$O79</f>
        <v>0</v>
      </c>
      <c r="L80" s="610">
        <f>'[7]Daily Progress Report '!$O79</f>
        <v>0</v>
      </c>
      <c r="M80" s="610"/>
      <c r="N80" s="610">
        <f t="shared" si="29"/>
        <v>0</v>
      </c>
      <c r="O80" s="610">
        <f t="shared" si="30"/>
        <v>0</v>
      </c>
      <c r="P80" s="1408">
        <f t="shared" si="31"/>
        <v>0</v>
      </c>
    </row>
    <row r="81" spans="1:16" s="225" customFormat="1" ht="26.25">
      <c r="A81" s="1422">
        <f>'plan &amp; Unit price &amp; Direct cost'!A64</f>
        <v>15</v>
      </c>
      <c r="B81" s="1965" t="str">
        <f>'Direct cost summary '!B85</f>
        <v>Stone Production</v>
      </c>
      <c r="C81" s="1965"/>
      <c r="D81" s="957" t="str">
        <f>'plan &amp; Unit price &amp; Direct cost'!D64</f>
        <v>m3</v>
      </c>
      <c r="E81" s="938">
        <f>'Direct cost summary '!J85</f>
        <v>45.664608269861155</v>
      </c>
      <c r="F81" s="610">
        <f>'[8]Daily Progress Report '!$O80</f>
        <v>0</v>
      </c>
      <c r="G81" s="610">
        <f>'[2]Daily Progress Report '!$O80</f>
        <v>0</v>
      </c>
      <c r="H81" s="610">
        <f>'[3]Daily Progress Report '!$O80</f>
        <v>0</v>
      </c>
      <c r="I81" s="610">
        <f>'[9]Daily Progress Report'!$O80</f>
        <v>0</v>
      </c>
      <c r="J81" s="610">
        <f>'[5]Daily Progress Report '!$O80</f>
        <v>0</v>
      </c>
      <c r="K81" s="610">
        <f>'[6]Daily Progress Report '!$O80</f>
        <v>0</v>
      </c>
      <c r="L81" s="610">
        <f>'[7]Daily Progress Report '!$O80</f>
        <v>0</v>
      </c>
      <c r="M81" s="610"/>
      <c r="N81" s="610">
        <f t="shared" si="29"/>
        <v>0</v>
      </c>
      <c r="O81" s="610">
        <f t="shared" si="30"/>
        <v>0</v>
      </c>
      <c r="P81" s="1408">
        <f t="shared" si="31"/>
        <v>0</v>
      </c>
    </row>
    <row r="82" spans="1:16" s="225" customFormat="1" ht="26.25">
      <c r="A82" s="1422">
        <v>16</v>
      </c>
      <c r="B82" s="1965" t="str">
        <f>'Direct cost summary '!B87</f>
        <v>C.agg. production</v>
      </c>
      <c r="C82" s="1965"/>
      <c r="D82" s="957" t="s">
        <v>273</v>
      </c>
      <c r="E82" s="938">
        <f>'Direct cost summary '!J87</f>
        <v>220.41275072877477</v>
      </c>
      <c r="F82" s="610">
        <f>'[8]Daily Progress Report '!$O81</f>
        <v>0</v>
      </c>
      <c r="G82" s="610">
        <f>'[2]Daily Progress Report '!$O81</f>
        <v>0</v>
      </c>
      <c r="H82" s="610">
        <f>'[3]Daily Progress Report '!$O81</f>
        <v>0</v>
      </c>
      <c r="I82" s="610">
        <f>'[9]Daily Progress Report'!$O81</f>
        <v>0</v>
      </c>
      <c r="J82" s="610">
        <f>'[5]Daily Progress Report '!$O81</f>
        <v>0</v>
      </c>
      <c r="K82" s="610">
        <f>'[6]Daily Progress Report '!$O81</f>
        <v>0</v>
      </c>
      <c r="L82" s="610">
        <f>'[7]Daily Progress Report '!$O81</f>
        <v>0</v>
      </c>
      <c r="M82" s="610"/>
      <c r="N82" s="610">
        <f t="shared" si="29"/>
        <v>0</v>
      </c>
      <c r="O82" s="610">
        <f t="shared" si="30"/>
        <v>0</v>
      </c>
      <c r="P82" s="1408">
        <f t="shared" si="31"/>
        <v>0</v>
      </c>
    </row>
    <row r="83" spans="1:16" s="225" customFormat="1" ht="25.5" customHeight="1">
      <c r="A83" s="1422"/>
      <c r="B83" s="1975" t="str">
        <f>'Direct cost summary '!B132</f>
        <v>Class 'A' Concrete</v>
      </c>
      <c r="C83" s="1975"/>
      <c r="D83" s="957"/>
      <c r="E83" s="933">
        <f>'plan &amp; Unit price &amp; Direct cost'!E71</f>
        <v>0</v>
      </c>
      <c r="F83" s="610">
        <f>'[8]Daily Progress Report '!$O82</f>
        <v>0</v>
      </c>
      <c r="G83" s="610">
        <f>'[2]Daily Progress Report '!$O82</f>
        <v>0</v>
      </c>
      <c r="H83" s="610">
        <f>'[3]Daily Progress Report '!$O82</f>
        <v>0</v>
      </c>
      <c r="I83" s="610">
        <f>'[9]Daily Progress Report'!$O82</f>
        <v>0</v>
      </c>
      <c r="J83" s="610">
        <f>'[5]Daily Progress Report '!$O82</f>
        <v>0</v>
      </c>
      <c r="K83" s="610">
        <f>'[6]Daily Progress Report '!$O82</f>
        <v>0</v>
      </c>
      <c r="L83" s="610">
        <f>'[7]Daily Progress Report '!$O82</f>
        <v>0</v>
      </c>
      <c r="M83" s="610"/>
      <c r="N83" s="610">
        <f t="shared" si="29"/>
        <v>0</v>
      </c>
      <c r="O83" s="610">
        <f t="shared" ref="O83:O87" si="32">SUM(F83:L83)</f>
        <v>0</v>
      </c>
      <c r="P83" s="1408">
        <f t="shared" ref="P83:P87" si="33">E83*O83</f>
        <v>0</v>
      </c>
    </row>
    <row r="84" spans="1:16" s="225" customFormat="1" ht="26.25">
      <c r="A84" s="1422">
        <v>17</v>
      </c>
      <c r="B84" s="1965" t="str">
        <f>'Direct cost summary '!B133</f>
        <v>Sand production</v>
      </c>
      <c r="C84" s="1965"/>
      <c r="D84" s="957"/>
      <c r="E84" s="933">
        <f>'Direct cost summary '!J133</f>
        <v>20.653697841956834</v>
      </c>
      <c r="F84" s="610">
        <f>'[8]Daily Progress Report '!$O83</f>
        <v>0</v>
      </c>
      <c r="G84" s="610">
        <f>'[2]Daily Progress Report '!$O83</f>
        <v>0</v>
      </c>
      <c r="H84" s="610">
        <f>'[3]Daily Progress Report '!$O83</f>
        <v>0</v>
      </c>
      <c r="I84" s="610">
        <f>'[9]Daily Progress Report'!$O83</f>
        <v>0</v>
      </c>
      <c r="J84" s="610">
        <f>'[5]Daily Progress Report '!$O83</f>
        <v>0</v>
      </c>
      <c r="K84" s="610">
        <f>'[6]Daily Progress Report '!$O83</f>
        <v>0</v>
      </c>
      <c r="L84" s="610">
        <f>'[7]Daily Progress Report '!$O83</f>
        <v>0</v>
      </c>
      <c r="M84" s="610"/>
      <c r="N84" s="610">
        <f t="shared" si="29"/>
        <v>0</v>
      </c>
      <c r="O84" s="610">
        <f t="shared" si="32"/>
        <v>0</v>
      </c>
      <c r="P84" s="1408">
        <f t="shared" si="33"/>
        <v>0</v>
      </c>
    </row>
    <row r="85" spans="1:16" s="225" customFormat="1" ht="74.25" customHeight="1">
      <c r="A85" s="1422">
        <v>18</v>
      </c>
      <c r="B85" s="1965" t="str">
        <f>'Direct cost summary '!B135</f>
        <v>Stone Production ( For Aggregate  by Quarryman )</v>
      </c>
      <c r="C85" s="1965"/>
      <c r="D85" s="957" t="str">
        <f>'plan &amp; Unit price &amp; Direct cost'!D73</f>
        <v>m3</v>
      </c>
      <c r="E85" s="938">
        <f>'Direct cost summary '!J135</f>
        <v>92.372255700053501</v>
      </c>
      <c r="F85" s="610">
        <f>'[8]Daily Progress Report '!$O84</f>
        <v>0</v>
      </c>
      <c r="G85" s="610">
        <f>'[2]Daily Progress Report '!$O84</f>
        <v>0</v>
      </c>
      <c r="H85" s="610">
        <f>'[3]Daily Progress Report '!$O84</f>
        <v>0</v>
      </c>
      <c r="I85" s="610">
        <f>'[9]Daily Progress Report'!$O84</f>
        <v>0</v>
      </c>
      <c r="J85" s="610">
        <f>'[5]Daily Progress Report '!$O84</f>
        <v>0</v>
      </c>
      <c r="K85" s="610">
        <f>'[6]Daily Progress Report '!$O84</f>
        <v>0</v>
      </c>
      <c r="L85" s="610">
        <f>'[7]Daily Progress Report '!$O84</f>
        <v>0</v>
      </c>
      <c r="M85" s="610"/>
      <c r="N85" s="610">
        <f t="shared" si="29"/>
        <v>0</v>
      </c>
      <c r="O85" s="610">
        <f t="shared" si="32"/>
        <v>0</v>
      </c>
      <c r="P85" s="1408">
        <f t="shared" si="33"/>
        <v>0</v>
      </c>
    </row>
    <row r="86" spans="1:16" s="225" customFormat="1" ht="26.25">
      <c r="A86" s="1422">
        <v>19</v>
      </c>
      <c r="B86" s="1965" t="str">
        <f>'Direct cost summary '!B136</f>
        <v>Stone Production</v>
      </c>
      <c r="C86" s="1965"/>
      <c r="D86" s="957" t="str">
        <f>'plan &amp; Unit price &amp; Direct cost'!D74</f>
        <v>m3</v>
      </c>
      <c r="E86" s="938">
        <f>'Direct cost summary '!J136</f>
        <v>58.593752453355009</v>
      </c>
      <c r="F86" s="610">
        <f>'[8]Daily Progress Report '!$O85</f>
        <v>0</v>
      </c>
      <c r="G86" s="610">
        <f>'[2]Daily Progress Report '!$O85</f>
        <v>0</v>
      </c>
      <c r="H86" s="610">
        <f>'[3]Daily Progress Report '!$O85</f>
        <v>0</v>
      </c>
      <c r="I86" s="610">
        <f>'[9]Daily Progress Report'!$O85</f>
        <v>32</v>
      </c>
      <c r="J86" s="610">
        <f>'[5]Daily Progress Report '!$O85</f>
        <v>32</v>
      </c>
      <c r="K86" s="610">
        <f>'[6]Daily Progress Report '!$O85</f>
        <v>24</v>
      </c>
      <c r="L86" s="610">
        <f>'[7]Daily Progress Report '!$O85</f>
        <v>0</v>
      </c>
      <c r="M86" s="610">
        <f>O86*1.1</f>
        <v>96.800000000000011</v>
      </c>
      <c r="N86" s="610">
        <f t="shared" si="29"/>
        <v>5671.8752374847654</v>
      </c>
      <c r="O86" s="610">
        <f t="shared" si="32"/>
        <v>88</v>
      </c>
      <c r="P86" s="1408">
        <f t="shared" si="33"/>
        <v>5156.2502158952411</v>
      </c>
    </row>
    <row r="87" spans="1:16" s="225" customFormat="1" ht="26.25">
      <c r="A87" s="1422">
        <v>20</v>
      </c>
      <c r="B87" s="1965" t="str">
        <f>'Direct cost summary '!B138</f>
        <v>C.agg. production</v>
      </c>
      <c r="C87" s="1965"/>
      <c r="D87" s="957" t="str">
        <f>'plan &amp; Unit price &amp; Direct cost'!D75</f>
        <v>m3</v>
      </c>
      <c r="E87" s="938">
        <f>'Direct cost summary '!J138</f>
        <v>282.81880964450767</v>
      </c>
      <c r="F87" s="610">
        <f>'[8]Daily Progress Report '!$O86</f>
        <v>0</v>
      </c>
      <c r="G87" s="610">
        <f>'[2]Daily Progress Report '!$O86</f>
        <v>2.5999999999999996</v>
      </c>
      <c r="H87" s="610">
        <f>'[3]Daily Progress Report '!$O86</f>
        <v>0</v>
      </c>
      <c r="I87" s="610">
        <f>'[9]Daily Progress Report'!$O86</f>
        <v>4.26</v>
      </c>
      <c r="J87" s="610">
        <f>'[5]Daily Progress Report '!$O86</f>
        <v>4.952</v>
      </c>
      <c r="K87" s="610">
        <f>'[6]Daily Progress Report '!$O86</f>
        <v>4.056</v>
      </c>
      <c r="L87" s="610">
        <f>'[7]Daily Progress Report '!$O86</f>
        <v>5.6400000000000006</v>
      </c>
      <c r="M87" s="610">
        <v>22.63</v>
      </c>
      <c r="N87" s="610">
        <f t="shared" si="29"/>
        <v>6400.1896622552085</v>
      </c>
      <c r="O87" s="610">
        <f t="shared" si="32"/>
        <v>21.507999999999999</v>
      </c>
      <c r="P87" s="1408">
        <f t="shared" si="33"/>
        <v>6082.8669578340705</v>
      </c>
    </row>
    <row r="88" spans="1:16" s="225" customFormat="1" ht="25.5" customHeight="1">
      <c r="A88" s="1422"/>
      <c r="B88" s="1975" t="str">
        <f>'Direct cost summary '!B142</f>
        <v>Class 'C-25' Concrete</v>
      </c>
      <c r="C88" s="1975"/>
      <c r="D88" s="957" t="str">
        <f>'plan &amp; Unit price &amp; Direct cost'!D76</f>
        <v>m3</v>
      </c>
      <c r="E88" s="933"/>
      <c r="F88" s="610">
        <f>'[8]Daily Progress Report '!$O87</f>
        <v>0</v>
      </c>
      <c r="G88" s="610">
        <f>'[2]Daily Progress Report '!$O87</f>
        <v>0</v>
      </c>
      <c r="H88" s="610">
        <f>'[3]Daily Progress Report '!$O87</f>
        <v>0</v>
      </c>
      <c r="I88" s="610">
        <f>'[9]Daily Progress Report'!$O87</f>
        <v>0</v>
      </c>
      <c r="J88" s="610">
        <f>'[5]Daily Progress Report '!$O87</f>
        <v>0</v>
      </c>
      <c r="K88" s="610">
        <f>'[6]Daily Progress Report '!$O87</f>
        <v>0</v>
      </c>
      <c r="L88" s="610">
        <f>'[7]Daily Progress Report '!$O87</f>
        <v>0</v>
      </c>
      <c r="M88" s="610"/>
      <c r="N88" s="610">
        <f t="shared" si="29"/>
        <v>0</v>
      </c>
      <c r="O88" s="610">
        <f t="shared" ref="O88:O92" si="34">SUM(F88:L88)</f>
        <v>0</v>
      </c>
      <c r="P88" s="1408">
        <f t="shared" ref="P88:P92" si="35">E88*O88</f>
        <v>0</v>
      </c>
    </row>
    <row r="89" spans="1:16" s="225" customFormat="1" ht="26.25">
      <c r="A89" s="1422">
        <v>21</v>
      </c>
      <c r="B89" s="1965" t="str">
        <f>'Direct cost summary '!B143</f>
        <v>Sand production</v>
      </c>
      <c r="C89" s="1965"/>
      <c r="D89" s="957" t="str">
        <f>'plan &amp; Unit price &amp; Direct cost'!D77</f>
        <v>Lm</v>
      </c>
      <c r="E89" s="933">
        <f>'Direct cost summary '!J133</f>
        <v>20.653697841956834</v>
      </c>
      <c r="F89" s="610">
        <f>'[8]Daily Progress Report '!$O88</f>
        <v>0</v>
      </c>
      <c r="G89" s="610">
        <f>'[2]Daily Progress Report '!$O88</f>
        <v>0</v>
      </c>
      <c r="H89" s="610">
        <f>'[3]Daily Progress Report '!$O88</f>
        <v>0</v>
      </c>
      <c r="I89" s="610">
        <f>'[9]Daily Progress Report'!$O88</f>
        <v>0</v>
      </c>
      <c r="J89" s="610">
        <f>'[5]Daily Progress Report '!$O88</f>
        <v>0</v>
      </c>
      <c r="K89" s="610">
        <f>'[6]Daily Progress Report '!$O88</f>
        <v>0</v>
      </c>
      <c r="L89" s="610">
        <f>'[7]Daily Progress Report '!$O88</f>
        <v>0</v>
      </c>
      <c r="M89" s="610"/>
      <c r="N89" s="610">
        <f t="shared" si="29"/>
        <v>0</v>
      </c>
      <c r="O89" s="610">
        <f t="shared" si="34"/>
        <v>0</v>
      </c>
      <c r="P89" s="1408">
        <f t="shared" si="35"/>
        <v>0</v>
      </c>
    </row>
    <row r="90" spans="1:16" s="225" customFormat="1" ht="77.25" customHeight="1">
      <c r="A90" s="1422">
        <v>22</v>
      </c>
      <c r="B90" s="1965" t="str">
        <f>'Direct cost summary '!B145</f>
        <v>Stone Production ( For Aggregate  by Quarryman )</v>
      </c>
      <c r="C90" s="1965"/>
      <c r="D90" s="957" t="str">
        <f>'plan &amp; Unit price &amp; Direct cost'!D78</f>
        <v>Lm</v>
      </c>
      <c r="E90" s="938">
        <f>'Direct cost summary '!J145</f>
        <v>90.524810586052425</v>
      </c>
      <c r="F90" s="610">
        <f>'[8]Daily Progress Report '!$O89</f>
        <v>0</v>
      </c>
      <c r="G90" s="610">
        <f>'[2]Daily Progress Report '!$O89</f>
        <v>0</v>
      </c>
      <c r="H90" s="610">
        <f>'[3]Daily Progress Report '!$O89</f>
        <v>0</v>
      </c>
      <c r="I90" s="610">
        <f>'[9]Daily Progress Report'!$O89</f>
        <v>0</v>
      </c>
      <c r="J90" s="610">
        <f>'[5]Daily Progress Report '!$O89</f>
        <v>0</v>
      </c>
      <c r="K90" s="610">
        <f>'[6]Daily Progress Report '!$O89</f>
        <v>0</v>
      </c>
      <c r="L90" s="610">
        <f>'[7]Daily Progress Report '!$O89</f>
        <v>0</v>
      </c>
      <c r="M90" s="610"/>
      <c r="N90" s="610">
        <f t="shared" si="29"/>
        <v>0</v>
      </c>
      <c r="O90" s="610">
        <f t="shared" si="34"/>
        <v>0</v>
      </c>
      <c r="P90" s="1408">
        <f t="shared" si="35"/>
        <v>0</v>
      </c>
    </row>
    <row r="91" spans="1:16" s="225" customFormat="1" ht="20.100000000000001" customHeight="1">
      <c r="A91" s="1422">
        <v>23</v>
      </c>
      <c r="B91" s="1965" t="str">
        <f>'Direct cost summary '!B146</f>
        <v>Stone Production</v>
      </c>
      <c r="C91" s="1965"/>
      <c r="D91" s="957">
        <f>'plan &amp; Unit price &amp; Direct cost'!D79</f>
        <v>0</v>
      </c>
      <c r="E91" s="938">
        <f>'Direct cost summary '!J146</f>
        <v>57.421877404287912</v>
      </c>
      <c r="F91" s="610">
        <f>'[8]Daily Progress Report '!$O90</f>
        <v>0</v>
      </c>
      <c r="G91" s="610">
        <f>'[2]Daily Progress Report '!$O90</f>
        <v>0</v>
      </c>
      <c r="H91" s="610">
        <f>'[3]Daily Progress Report '!$O90</f>
        <v>0</v>
      </c>
      <c r="I91" s="610">
        <f>'[9]Daily Progress Report'!$O90</f>
        <v>0</v>
      </c>
      <c r="J91" s="610">
        <f>'[5]Daily Progress Report '!$O90</f>
        <v>0</v>
      </c>
      <c r="K91" s="610">
        <f>'[6]Daily Progress Report '!$O90</f>
        <v>0</v>
      </c>
      <c r="L91" s="610">
        <f>'[7]Daily Progress Report '!$O90</f>
        <v>0</v>
      </c>
      <c r="M91" s="610"/>
      <c r="N91" s="610">
        <f t="shared" si="29"/>
        <v>0</v>
      </c>
      <c r="O91" s="610">
        <f t="shared" si="34"/>
        <v>0</v>
      </c>
      <c r="P91" s="1408">
        <f t="shared" si="35"/>
        <v>0</v>
      </c>
    </row>
    <row r="92" spans="1:16" s="225" customFormat="1" ht="20.100000000000001" customHeight="1">
      <c r="A92" s="1422">
        <v>24</v>
      </c>
      <c r="B92" s="1965" t="str">
        <f>'Direct cost summary '!B148</f>
        <v>C.agg. production</v>
      </c>
      <c r="C92" s="1965"/>
      <c r="D92" s="957" t="str">
        <f>'plan &amp; Unit price &amp; Direct cost'!D80</f>
        <v>m3</v>
      </c>
      <c r="E92" s="938">
        <f>'Direct cost summary '!J148</f>
        <v>277.16243345161752</v>
      </c>
      <c r="F92" s="610">
        <f>'[8]Daily Progress Report '!$O91</f>
        <v>0</v>
      </c>
      <c r="G92" s="610">
        <f>'[2]Daily Progress Report '!$O91</f>
        <v>0</v>
      </c>
      <c r="H92" s="610">
        <f>'[3]Daily Progress Report '!$O91</f>
        <v>0</v>
      </c>
      <c r="I92" s="610">
        <f>'[9]Daily Progress Report'!$O91</f>
        <v>0</v>
      </c>
      <c r="J92" s="610">
        <f>'[5]Daily Progress Report '!$O91</f>
        <v>0</v>
      </c>
      <c r="K92" s="610">
        <f>'[6]Daily Progress Report '!$O91</f>
        <v>0</v>
      </c>
      <c r="L92" s="610">
        <f>'[7]Daily Progress Report '!$O91</f>
        <v>0</v>
      </c>
      <c r="M92" s="610"/>
      <c r="N92" s="610">
        <f t="shared" si="29"/>
        <v>0</v>
      </c>
      <c r="O92" s="610">
        <f t="shared" si="34"/>
        <v>0</v>
      </c>
      <c r="P92" s="1408">
        <f t="shared" si="35"/>
        <v>0</v>
      </c>
    </row>
    <row r="93" spans="1:16" s="225" customFormat="1" ht="20.100000000000001" customHeight="1">
      <c r="A93" s="1422"/>
      <c r="B93" s="1975" t="str">
        <f>'Direct cost summary '!B152</f>
        <v>Class 'C-20' Concrete</v>
      </c>
      <c r="C93" s="1975"/>
      <c r="D93" s="961">
        <f>'plan &amp; Unit price &amp; Direct cost'!D71</f>
        <v>0</v>
      </c>
      <c r="E93" s="933">
        <f>'plan &amp; Unit price &amp; Direct cost'!E71</f>
        <v>0</v>
      </c>
      <c r="F93" s="610">
        <f>'[8]Daily Progress Report '!$O92</f>
        <v>0</v>
      </c>
      <c r="G93" s="610">
        <f>'[2]Daily Progress Report '!$O92</f>
        <v>0</v>
      </c>
      <c r="H93" s="610">
        <f>'[3]Daily Progress Report '!$O92</f>
        <v>0</v>
      </c>
      <c r="I93" s="610">
        <f>'[9]Daily Progress Report'!$O92</f>
        <v>0</v>
      </c>
      <c r="J93" s="610">
        <f>'[5]Daily Progress Report '!$O92</f>
        <v>0</v>
      </c>
      <c r="K93" s="610">
        <f>'[6]Daily Progress Report '!$O92</f>
        <v>0</v>
      </c>
      <c r="L93" s="610">
        <f>'[7]Daily Progress Report '!$O92</f>
        <v>0</v>
      </c>
      <c r="M93" s="610"/>
      <c r="N93" s="610">
        <f t="shared" si="29"/>
        <v>0</v>
      </c>
      <c r="O93" s="610">
        <f t="shared" ref="O93:O97" si="36">SUM(F93:L93)</f>
        <v>0</v>
      </c>
      <c r="P93" s="1408">
        <f t="shared" ref="P93:P97" si="37">E93*O93</f>
        <v>0</v>
      </c>
    </row>
    <row r="94" spans="1:16" s="225" customFormat="1" ht="20.100000000000001" customHeight="1">
      <c r="A94" s="1422">
        <v>25</v>
      </c>
      <c r="B94" s="1965" t="str">
        <f>'Direct cost summary '!B153</f>
        <v>Sand production</v>
      </c>
      <c r="C94" s="1965"/>
      <c r="D94" s="957" t="s">
        <v>273</v>
      </c>
      <c r="E94" s="933">
        <f>'Direct cost summary '!J153</f>
        <v>19.827549928278561</v>
      </c>
      <c r="F94" s="610">
        <f>'[8]Daily Progress Report '!$O93</f>
        <v>0</v>
      </c>
      <c r="G94" s="610">
        <f>'[2]Daily Progress Report '!$O93</f>
        <v>0</v>
      </c>
      <c r="H94" s="610">
        <f>'[3]Daily Progress Report '!$O93</f>
        <v>0</v>
      </c>
      <c r="I94" s="610">
        <f>'[9]Daily Progress Report'!$O93</f>
        <v>0</v>
      </c>
      <c r="J94" s="610">
        <f>'[5]Daily Progress Report '!$O93</f>
        <v>0</v>
      </c>
      <c r="K94" s="610">
        <f>'[6]Daily Progress Report '!$O93</f>
        <v>0</v>
      </c>
      <c r="L94" s="610">
        <f>'[7]Daily Progress Report '!$O93</f>
        <v>0</v>
      </c>
      <c r="M94" s="610"/>
      <c r="N94" s="610">
        <f t="shared" si="29"/>
        <v>0</v>
      </c>
      <c r="O94" s="610">
        <f t="shared" si="36"/>
        <v>0</v>
      </c>
      <c r="P94" s="1408">
        <f t="shared" si="37"/>
        <v>0</v>
      </c>
    </row>
    <row r="95" spans="1:16" s="225" customFormat="1" ht="77.25" customHeight="1">
      <c r="A95" s="1422">
        <v>26</v>
      </c>
      <c r="B95" s="1965" t="str">
        <f>'Direct cost summary '!B155</f>
        <v>Stone Production ( For Aggregate  by Quarryman )</v>
      </c>
      <c r="C95" s="1965"/>
      <c r="D95" s="957" t="str">
        <f>'plan &amp; Unit price &amp; Direct cost'!D73</f>
        <v>m3</v>
      </c>
      <c r="E95" s="938">
        <f>'Direct cost summary '!J155</f>
        <v>88.677365472051363</v>
      </c>
      <c r="F95" s="610">
        <f>'[8]Daily Progress Report '!$O94</f>
        <v>0</v>
      </c>
      <c r="G95" s="610">
        <f>'[2]Daily Progress Report '!$O94</f>
        <v>0</v>
      </c>
      <c r="H95" s="610">
        <f>'[3]Daily Progress Report '!$O94</f>
        <v>0</v>
      </c>
      <c r="I95" s="610">
        <f>'[9]Daily Progress Report'!$O94</f>
        <v>0</v>
      </c>
      <c r="J95" s="610">
        <f>'[5]Daily Progress Report '!$O94</f>
        <v>0</v>
      </c>
      <c r="K95" s="610">
        <f>'[6]Daily Progress Report '!$O94</f>
        <v>0</v>
      </c>
      <c r="L95" s="610">
        <f>'[7]Daily Progress Report '!$O94</f>
        <v>0</v>
      </c>
      <c r="M95" s="610"/>
      <c r="N95" s="610">
        <f t="shared" si="29"/>
        <v>0</v>
      </c>
      <c r="O95" s="610">
        <f t="shared" si="36"/>
        <v>0</v>
      </c>
      <c r="P95" s="1408">
        <f t="shared" si="37"/>
        <v>0</v>
      </c>
    </row>
    <row r="96" spans="1:16" s="225" customFormat="1" ht="26.25">
      <c r="A96" s="1422">
        <v>27</v>
      </c>
      <c r="B96" s="1965" t="str">
        <f>'Direct cost summary '!B156</f>
        <v>Stone Production</v>
      </c>
      <c r="C96" s="1965"/>
      <c r="D96" s="957" t="str">
        <f>'plan &amp; Unit price &amp; Direct cost'!D74</f>
        <v>m3</v>
      </c>
      <c r="E96" s="938">
        <f>'Direct cost summary '!J156</f>
        <v>56.250002355220808</v>
      </c>
      <c r="F96" s="610">
        <f>'[8]Daily Progress Report '!$O95</f>
        <v>0</v>
      </c>
      <c r="G96" s="610">
        <f>'[2]Daily Progress Report '!$O95</f>
        <v>0</v>
      </c>
      <c r="H96" s="610">
        <f>'[3]Daily Progress Report '!$O95</f>
        <v>0</v>
      </c>
      <c r="I96" s="610">
        <f>'[9]Daily Progress Report'!$O95</f>
        <v>0</v>
      </c>
      <c r="J96" s="610">
        <f>'[5]Daily Progress Report '!$O95</f>
        <v>0</v>
      </c>
      <c r="K96" s="610">
        <f>'[6]Daily Progress Report '!$O95</f>
        <v>0</v>
      </c>
      <c r="L96" s="610">
        <f>'[7]Daily Progress Report '!$O95</f>
        <v>0</v>
      </c>
      <c r="M96" s="610"/>
      <c r="N96" s="610">
        <f t="shared" si="29"/>
        <v>0</v>
      </c>
      <c r="O96" s="610">
        <f t="shared" si="36"/>
        <v>0</v>
      </c>
      <c r="P96" s="1408">
        <f t="shared" si="37"/>
        <v>0</v>
      </c>
    </row>
    <row r="97" spans="1:16" s="225" customFormat="1" ht="20.100000000000001" customHeight="1">
      <c r="A97" s="1422">
        <v>28</v>
      </c>
      <c r="B97" s="1965" t="str">
        <f>'Direct cost summary '!B158</f>
        <v>C.agg. production</v>
      </c>
      <c r="C97" s="1965"/>
      <c r="D97" s="957" t="str">
        <f>'plan &amp; Unit price &amp; Direct cost'!D75</f>
        <v>m3</v>
      </c>
      <c r="E97" s="938">
        <f>'Direct cost summary '!J158</f>
        <v>271.50605725872737</v>
      </c>
      <c r="F97" s="610">
        <f>'[8]Daily Progress Report '!$O96</f>
        <v>0</v>
      </c>
      <c r="G97" s="610">
        <f>'[2]Daily Progress Report '!$O96</f>
        <v>0</v>
      </c>
      <c r="H97" s="610">
        <f>'[3]Daily Progress Report '!$O96</f>
        <v>0</v>
      </c>
      <c r="I97" s="610">
        <f>'[9]Daily Progress Report'!$O96</f>
        <v>0</v>
      </c>
      <c r="J97" s="610">
        <f>'[5]Daily Progress Report '!$O96</f>
        <v>0</v>
      </c>
      <c r="K97" s="610">
        <f>'[6]Daily Progress Report '!$O96</f>
        <v>0</v>
      </c>
      <c r="L97" s="610">
        <f>'[7]Daily Progress Report '!$O96</f>
        <v>0</v>
      </c>
      <c r="M97" s="610"/>
      <c r="N97" s="610">
        <f t="shared" si="29"/>
        <v>0</v>
      </c>
      <c r="O97" s="610">
        <f t="shared" si="36"/>
        <v>0</v>
      </c>
      <c r="P97" s="1408">
        <f t="shared" si="37"/>
        <v>0</v>
      </c>
    </row>
    <row r="98" spans="1:16" s="225" customFormat="1" ht="20.100000000000001" customHeight="1">
      <c r="A98" s="1422"/>
      <c r="B98" s="1975" t="str">
        <f>'Direct cost summary '!B162</f>
        <v>Class 'C-15' Concrete</v>
      </c>
      <c r="C98" s="1975"/>
      <c r="D98" s="957" t="str">
        <f>'plan &amp; Unit price &amp; Direct cost'!D76</f>
        <v>m3</v>
      </c>
      <c r="E98" s="933"/>
      <c r="F98" s="610">
        <f>'[8]Daily Progress Report '!$O97</f>
        <v>0</v>
      </c>
      <c r="G98" s="610">
        <f>'[2]Daily Progress Report '!$O97</f>
        <v>0</v>
      </c>
      <c r="H98" s="610">
        <f>'[3]Daily Progress Report '!$O97</f>
        <v>0</v>
      </c>
      <c r="I98" s="610">
        <f>'[9]Daily Progress Report'!$O97</f>
        <v>0</v>
      </c>
      <c r="J98" s="610">
        <f>'[5]Daily Progress Report '!$O97</f>
        <v>0</v>
      </c>
      <c r="K98" s="610">
        <f>'[6]Daily Progress Report '!$O97</f>
        <v>0</v>
      </c>
      <c r="L98" s="610">
        <f>'[7]Daily Progress Report '!$O97</f>
        <v>0</v>
      </c>
      <c r="M98" s="610"/>
      <c r="N98" s="610">
        <f t="shared" si="29"/>
        <v>0</v>
      </c>
      <c r="O98" s="610">
        <f t="shared" ref="O98:O102" si="38">SUM(F98:L98)</f>
        <v>0</v>
      </c>
      <c r="P98" s="1408">
        <f t="shared" ref="P98:P102" si="39">E98*O98</f>
        <v>0</v>
      </c>
    </row>
    <row r="99" spans="1:16" s="225" customFormat="1" ht="20.100000000000001" customHeight="1">
      <c r="A99" s="1422">
        <v>29</v>
      </c>
      <c r="B99" s="1965" t="str">
        <f>'Direct cost summary '!B163</f>
        <v>Sand production</v>
      </c>
      <c r="C99" s="1965"/>
      <c r="D99" s="957" t="str">
        <f>'plan &amp; Unit price &amp; Direct cost'!D77</f>
        <v>Lm</v>
      </c>
      <c r="E99" s="933">
        <f>'Direct cost summary '!J163</f>
        <v>16.522958273565465</v>
      </c>
      <c r="F99" s="610">
        <f>'[8]Daily Progress Report '!$O98</f>
        <v>0</v>
      </c>
      <c r="G99" s="610">
        <f>'[2]Daily Progress Report '!$O98</f>
        <v>0</v>
      </c>
      <c r="H99" s="610">
        <f>'[3]Daily Progress Report '!$O98</f>
        <v>0</v>
      </c>
      <c r="I99" s="610">
        <f>'[9]Daily Progress Report'!$O98</f>
        <v>0</v>
      </c>
      <c r="J99" s="610">
        <f>'[5]Daily Progress Report '!$O98</f>
        <v>0</v>
      </c>
      <c r="K99" s="610">
        <f>'[6]Daily Progress Report '!$O98</f>
        <v>0</v>
      </c>
      <c r="L99" s="610">
        <f>'[7]Daily Progress Report '!$O98</f>
        <v>0</v>
      </c>
      <c r="M99" s="610"/>
      <c r="N99" s="610">
        <f t="shared" si="29"/>
        <v>0</v>
      </c>
      <c r="O99" s="610">
        <f t="shared" si="38"/>
        <v>0</v>
      </c>
      <c r="P99" s="1408">
        <f t="shared" si="39"/>
        <v>0</v>
      </c>
    </row>
    <row r="100" spans="1:16" s="225" customFormat="1" ht="73.5" customHeight="1">
      <c r="A100" s="1422">
        <v>30</v>
      </c>
      <c r="B100" s="1965" t="str">
        <f>'Direct cost summary '!B165</f>
        <v>Stone Production ( For Aggregate  by Quarryman )</v>
      </c>
      <c r="C100" s="1965"/>
      <c r="D100" s="957" t="str">
        <f>'plan &amp; Unit price &amp; Direct cost'!D78</f>
        <v>Lm</v>
      </c>
      <c r="E100" s="938">
        <f>'Direct cost summary '!J165</f>
        <v>73.8978045600428</v>
      </c>
      <c r="F100" s="610">
        <f>'[8]Daily Progress Report '!$O99</f>
        <v>0</v>
      </c>
      <c r="G100" s="610">
        <f>'[2]Daily Progress Report '!$O99</f>
        <v>0</v>
      </c>
      <c r="H100" s="610">
        <f>'[3]Daily Progress Report '!$O99</f>
        <v>0</v>
      </c>
      <c r="I100" s="610">
        <f>'[9]Daily Progress Report'!$O99</f>
        <v>0</v>
      </c>
      <c r="J100" s="610">
        <f>'[5]Daily Progress Report '!$O99</f>
        <v>0</v>
      </c>
      <c r="K100" s="610">
        <f>'[6]Daily Progress Report '!$O99</f>
        <v>0</v>
      </c>
      <c r="L100" s="610">
        <f>'[7]Daily Progress Report '!$O99</f>
        <v>0</v>
      </c>
      <c r="M100" s="610"/>
      <c r="N100" s="610">
        <f t="shared" si="29"/>
        <v>0</v>
      </c>
      <c r="O100" s="610">
        <f t="shared" si="38"/>
        <v>0</v>
      </c>
      <c r="P100" s="1408">
        <f t="shared" si="39"/>
        <v>0</v>
      </c>
    </row>
    <row r="101" spans="1:16" s="225" customFormat="1" ht="26.25">
      <c r="A101" s="1422">
        <v>31</v>
      </c>
      <c r="B101" s="1965" t="str">
        <f>'Direct cost summary '!B166</f>
        <v>Stone Production</v>
      </c>
      <c r="C101" s="1965"/>
      <c r="D101" s="957" t="s">
        <v>273</v>
      </c>
      <c r="E101" s="938">
        <f>'Direct cost summary '!J166</f>
        <v>46.87500196268401</v>
      </c>
      <c r="F101" s="610">
        <f>'[8]Daily Progress Report '!$O100</f>
        <v>0</v>
      </c>
      <c r="G101" s="610">
        <f>'[2]Daily Progress Report '!$O100</f>
        <v>0</v>
      </c>
      <c r="H101" s="610">
        <f>'[3]Daily Progress Report '!$O100</f>
        <v>0</v>
      </c>
      <c r="I101" s="610">
        <f>'[9]Daily Progress Report'!$O100</f>
        <v>0</v>
      </c>
      <c r="J101" s="610">
        <f>'[5]Daily Progress Report '!$O100</f>
        <v>0</v>
      </c>
      <c r="K101" s="610">
        <f>'[6]Daily Progress Report '!$O100</f>
        <v>0</v>
      </c>
      <c r="L101" s="610">
        <f>'[7]Daily Progress Report '!$O100</f>
        <v>0</v>
      </c>
      <c r="M101" s="610"/>
      <c r="N101" s="610">
        <f t="shared" si="29"/>
        <v>0</v>
      </c>
      <c r="O101" s="610">
        <f t="shared" si="38"/>
        <v>0</v>
      </c>
      <c r="P101" s="1408">
        <f t="shared" si="39"/>
        <v>0</v>
      </c>
    </row>
    <row r="102" spans="1:16" s="225" customFormat="1" ht="26.25">
      <c r="A102" s="1422">
        <v>32</v>
      </c>
      <c r="B102" s="1965" t="str">
        <f>'Direct cost summary '!B168</f>
        <v>C.agg. production</v>
      </c>
      <c r="C102" s="1965"/>
      <c r="D102" s="957" t="str">
        <f>'plan &amp; Unit price &amp; Direct cost'!D80</f>
        <v>m3</v>
      </c>
      <c r="E102" s="938">
        <f>'Direct cost summary '!J168</f>
        <v>226.25504771560614</v>
      </c>
      <c r="F102" s="610">
        <f>'[8]Daily Progress Report '!$O101</f>
        <v>0</v>
      </c>
      <c r="G102" s="610">
        <f>'[2]Daily Progress Report '!$O101</f>
        <v>0</v>
      </c>
      <c r="H102" s="610">
        <f>'[3]Daily Progress Report '!$O101</f>
        <v>0</v>
      </c>
      <c r="I102" s="610">
        <f>'[9]Daily Progress Report'!$O101</f>
        <v>0</v>
      </c>
      <c r="J102" s="610">
        <f>'[5]Daily Progress Report '!$O101</f>
        <v>0</v>
      </c>
      <c r="K102" s="610">
        <f>'[6]Daily Progress Report '!$O101</f>
        <v>0</v>
      </c>
      <c r="L102" s="610">
        <f>'[7]Daily Progress Report '!$O101</f>
        <v>0</v>
      </c>
      <c r="M102" s="610"/>
      <c r="N102" s="610">
        <f t="shared" si="29"/>
        <v>0</v>
      </c>
      <c r="O102" s="610">
        <f t="shared" si="38"/>
        <v>0</v>
      </c>
      <c r="P102" s="1408">
        <f t="shared" si="39"/>
        <v>0</v>
      </c>
    </row>
    <row r="103" spans="1:16" s="225" customFormat="1" ht="25.5" customHeight="1">
      <c r="A103" s="1422"/>
      <c r="B103" s="1975" t="str">
        <f>'Direct cost summary '!B172</f>
        <v>Class 'C-5' Concrete</v>
      </c>
      <c r="C103" s="1975"/>
      <c r="D103" s="957" t="str">
        <f>'plan &amp; Unit price &amp; Direct cost'!D81</f>
        <v>m3</v>
      </c>
      <c r="E103" s="933"/>
      <c r="F103" s="610">
        <f>'[8]Daily Progress Report '!$O102</f>
        <v>0</v>
      </c>
      <c r="G103" s="610">
        <f>'[2]Daily Progress Report '!$O102</f>
        <v>0</v>
      </c>
      <c r="H103" s="610">
        <f>'[3]Daily Progress Report '!$O102</f>
        <v>0</v>
      </c>
      <c r="I103" s="610">
        <f>'[9]Daily Progress Report'!$O102</f>
        <v>0</v>
      </c>
      <c r="J103" s="610">
        <f>'[5]Daily Progress Report '!$O102</f>
        <v>0</v>
      </c>
      <c r="K103" s="610">
        <f>'[6]Daily Progress Report '!$O102</f>
        <v>0</v>
      </c>
      <c r="L103" s="610">
        <f>'[7]Daily Progress Report '!$O102</f>
        <v>0</v>
      </c>
      <c r="M103" s="610"/>
      <c r="N103" s="610">
        <f t="shared" si="29"/>
        <v>0</v>
      </c>
      <c r="O103" s="610">
        <f t="shared" ref="O103:O107" si="40">SUM(F103:L103)</f>
        <v>0</v>
      </c>
      <c r="P103" s="1408">
        <f t="shared" ref="P103:P107" si="41">E103*O103</f>
        <v>0</v>
      </c>
    </row>
    <row r="104" spans="1:16" s="225" customFormat="1" ht="26.25">
      <c r="A104" s="1422">
        <v>33</v>
      </c>
      <c r="B104" s="1965" t="str">
        <f>'Direct cost summary '!B173</f>
        <v>Sand production</v>
      </c>
      <c r="C104" s="1965"/>
      <c r="D104" s="957" t="str">
        <f>'plan &amp; Unit price &amp; Direct cost'!D82</f>
        <v>m3</v>
      </c>
      <c r="E104" s="933">
        <f>'Direct cost summary '!J173</f>
        <v>15.696810359887193</v>
      </c>
      <c r="F104" s="610">
        <f>'[8]Daily Progress Report '!$O103</f>
        <v>0</v>
      </c>
      <c r="G104" s="610">
        <f>'[2]Daily Progress Report '!$O103</f>
        <v>0</v>
      </c>
      <c r="H104" s="610">
        <f>'[3]Daily Progress Report '!$O103</f>
        <v>0</v>
      </c>
      <c r="I104" s="610">
        <f>'[9]Daily Progress Report'!$O103</f>
        <v>0</v>
      </c>
      <c r="J104" s="610">
        <f>'[5]Daily Progress Report '!$O103</f>
        <v>0</v>
      </c>
      <c r="K104" s="610">
        <f>'[6]Daily Progress Report '!$O103</f>
        <v>0</v>
      </c>
      <c r="L104" s="610">
        <f>'[7]Daily Progress Report '!$O103</f>
        <v>0</v>
      </c>
      <c r="M104" s="610"/>
      <c r="N104" s="610">
        <f t="shared" si="29"/>
        <v>0</v>
      </c>
      <c r="O104" s="610">
        <f t="shared" si="40"/>
        <v>0</v>
      </c>
      <c r="P104" s="1408">
        <f t="shared" si="41"/>
        <v>0</v>
      </c>
    </row>
    <row r="105" spans="1:16" s="225" customFormat="1" ht="75" customHeight="1">
      <c r="A105" s="1422">
        <v>34</v>
      </c>
      <c r="B105" s="1965" t="str">
        <f>'Direct cost summary '!B175</f>
        <v>Stone Production ( For Aggregate  by Quarryman )</v>
      </c>
      <c r="C105" s="1965"/>
      <c r="D105" s="957" t="s">
        <v>273</v>
      </c>
      <c r="E105" s="938">
        <f>'Direct cost summary '!J175</f>
        <v>70.202914332040663</v>
      </c>
      <c r="F105" s="610">
        <f>'[8]Daily Progress Report '!$O104</f>
        <v>0</v>
      </c>
      <c r="G105" s="610">
        <f>'[2]Daily Progress Report '!$O104</f>
        <v>0</v>
      </c>
      <c r="H105" s="610">
        <f>'[3]Daily Progress Report '!$O104</f>
        <v>0</v>
      </c>
      <c r="I105" s="610">
        <f>'[9]Daily Progress Report'!$O104</f>
        <v>0</v>
      </c>
      <c r="J105" s="610">
        <f>'[5]Daily Progress Report '!$O104</f>
        <v>0</v>
      </c>
      <c r="K105" s="610">
        <f>'[6]Daily Progress Report '!$O104</f>
        <v>0</v>
      </c>
      <c r="L105" s="610">
        <f>'[7]Daily Progress Report '!$O104</f>
        <v>0</v>
      </c>
      <c r="M105" s="610"/>
      <c r="N105" s="610">
        <f t="shared" si="29"/>
        <v>0</v>
      </c>
      <c r="O105" s="610">
        <f t="shared" si="40"/>
        <v>0</v>
      </c>
      <c r="P105" s="1408">
        <f t="shared" si="41"/>
        <v>0</v>
      </c>
    </row>
    <row r="106" spans="1:16" s="225" customFormat="1" ht="26.25">
      <c r="A106" s="1422">
        <v>35</v>
      </c>
      <c r="B106" s="1965" t="str">
        <f>'Direct cost summary '!B176</f>
        <v>Stone Production</v>
      </c>
      <c r="C106" s="1965"/>
      <c r="D106" s="957" t="str">
        <f>'plan &amp; Unit price &amp; Direct cost'!D84</f>
        <v>m3</v>
      </c>
      <c r="E106" s="938">
        <f>'Direct cost summary '!J176</f>
        <v>44.531251864549809</v>
      </c>
      <c r="F106" s="610">
        <f>'[8]Daily Progress Report '!$O105</f>
        <v>0</v>
      </c>
      <c r="G106" s="610">
        <f>'[2]Daily Progress Report '!$O105</f>
        <v>0</v>
      </c>
      <c r="H106" s="610">
        <f>'[3]Daily Progress Report '!$O105</f>
        <v>0</v>
      </c>
      <c r="I106" s="610">
        <f>'[9]Daily Progress Report'!$O105</f>
        <v>0</v>
      </c>
      <c r="J106" s="610">
        <f>'[5]Daily Progress Report '!$O105</f>
        <v>0</v>
      </c>
      <c r="K106" s="610">
        <f>'[6]Daily Progress Report '!$O105</f>
        <v>0</v>
      </c>
      <c r="L106" s="610">
        <f>'[7]Daily Progress Report '!$O105</f>
        <v>0</v>
      </c>
      <c r="M106" s="610"/>
      <c r="N106" s="610">
        <f t="shared" si="29"/>
        <v>0</v>
      </c>
      <c r="O106" s="610">
        <f t="shared" si="40"/>
        <v>0</v>
      </c>
      <c r="P106" s="1408">
        <f t="shared" si="41"/>
        <v>0</v>
      </c>
    </row>
    <row r="107" spans="1:16" s="225" customFormat="1" ht="26.25">
      <c r="A107" s="1422">
        <v>36</v>
      </c>
      <c r="B107" s="1965" t="str">
        <f>'Direct cost summary '!B178</f>
        <v>C.agg. production</v>
      </c>
      <c r="C107" s="1965"/>
      <c r="D107" s="957" t="str">
        <f>'plan &amp; Unit price &amp; Direct cost'!D85</f>
        <v>m3</v>
      </c>
      <c r="E107" s="938">
        <f>'Direct cost summary '!J178</f>
        <v>214.94229532982584</v>
      </c>
      <c r="F107" s="610">
        <f>'[8]Daily Progress Report '!$O106</f>
        <v>0</v>
      </c>
      <c r="G107" s="610">
        <f>'[2]Daily Progress Report '!$O106</f>
        <v>1.8</v>
      </c>
      <c r="H107" s="610">
        <f>'[3]Daily Progress Report '!$O106</f>
        <v>0</v>
      </c>
      <c r="I107" s="610">
        <f>'[9]Daily Progress Report'!$O106</f>
        <v>3.9</v>
      </c>
      <c r="J107" s="610">
        <f>'[5]Daily Progress Report '!$O106</f>
        <v>4.08</v>
      </c>
      <c r="K107" s="610">
        <f>'[6]Daily Progress Report '!$O106</f>
        <v>3.6</v>
      </c>
      <c r="L107" s="610">
        <f>'[7]Daily Progress Report '!$O106</f>
        <v>4.62</v>
      </c>
      <c r="M107" s="610">
        <v>19.559999999999999</v>
      </c>
      <c r="N107" s="610">
        <f t="shared" si="29"/>
        <v>4204.2712966513927</v>
      </c>
      <c r="O107" s="610">
        <f t="shared" si="40"/>
        <v>18</v>
      </c>
      <c r="P107" s="1408">
        <f t="shared" si="41"/>
        <v>3868.961315936865</v>
      </c>
    </row>
    <row r="108" spans="1:16" s="225" customFormat="1" ht="25.5" customHeight="1">
      <c r="A108" s="1422"/>
      <c r="B108" s="1975" t="str">
        <f>'Direct cost summary '!B198</f>
        <v>Class 'B' masonry</v>
      </c>
      <c r="C108" s="1975"/>
      <c r="D108" s="961">
        <f>'plan &amp; Unit price &amp; Direct cost'!D61</f>
        <v>0</v>
      </c>
      <c r="E108" s="933">
        <f>'plan &amp; Unit price &amp; Direct cost'!E61</f>
        <v>0</v>
      </c>
      <c r="F108" s="610">
        <f>'[8]Daily Progress Report '!$O107</f>
        <v>0</v>
      </c>
      <c r="G108" s="610">
        <f>'[2]Daily Progress Report '!$O107</f>
        <v>0</v>
      </c>
      <c r="H108" s="610">
        <f>'[3]Daily Progress Report '!$O107</f>
        <v>0</v>
      </c>
      <c r="I108" s="610">
        <f>'[9]Daily Progress Report'!$O107</f>
        <v>0</v>
      </c>
      <c r="J108" s="610">
        <f>'[5]Daily Progress Report '!$O107</f>
        <v>0</v>
      </c>
      <c r="K108" s="610">
        <f>'[6]Daily Progress Report '!$O107</f>
        <v>0</v>
      </c>
      <c r="L108" s="610">
        <f>'[7]Daily Progress Report '!$O107</f>
        <v>0</v>
      </c>
      <c r="M108" s="610"/>
      <c r="N108" s="610">
        <f t="shared" si="29"/>
        <v>0</v>
      </c>
      <c r="O108" s="610">
        <f t="shared" si="1"/>
        <v>0</v>
      </c>
      <c r="P108" s="1408">
        <f t="shared" si="24"/>
        <v>0</v>
      </c>
    </row>
    <row r="109" spans="1:16" s="225" customFormat="1" ht="48" customHeight="1">
      <c r="A109" s="1422">
        <v>38</v>
      </c>
      <c r="B109" s="1965" t="str">
        <f>'Direct cost summary '!B199</f>
        <v>Stone Production by Excavator ( For Masonary  )</v>
      </c>
      <c r="C109" s="1965"/>
      <c r="D109" s="957" t="str">
        <f>'plan &amp; Unit price &amp; Direct cost'!D62</f>
        <v>m3</v>
      </c>
      <c r="E109" s="933">
        <f>'Direct cost summary '!J95</f>
        <v>59.822381054430402</v>
      </c>
      <c r="F109" s="610">
        <f>'[8]Daily Progress Report '!$O108</f>
        <v>0</v>
      </c>
      <c r="G109" s="610">
        <f>'[2]Daily Progress Report '!$O108</f>
        <v>0</v>
      </c>
      <c r="H109" s="610">
        <f>'[3]Daily Progress Report '!$O108</f>
        <v>0</v>
      </c>
      <c r="I109" s="610">
        <f>'[9]Daily Progress Report'!$O108</f>
        <v>0</v>
      </c>
      <c r="J109" s="610">
        <f>'[5]Daily Progress Report '!$O108</f>
        <v>0</v>
      </c>
      <c r="K109" s="610">
        <f>'[6]Daily Progress Report '!$O108</f>
        <v>0</v>
      </c>
      <c r="L109" s="610">
        <f>'[7]Daily Progress Report '!$O108</f>
        <v>0</v>
      </c>
      <c r="M109" s="610">
        <f>O109*1.05</f>
        <v>0</v>
      </c>
      <c r="N109" s="610">
        <f t="shared" si="29"/>
        <v>0</v>
      </c>
      <c r="O109" s="610">
        <f t="shared" si="1"/>
        <v>0</v>
      </c>
      <c r="P109" s="1408">
        <f t="shared" si="24"/>
        <v>0</v>
      </c>
    </row>
    <row r="110" spans="1:16" s="225" customFormat="1" ht="26.25">
      <c r="A110" s="1422">
        <v>39</v>
      </c>
      <c r="B110" s="1965" t="str">
        <f>'Direct cost summary '!B200</f>
        <v>Stone prodn. (Q.man)</v>
      </c>
      <c r="C110" s="1965"/>
      <c r="D110" s="957" t="str">
        <f>'plan &amp; Unit price &amp; Direct cost'!D63</f>
        <v>m3</v>
      </c>
      <c r="E110" s="938">
        <f>'Direct cost summary '!J96</f>
        <v>120.39785363503751</v>
      </c>
      <c r="F110" s="610">
        <f>'[8]Daily Progress Report '!$O109</f>
        <v>5.6899999999999995</v>
      </c>
      <c r="G110" s="610">
        <f>'[2]Daily Progress Report '!$O109</f>
        <v>4.32</v>
      </c>
      <c r="H110" s="610">
        <f>'[3]Daily Progress Report '!$O109</f>
        <v>0</v>
      </c>
      <c r="I110" s="610">
        <f>'[9]Daily Progress Report'!$O109</f>
        <v>5.76</v>
      </c>
      <c r="J110" s="610">
        <f>'[5]Daily Progress Report '!$O109</f>
        <v>7.2</v>
      </c>
      <c r="K110" s="610">
        <f>'[6]Daily Progress Report '!$O109</f>
        <v>0</v>
      </c>
      <c r="L110" s="610">
        <f>'[7]Daily Progress Report '!$O109</f>
        <v>0</v>
      </c>
      <c r="M110" s="759">
        <v>26.36</v>
      </c>
      <c r="N110" s="610">
        <f t="shared" si="29"/>
        <v>3173.6874218195885</v>
      </c>
      <c r="O110" s="610">
        <f t="shared" si="1"/>
        <v>22.97</v>
      </c>
      <c r="P110" s="1408">
        <f t="shared" si="24"/>
        <v>2765.5386979968116</v>
      </c>
    </row>
    <row r="111" spans="1:16" s="225" customFormat="1" ht="26.25">
      <c r="A111" s="1422">
        <v>40</v>
      </c>
      <c r="B111" s="1965" t="str">
        <f>'Direct cost summary '!B202</f>
        <v>Sand production</v>
      </c>
      <c r="C111" s="1965"/>
      <c r="D111" s="957" t="str">
        <f>'plan &amp; Unit price &amp; Direct cost'!D64</f>
        <v>m3</v>
      </c>
      <c r="E111" s="933">
        <f>'Direct cost summary '!J202</f>
        <v>14.696981568741151</v>
      </c>
      <c r="F111" s="610">
        <f>'[8]Daily Progress Report '!$O110</f>
        <v>0</v>
      </c>
      <c r="G111" s="610">
        <f>'[2]Daily Progress Report '!$O110</f>
        <v>0</v>
      </c>
      <c r="H111" s="610">
        <f>'[3]Daily Progress Report '!$O110</f>
        <v>0</v>
      </c>
      <c r="I111" s="610">
        <f>'[9]Daily Progress Report'!$O110</f>
        <v>0</v>
      </c>
      <c r="J111" s="610">
        <f>'[5]Daily Progress Report '!$O110</f>
        <v>0</v>
      </c>
      <c r="K111" s="610">
        <f>'[6]Daily Progress Report '!$O110</f>
        <v>0</v>
      </c>
      <c r="L111" s="610">
        <f>'[7]Daily Progress Report '!$O110</f>
        <v>0</v>
      </c>
      <c r="M111" s="610"/>
      <c r="N111" s="610">
        <f t="shared" si="29"/>
        <v>0</v>
      </c>
      <c r="O111" s="610">
        <f t="shared" si="1"/>
        <v>0</v>
      </c>
      <c r="P111" s="1408">
        <f t="shared" si="24"/>
        <v>0</v>
      </c>
    </row>
    <row r="112" spans="1:16" s="225" customFormat="1" ht="56.25" customHeight="1">
      <c r="A112" s="1422"/>
      <c r="B112" s="1975" t="str">
        <f>'plan &amp; Unit price &amp; Direct cost'!B65:C65</f>
        <v>G.R. paved water way(Paved Ditch)</v>
      </c>
      <c r="C112" s="1975"/>
      <c r="D112" s="961">
        <f>'plan &amp; Unit price &amp; Direct cost'!D65</f>
        <v>0</v>
      </c>
      <c r="E112" s="933">
        <f>'plan &amp; Unit price &amp; Direct cost'!E65</f>
        <v>0</v>
      </c>
      <c r="F112" s="610">
        <f>'[8]Daily Progress Report '!$O111</f>
        <v>0</v>
      </c>
      <c r="G112" s="610">
        <f>'[2]Daily Progress Report '!$O111</f>
        <v>0</v>
      </c>
      <c r="H112" s="610">
        <f>'[3]Daily Progress Report '!$O111</f>
        <v>0</v>
      </c>
      <c r="I112" s="610">
        <f>'[9]Daily Progress Report'!$O111</f>
        <v>0</v>
      </c>
      <c r="J112" s="610">
        <f>'[5]Daily Progress Report '!$O111</f>
        <v>0</v>
      </c>
      <c r="K112" s="610">
        <f>'[6]Daily Progress Report '!$O111</f>
        <v>0</v>
      </c>
      <c r="L112" s="610">
        <f>'[7]Daily Progress Report '!$O111</f>
        <v>0</v>
      </c>
      <c r="M112" s="610"/>
      <c r="N112" s="610">
        <f t="shared" si="29"/>
        <v>0</v>
      </c>
      <c r="O112" s="610">
        <f t="shared" si="1"/>
        <v>0</v>
      </c>
      <c r="P112" s="1408">
        <f t="shared" si="24"/>
        <v>0</v>
      </c>
    </row>
    <row r="113" spans="1:995" s="225" customFormat="1" ht="72" customHeight="1">
      <c r="A113" s="1422">
        <v>41</v>
      </c>
      <c r="B113" s="1965" t="str">
        <f>'Direct cost summary '!B102</f>
        <v>Stone Production by Excavator ( For Masonary  )</v>
      </c>
      <c r="C113" s="1965"/>
      <c r="D113" s="957" t="str">
        <f>'plan &amp; Unit price &amp; Direct cost'!D66</f>
        <v>m3</v>
      </c>
      <c r="E113" s="933">
        <f>'Direct cost summary '!J102</f>
        <v>15.103244268152077</v>
      </c>
      <c r="F113" s="610">
        <f>'[8]Daily Progress Report '!$O112</f>
        <v>0</v>
      </c>
      <c r="G113" s="610">
        <f>'[2]Daily Progress Report '!$O112</f>
        <v>0</v>
      </c>
      <c r="H113" s="610">
        <f>'[3]Daily Progress Report '!$O112</f>
        <v>0</v>
      </c>
      <c r="I113" s="610">
        <f>'[9]Daily Progress Report'!$O112</f>
        <v>0</v>
      </c>
      <c r="J113" s="610">
        <f>'[5]Daily Progress Report '!$O112</f>
        <v>0</v>
      </c>
      <c r="K113" s="610">
        <f>'[6]Daily Progress Report '!$O112</f>
        <v>0</v>
      </c>
      <c r="L113" s="610">
        <f>'[7]Daily Progress Report '!$O112</f>
        <v>0</v>
      </c>
      <c r="M113" s="610"/>
      <c r="N113" s="610">
        <f t="shared" si="29"/>
        <v>0</v>
      </c>
      <c r="O113" s="610">
        <f t="shared" si="1"/>
        <v>0</v>
      </c>
      <c r="P113" s="1408">
        <f t="shared" si="24"/>
        <v>0</v>
      </c>
    </row>
    <row r="114" spans="1:995" s="225" customFormat="1" ht="33" customHeight="1">
      <c r="A114" s="1422">
        <v>42</v>
      </c>
      <c r="B114" s="1965" t="str">
        <f>'Direct cost summary '!B103</f>
        <v>Stone prodn. (Q.man)</v>
      </c>
      <c r="C114" s="1965"/>
      <c r="D114" s="957" t="str">
        <f>'plan &amp; Unit price &amp; Direct cost'!D67</f>
        <v>m3</v>
      </c>
      <c r="E114" s="933">
        <f>'Direct cost summary '!J103</f>
        <v>30.396620140490256</v>
      </c>
      <c r="F114" s="610">
        <f>'[8]Daily Progress Report '!$O113</f>
        <v>0</v>
      </c>
      <c r="G114" s="610">
        <f>'[2]Daily Progress Report '!$O113</f>
        <v>6.48</v>
      </c>
      <c r="H114" s="610">
        <f>'[3]Daily Progress Report '!$O113</f>
        <v>0</v>
      </c>
      <c r="I114" s="610">
        <f>'[9]Daily Progress Report'!$O113</f>
        <v>10.8</v>
      </c>
      <c r="J114" s="610">
        <f>'[5]Daily Progress Report '!$O113</f>
        <v>0</v>
      </c>
      <c r="K114" s="610">
        <f>'[6]Daily Progress Report '!$O113</f>
        <v>0</v>
      </c>
      <c r="L114" s="610">
        <f>'[7]Daily Progress Report '!$O113</f>
        <v>1.8</v>
      </c>
      <c r="M114" s="610">
        <f>O114*1.1</f>
        <v>20.988000000000003</v>
      </c>
      <c r="N114" s="610">
        <f t="shared" si="29"/>
        <v>637.96426350860963</v>
      </c>
      <c r="O114" s="610">
        <f t="shared" si="1"/>
        <v>19.080000000000002</v>
      </c>
      <c r="P114" s="1408">
        <f t="shared" si="24"/>
        <v>579.96751228055416</v>
      </c>
    </row>
    <row r="115" spans="1:995" s="225" customFormat="1" ht="26.25">
      <c r="A115" s="1422">
        <v>43</v>
      </c>
      <c r="B115" s="1965" t="str">
        <f>'Direct cost summary '!B105</f>
        <v>Sand production</v>
      </c>
      <c r="C115" s="1965"/>
      <c r="D115" s="957" t="str">
        <f>'plan &amp; Unit price &amp; Direct cost'!D68</f>
        <v>m3</v>
      </c>
      <c r="E115" s="933">
        <f>'Direct cost summary '!J105</f>
        <v>6.029101097375916</v>
      </c>
      <c r="F115" s="610">
        <f>'[8]Daily Progress Report '!$O114</f>
        <v>0</v>
      </c>
      <c r="G115" s="610">
        <f>'[2]Daily Progress Report '!$O114</f>
        <v>0</v>
      </c>
      <c r="H115" s="610">
        <f>'[3]Daily Progress Report '!$O114</f>
        <v>0</v>
      </c>
      <c r="I115" s="610">
        <f>'[9]Daily Progress Report'!$O114</f>
        <v>0</v>
      </c>
      <c r="J115" s="610">
        <f>'[5]Daily Progress Report '!$O114</f>
        <v>0</v>
      </c>
      <c r="K115" s="610">
        <f>'[6]Daily Progress Report '!$O114</f>
        <v>0</v>
      </c>
      <c r="L115" s="610">
        <f>'[7]Daily Progress Report '!$O114</f>
        <v>0</v>
      </c>
      <c r="M115" s="610"/>
      <c r="N115" s="610">
        <f t="shared" si="29"/>
        <v>0</v>
      </c>
      <c r="O115" s="610">
        <f t="shared" si="1"/>
        <v>0</v>
      </c>
      <c r="P115" s="1408">
        <f t="shared" si="24"/>
        <v>0</v>
      </c>
    </row>
    <row r="116" spans="1:995" s="225" customFormat="1" ht="51.75" customHeight="1">
      <c r="A116" s="1422"/>
      <c r="B116" s="1975" t="str">
        <f>'plan &amp; Unit price &amp; Direct cost'!B69:C69</f>
        <v>Production of major backfill</v>
      </c>
      <c r="C116" s="1975"/>
      <c r="D116" s="961">
        <f>'plan &amp; Unit price &amp; Direct cost'!D69</f>
        <v>0</v>
      </c>
      <c r="E116" s="933">
        <f>'plan &amp; Unit price &amp; Direct cost'!E69</f>
        <v>0</v>
      </c>
      <c r="F116" s="610">
        <f>'[8]Daily Progress Report '!$O115</f>
        <v>0</v>
      </c>
      <c r="G116" s="610">
        <f>'[2]Daily Progress Report '!$O115</f>
        <v>0</v>
      </c>
      <c r="H116" s="610">
        <f>'[3]Daily Progress Report '!$O115</f>
        <v>0</v>
      </c>
      <c r="I116" s="610">
        <f>'[9]Daily Progress Report'!$O115</f>
        <v>0</v>
      </c>
      <c r="J116" s="610">
        <f>'[5]Daily Progress Report '!$O115</f>
        <v>0</v>
      </c>
      <c r="K116" s="610">
        <f>'[6]Daily Progress Report '!$O115</f>
        <v>0</v>
      </c>
      <c r="L116" s="610">
        <f>'[7]Daily Progress Report '!$O115</f>
        <v>0</v>
      </c>
      <c r="M116" s="610"/>
      <c r="N116" s="610">
        <f t="shared" si="29"/>
        <v>0</v>
      </c>
      <c r="O116" s="610">
        <f t="shared" si="1"/>
        <v>0</v>
      </c>
      <c r="P116" s="1408">
        <f t="shared" si="24"/>
        <v>0</v>
      </c>
    </row>
    <row r="117" spans="1:995" s="225" customFormat="1" ht="45.75" customHeight="1">
      <c r="A117" s="1422">
        <v>44</v>
      </c>
      <c r="B117" s="1965" t="str">
        <f>'Direct cost summary '!B129</f>
        <v>Granular material production (Natural)</v>
      </c>
      <c r="C117" s="1965"/>
      <c r="D117" s="957" t="str">
        <f>'plan &amp; Unit price &amp; Direct cost'!D70</f>
        <v>m3</v>
      </c>
      <c r="E117" s="933">
        <f>'Direct cost summary '!J129</f>
        <v>30.400000000000002</v>
      </c>
      <c r="F117" s="610">
        <f>'[8]Daily Progress Report '!$O116</f>
        <v>0</v>
      </c>
      <c r="G117" s="610">
        <f>'[2]Daily Progress Report '!$O116</f>
        <v>0</v>
      </c>
      <c r="H117" s="610">
        <f>'[3]Daily Progress Report '!$O116</f>
        <v>0</v>
      </c>
      <c r="I117" s="610">
        <f>'[9]Daily Progress Report'!$O116</f>
        <v>0</v>
      </c>
      <c r="J117" s="610">
        <f>'[5]Daily Progress Report '!$O116</f>
        <v>0</v>
      </c>
      <c r="K117" s="610">
        <f>'[6]Daily Progress Report '!$O116</f>
        <v>0</v>
      </c>
      <c r="L117" s="610">
        <f>'[7]Daily Progress Report '!$O116</f>
        <v>0</v>
      </c>
      <c r="M117" s="610"/>
      <c r="N117" s="610">
        <f t="shared" si="29"/>
        <v>0</v>
      </c>
      <c r="O117" s="610">
        <f t="shared" si="1"/>
        <v>0</v>
      </c>
      <c r="P117" s="1408">
        <f t="shared" si="24"/>
        <v>0</v>
      </c>
    </row>
    <row r="118" spans="1:995" s="225" customFormat="1" ht="50.25" customHeight="1">
      <c r="A118" s="1423">
        <v>45</v>
      </c>
      <c r="B118" s="1974" t="str">
        <f>'Direct cost summary '!B125</f>
        <v>Handlaid Material Production</v>
      </c>
      <c r="C118" s="1974"/>
      <c r="D118" s="959" t="s">
        <v>273</v>
      </c>
      <c r="E118" s="934">
        <f>'Direct cost summary '!J125</f>
        <v>75</v>
      </c>
      <c r="F118" s="610">
        <f>'[8]Daily Progress Report '!$O117</f>
        <v>0</v>
      </c>
      <c r="G118" s="750">
        <f>'[2]Daily Progress Report '!$O117</f>
        <v>0</v>
      </c>
      <c r="H118" s="750">
        <f>'[3]Daily Progress Report '!$O117</f>
        <v>0</v>
      </c>
      <c r="I118" s="610">
        <f>'[9]Daily Progress Report'!$O117</f>
        <v>0</v>
      </c>
      <c r="J118" s="750">
        <f>'[5]Daily Progress Report '!$O117</f>
        <v>0</v>
      </c>
      <c r="K118" s="750">
        <f>'[6]Daily Progress Report '!$O117</f>
        <v>0</v>
      </c>
      <c r="L118" s="750">
        <f>'[7]Daily Progress Report '!$O117</f>
        <v>0</v>
      </c>
      <c r="M118" s="750"/>
      <c r="N118" s="750">
        <f t="shared" si="29"/>
        <v>0</v>
      </c>
      <c r="O118" s="750">
        <f t="shared" ref="O118" si="42">SUM(F118:L118)</f>
        <v>0</v>
      </c>
      <c r="P118" s="1409">
        <f t="shared" ref="P118" si="43">E118*O118</f>
        <v>0</v>
      </c>
    </row>
    <row r="119" spans="1:995" s="1390" customFormat="1" ht="36.75" customHeight="1">
      <c r="A119" s="2019" t="s">
        <v>193</v>
      </c>
      <c r="B119" s="2020"/>
      <c r="C119" s="2020"/>
      <c r="D119" s="957"/>
      <c r="E119" s="938"/>
      <c r="F119" s="610">
        <f>'[1]Daily Progress Report '!$O118</f>
        <v>0</v>
      </c>
      <c r="G119" s="610">
        <f>'[2]Daily Progress Report '!$O118</f>
        <v>0</v>
      </c>
      <c r="H119" s="610">
        <f>'[3]Daily Progress Report '!$O118</f>
        <v>0</v>
      </c>
      <c r="I119" s="610">
        <f>'[4]Daily Progress Report'!$O118</f>
        <v>0</v>
      </c>
      <c r="J119" s="610">
        <f>'[5]Daily Progress Report '!$O118</f>
        <v>0</v>
      </c>
      <c r="K119" s="610">
        <f>'[6]Daily Progress Report '!$O118</f>
        <v>0</v>
      </c>
      <c r="L119" s="610">
        <f>'[7]Daily Progress Report '!$O118</f>
        <v>0</v>
      </c>
      <c r="M119" s="610"/>
      <c r="N119" s="1386">
        <f>SUM(N65:N117)</f>
        <v>58127.115441959868</v>
      </c>
      <c r="O119" s="610">
        <f t="shared" si="1"/>
        <v>0</v>
      </c>
      <c r="P119" s="1406">
        <f>SUM(P65:P117)</f>
        <v>52883.197705874132</v>
      </c>
    </row>
    <row r="120" spans="1:995" s="85" customFormat="1" ht="1.5" customHeight="1">
      <c r="A120" s="2006"/>
      <c r="B120" s="2007"/>
      <c r="C120" s="2007"/>
      <c r="D120" s="2007"/>
      <c r="E120" s="942"/>
      <c r="F120" s="752"/>
      <c r="G120" s="753"/>
      <c r="H120" s="754"/>
      <c r="I120" s="755"/>
      <c r="J120" s="755"/>
      <c r="K120" s="755"/>
      <c r="L120" s="756"/>
      <c r="M120" s="757"/>
      <c r="N120" s="968"/>
      <c r="O120" s="758"/>
      <c r="P120" s="1424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/>
      <c r="BI120" s="101"/>
      <c r="BJ120" s="101"/>
      <c r="BK120" s="101"/>
      <c r="BL120" s="101"/>
      <c r="BM120" s="101"/>
      <c r="BN120" s="101"/>
      <c r="BO120" s="101"/>
      <c r="BP120" s="101"/>
      <c r="BQ120" s="101"/>
      <c r="BR120" s="101"/>
      <c r="BS120" s="101"/>
      <c r="BT120" s="101"/>
      <c r="BU120" s="101"/>
      <c r="BV120" s="101"/>
      <c r="BW120" s="101"/>
      <c r="BX120" s="101"/>
      <c r="BY120" s="101"/>
      <c r="BZ120" s="101"/>
      <c r="CA120" s="101"/>
      <c r="CB120" s="101"/>
      <c r="CC120" s="101"/>
      <c r="CD120" s="101"/>
      <c r="CE120" s="101"/>
      <c r="CF120" s="101"/>
      <c r="CG120" s="101"/>
      <c r="CH120" s="101"/>
      <c r="CI120" s="101"/>
      <c r="CJ120" s="101"/>
      <c r="CK120" s="101"/>
      <c r="CL120" s="101"/>
      <c r="CM120" s="101"/>
      <c r="CN120" s="101"/>
      <c r="CO120" s="101"/>
      <c r="CP120" s="101"/>
      <c r="CQ120" s="101"/>
      <c r="CR120" s="101"/>
      <c r="CS120" s="101"/>
      <c r="CT120" s="101"/>
      <c r="CU120" s="101"/>
      <c r="CV120" s="101"/>
      <c r="CW120" s="101"/>
      <c r="CX120" s="101"/>
      <c r="CY120" s="101"/>
      <c r="CZ120" s="101"/>
      <c r="DA120" s="101"/>
      <c r="DB120" s="101"/>
      <c r="DC120" s="101"/>
      <c r="DD120" s="101"/>
      <c r="DE120" s="101"/>
      <c r="DF120" s="101"/>
      <c r="DG120" s="101"/>
      <c r="DH120" s="101"/>
      <c r="DI120" s="101"/>
      <c r="DJ120" s="101"/>
      <c r="DK120" s="101"/>
      <c r="DL120" s="101"/>
      <c r="DM120" s="101"/>
      <c r="DN120" s="101"/>
      <c r="DO120" s="101"/>
      <c r="DP120" s="101"/>
      <c r="DQ120" s="101"/>
      <c r="DR120" s="101"/>
      <c r="DS120" s="101"/>
      <c r="DT120" s="101"/>
      <c r="DU120" s="101"/>
      <c r="DV120" s="101"/>
      <c r="DW120" s="101"/>
      <c r="DX120" s="101"/>
      <c r="DY120" s="101"/>
      <c r="DZ120" s="101"/>
      <c r="EA120" s="101"/>
      <c r="EB120" s="101"/>
      <c r="EC120" s="101"/>
      <c r="ED120" s="101"/>
      <c r="EE120" s="101"/>
      <c r="EF120" s="101"/>
      <c r="EG120" s="101"/>
      <c r="EH120" s="101"/>
      <c r="EI120" s="101"/>
      <c r="EJ120" s="101"/>
      <c r="EK120" s="101"/>
      <c r="EL120" s="101"/>
      <c r="EM120" s="101"/>
      <c r="EN120" s="101"/>
      <c r="EO120" s="101"/>
      <c r="EP120" s="101"/>
      <c r="EQ120" s="101"/>
      <c r="ER120" s="101"/>
      <c r="ES120" s="101"/>
      <c r="ET120" s="101"/>
      <c r="EU120" s="101"/>
      <c r="EV120" s="101"/>
      <c r="EW120" s="101"/>
      <c r="EX120" s="101"/>
      <c r="EY120" s="101"/>
      <c r="EZ120" s="101"/>
      <c r="FA120" s="101"/>
      <c r="FB120" s="101"/>
      <c r="FC120" s="101"/>
      <c r="FD120" s="101"/>
      <c r="FE120" s="101"/>
      <c r="FF120" s="101"/>
      <c r="FG120" s="101"/>
      <c r="FH120" s="101"/>
      <c r="FI120" s="101"/>
      <c r="FJ120" s="101"/>
      <c r="FK120" s="101"/>
      <c r="FL120" s="101"/>
      <c r="FM120" s="101"/>
      <c r="FN120" s="101"/>
      <c r="FO120" s="101"/>
      <c r="FP120" s="101"/>
      <c r="FQ120" s="101"/>
      <c r="FR120" s="101"/>
      <c r="FS120" s="101"/>
      <c r="FT120" s="101"/>
      <c r="FU120" s="101"/>
      <c r="FV120" s="101"/>
      <c r="FW120" s="101"/>
      <c r="FX120" s="101"/>
      <c r="FY120" s="101"/>
      <c r="FZ120" s="101"/>
      <c r="GA120" s="101"/>
      <c r="GB120" s="101"/>
      <c r="GC120" s="101"/>
      <c r="GD120" s="101"/>
      <c r="GE120" s="101"/>
      <c r="GF120" s="101"/>
      <c r="GG120" s="101"/>
      <c r="GH120" s="101"/>
      <c r="GI120" s="101"/>
      <c r="GJ120" s="101"/>
      <c r="GK120" s="101"/>
      <c r="GL120" s="101"/>
      <c r="GM120" s="101"/>
      <c r="GN120" s="101"/>
      <c r="GO120" s="101"/>
      <c r="GP120" s="101"/>
      <c r="GQ120" s="101"/>
      <c r="GR120" s="101"/>
      <c r="GS120" s="101"/>
      <c r="GT120" s="101"/>
      <c r="GU120" s="101"/>
      <c r="GV120" s="101"/>
      <c r="GW120" s="101"/>
      <c r="GX120" s="101"/>
      <c r="GY120" s="101"/>
      <c r="GZ120" s="101"/>
      <c r="HA120" s="101"/>
      <c r="HB120" s="101"/>
      <c r="HC120" s="101"/>
      <c r="HD120" s="101"/>
      <c r="HE120" s="101"/>
      <c r="HF120" s="101"/>
      <c r="HG120" s="101"/>
      <c r="HH120" s="101"/>
      <c r="HI120" s="101"/>
      <c r="HJ120" s="101"/>
      <c r="HK120" s="101"/>
      <c r="HL120" s="101"/>
      <c r="HM120" s="101"/>
      <c r="HN120" s="101"/>
      <c r="HO120" s="101"/>
      <c r="HP120" s="101"/>
      <c r="HQ120" s="101"/>
      <c r="HR120" s="101"/>
      <c r="HS120" s="101"/>
      <c r="HT120" s="101"/>
      <c r="HU120" s="101"/>
      <c r="HV120" s="101"/>
      <c r="HW120" s="101"/>
      <c r="HX120" s="101"/>
      <c r="HY120" s="101"/>
      <c r="HZ120" s="101"/>
      <c r="IA120" s="101"/>
      <c r="IB120" s="101"/>
      <c r="IC120" s="101"/>
      <c r="ID120" s="101"/>
      <c r="IE120" s="101"/>
      <c r="IF120" s="101"/>
      <c r="IG120" s="101"/>
      <c r="IH120" s="101"/>
      <c r="II120" s="101"/>
      <c r="IJ120" s="101"/>
      <c r="IK120" s="101"/>
      <c r="IL120" s="101"/>
      <c r="IM120" s="101"/>
      <c r="IN120" s="101"/>
      <c r="IO120" s="101"/>
      <c r="IP120" s="101"/>
      <c r="IQ120" s="101"/>
      <c r="IR120" s="101"/>
      <c r="IS120" s="101"/>
      <c r="IT120" s="101"/>
      <c r="IU120" s="101"/>
      <c r="IV120" s="101"/>
      <c r="IW120" s="101"/>
      <c r="IX120" s="101"/>
      <c r="IY120" s="101"/>
      <c r="IZ120" s="101"/>
      <c r="JA120" s="101"/>
      <c r="JB120" s="101"/>
      <c r="JC120" s="101"/>
      <c r="JD120" s="101"/>
      <c r="JE120" s="101"/>
      <c r="JF120" s="101"/>
      <c r="JG120" s="101"/>
      <c r="JH120" s="101"/>
      <c r="JI120" s="101"/>
      <c r="JJ120" s="101"/>
      <c r="JK120" s="101"/>
      <c r="JL120" s="101"/>
      <c r="JM120" s="101"/>
      <c r="JN120" s="101"/>
      <c r="JO120" s="101"/>
      <c r="JP120" s="101"/>
      <c r="JQ120" s="101"/>
      <c r="JR120" s="101"/>
      <c r="JS120" s="101"/>
      <c r="JT120" s="101"/>
      <c r="JU120" s="101"/>
      <c r="JV120" s="101"/>
      <c r="JW120" s="101"/>
      <c r="JX120" s="101"/>
      <c r="JY120" s="101"/>
      <c r="JZ120" s="101"/>
      <c r="KA120" s="101"/>
      <c r="KB120" s="101"/>
      <c r="KC120" s="101"/>
      <c r="KD120" s="101"/>
      <c r="KE120" s="101"/>
      <c r="KF120" s="101"/>
      <c r="KG120" s="101"/>
      <c r="KH120" s="101"/>
      <c r="KI120" s="101"/>
      <c r="KJ120" s="101"/>
      <c r="KK120" s="101"/>
      <c r="KL120" s="101"/>
      <c r="KM120" s="101"/>
      <c r="KN120" s="101"/>
      <c r="KO120" s="101"/>
      <c r="KP120" s="101"/>
      <c r="KQ120" s="101"/>
      <c r="KR120" s="101"/>
      <c r="KS120" s="101"/>
      <c r="KT120" s="101"/>
      <c r="KU120" s="101"/>
      <c r="KV120" s="101"/>
      <c r="KW120" s="101"/>
      <c r="KX120" s="101"/>
      <c r="KY120" s="101"/>
      <c r="KZ120" s="101"/>
      <c r="LA120" s="101"/>
      <c r="LB120" s="101"/>
      <c r="LC120" s="101"/>
      <c r="LD120" s="101"/>
      <c r="LE120" s="101"/>
      <c r="LF120" s="101"/>
      <c r="LG120" s="101"/>
      <c r="LH120" s="101"/>
      <c r="LI120" s="101"/>
      <c r="LJ120" s="101"/>
      <c r="LK120" s="101"/>
      <c r="LL120" s="101"/>
      <c r="LM120" s="101"/>
      <c r="LN120" s="101"/>
      <c r="LO120" s="101"/>
      <c r="LP120" s="101"/>
      <c r="LQ120" s="101"/>
      <c r="LR120" s="101"/>
      <c r="LS120" s="101"/>
      <c r="LT120" s="101"/>
      <c r="LU120" s="101"/>
      <c r="LV120" s="101"/>
      <c r="LW120" s="101"/>
      <c r="LX120" s="101"/>
      <c r="LY120" s="101"/>
      <c r="LZ120" s="101"/>
      <c r="MA120" s="101"/>
      <c r="MB120" s="101"/>
      <c r="MC120" s="101"/>
      <c r="MD120" s="101"/>
      <c r="ME120" s="101"/>
      <c r="MF120" s="101"/>
      <c r="MG120" s="101"/>
      <c r="MH120" s="101"/>
      <c r="MI120" s="101"/>
      <c r="MJ120" s="101"/>
      <c r="MK120" s="101"/>
      <c r="ML120" s="101"/>
      <c r="MM120" s="101"/>
      <c r="MN120" s="101"/>
      <c r="MO120" s="101"/>
      <c r="MP120" s="101"/>
      <c r="MQ120" s="101"/>
      <c r="MR120" s="101"/>
      <c r="MS120" s="101"/>
      <c r="MT120" s="101"/>
      <c r="MU120" s="101"/>
      <c r="MV120" s="101"/>
      <c r="MW120" s="101"/>
      <c r="MX120" s="101"/>
      <c r="MY120" s="101"/>
      <c r="MZ120" s="101"/>
      <c r="NA120" s="101"/>
      <c r="NB120" s="101"/>
      <c r="NC120" s="101"/>
      <c r="ND120" s="101"/>
      <c r="NE120" s="101"/>
      <c r="NF120" s="101"/>
      <c r="NG120" s="101"/>
      <c r="NH120" s="101"/>
      <c r="NI120" s="101"/>
      <c r="NJ120" s="101"/>
      <c r="NK120" s="101"/>
      <c r="NL120" s="101"/>
      <c r="NM120" s="101"/>
      <c r="NN120" s="101"/>
      <c r="NO120" s="101"/>
      <c r="NP120" s="101"/>
      <c r="NQ120" s="101"/>
      <c r="NR120" s="101"/>
      <c r="NS120" s="101"/>
      <c r="NT120" s="101"/>
      <c r="NU120" s="101"/>
      <c r="NV120" s="101"/>
      <c r="NW120" s="101"/>
      <c r="NX120" s="101"/>
      <c r="NY120" s="101"/>
      <c r="NZ120" s="101"/>
      <c r="OA120" s="101"/>
      <c r="OB120" s="101"/>
      <c r="OC120" s="101"/>
      <c r="OD120" s="101"/>
      <c r="OE120" s="101"/>
      <c r="OF120" s="101"/>
      <c r="OG120" s="101"/>
      <c r="OH120" s="101"/>
      <c r="OI120" s="101"/>
      <c r="OJ120" s="101"/>
      <c r="OK120" s="101"/>
      <c r="OL120" s="101"/>
      <c r="OM120" s="101"/>
      <c r="ON120" s="101"/>
      <c r="OO120" s="101"/>
      <c r="OP120" s="101"/>
      <c r="OQ120" s="101"/>
      <c r="OR120" s="101"/>
      <c r="OS120" s="101"/>
      <c r="OT120" s="101"/>
      <c r="OU120" s="101"/>
      <c r="OV120" s="101"/>
      <c r="OW120" s="101"/>
      <c r="OX120" s="101"/>
      <c r="OY120" s="101"/>
      <c r="OZ120" s="101"/>
      <c r="PA120" s="101"/>
      <c r="PB120" s="101"/>
      <c r="PC120" s="101"/>
      <c r="PD120" s="101"/>
      <c r="PE120" s="101"/>
      <c r="PF120" s="101"/>
      <c r="PG120" s="101"/>
      <c r="PH120" s="101"/>
      <c r="PI120" s="101"/>
      <c r="PJ120" s="101"/>
      <c r="PK120" s="101"/>
      <c r="PL120" s="101"/>
      <c r="PM120" s="101"/>
      <c r="PN120" s="101"/>
      <c r="PO120" s="101"/>
      <c r="PP120" s="101"/>
      <c r="PQ120" s="101"/>
      <c r="PR120" s="101"/>
      <c r="PS120" s="101"/>
      <c r="PT120" s="101"/>
      <c r="PU120" s="101"/>
      <c r="PV120" s="101"/>
      <c r="PW120" s="101"/>
      <c r="PX120" s="101"/>
      <c r="PY120" s="101"/>
      <c r="PZ120" s="101"/>
      <c r="QA120" s="101"/>
      <c r="QB120" s="101"/>
      <c r="QC120" s="101"/>
      <c r="QD120" s="101"/>
      <c r="QE120" s="101"/>
      <c r="QF120" s="101"/>
      <c r="QG120" s="101"/>
      <c r="QH120" s="101"/>
      <c r="QI120" s="101"/>
      <c r="QJ120" s="101"/>
      <c r="QK120" s="101"/>
      <c r="QL120" s="101"/>
      <c r="QM120" s="101"/>
      <c r="QN120" s="101"/>
      <c r="QO120" s="101"/>
      <c r="QP120" s="101"/>
      <c r="QQ120" s="101"/>
      <c r="QR120" s="101"/>
      <c r="QS120" s="101"/>
      <c r="QT120" s="101"/>
      <c r="QU120" s="101"/>
      <c r="QV120" s="101"/>
      <c r="QW120" s="101"/>
      <c r="QX120" s="101"/>
      <c r="QY120" s="101"/>
      <c r="QZ120" s="101"/>
      <c r="RA120" s="101"/>
      <c r="RB120" s="101"/>
      <c r="RC120" s="101"/>
      <c r="RD120" s="101"/>
      <c r="RE120" s="101"/>
      <c r="RF120" s="101"/>
      <c r="RG120" s="101"/>
      <c r="RH120" s="101"/>
      <c r="RI120" s="101"/>
      <c r="RJ120" s="101"/>
      <c r="RK120" s="101"/>
      <c r="RL120" s="101"/>
      <c r="RM120" s="101"/>
      <c r="RN120" s="101"/>
      <c r="RO120" s="101"/>
      <c r="RP120" s="101"/>
      <c r="RQ120" s="101"/>
      <c r="RR120" s="101"/>
      <c r="RS120" s="101"/>
      <c r="RT120" s="101"/>
      <c r="RU120" s="101"/>
      <c r="RV120" s="101"/>
      <c r="RW120" s="101"/>
      <c r="RX120" s="101"/>
      <c r="RY120" s="101"/>
      <c r="RZ120" s="101"/>
      <c r="SA120" s="101"/>
      <c r="SB120" s="101"/>
      <c r="SC120" s="101"/>
      <c r="SD120" s="101"/>
      <c r="SE120" s="101"/>
      <c r="SF120" s="101"/>
      <c r="SG120" s="101"/>
      <c r="SH120" s="101"/>
      <c r="SI120" s="101"/>
      <c r="SJ120" s="101"/>
      <c r="SK120" s="101"/>
      <c r="SL120" s="101"/>
      <c r="SM120" s="101"/>
      <c r="SN120" s="101"/>
      <c r="SO120" s="101"/>
      <c r="SP120" s="101"/>
      <c r="SQ120" s="101"/>
      <c r="SR120" s="101"/>
      <c r="SS120" s="101"/>
      <c r="ST120" s="101"/>
      <c r="SU120" s="101"/>
      <c r="SV120" s="101"/>
      <c r="SW120" s="101"/>
      <c r="SX120" s="101"/>
      <c r="SY120" s="101"/>
      <c r="SZ120" s="101"/>
      <c r="TA120" s="101"/>
      <c r="TB120" s="101"/>
      <c r="TC120" s="101"/>
      <c r="TD120" s="101"/>
      <c r="TE120" s="101"/>
      <c r="TF120" s="101"/>
      <c r="TG120" s="101"/>
      <c r="TH120" s="101"/>
      <c r="TI120" s="101"/>
      <c r="TJ120" s="101"/>
      <c r="TK120" s="101"/>
      <c r="TL120" s="101"/>
      <c r="TM120" s="101"/>
      <c r="TN120" s="101"/>
      <c r="TO120" s="101"/>
      <c r="TP120" s="101"/>
      <c r="TQ120" s="101"/>
      <c r="TR120" s="101"/>
      <c r="TS120" s="101"/>
      <c r="TT120" s="101"/>
      <c r="TU120" s="101"/>
      <c r="TV120" s="101"/>
      <c r="TW120" s="101"/>
      <c r="TX120" s="101"/>
      <c r="TY120" s="101"/>
      <c r="TZ120" s="101"/>
      <c r="UA120" s="101"/>
      <c r="UB120" s="101"/>
      <c r="UC120" s="101"/>
      <c r="UD120" s="101"/>
      <c r="UE120" s="101"/>
      <c r="UF120" s="101"/>
      <c r="UG120" s="101"/>
      <c r="UH120" s="101"/>
      <c r="UI120" s="101"/>
      <c r="UJ120" s="101"/>
      <c r="UK120" s="101"/>
      <c r="UL120" s="101"/>
      <c r="UM120" s="101"/>
      <c r="UN120" s="101"/>
      <c r="UO120" s="101"/>
      <c r="UP120" s="101"/>
      <c r="UQ120" s="101"/>
      <c r="UR120" s="101"/>
      <c r="US120" s="101"/>
      <c r="UT120" s="101"/>
      <c r="UU120" s="101"/>
      <c r="UV120" s="101"/>
      <c r="UW120" s="101"/>
      <c r="UX120" s="101"/>
      <c r="UY120" s="101"/>
      <c r="UZ120" s="101"/>
      <c r="VA120" s="101"/>
      <c r="VB120" s="101"/>
      <c r="VC120" s="101"/>
      <c r="VD120" s="101"/>
      <c r="VE120" s="101"/>
      <c r="VF120" s="101"/>
      <c r="VG120" s="101"/>
      <c r="VH120" s="101"/>
      <c r="VI120" s="101"/>
      <c r="VJ120" s="101"/>
      <c r="VK120" s="101"/>
      <c r="VL120" s="101"/>
      <c r="VM120" s="101"/>
      <c r="VN120" s="101"/>
      <c r="VO120" s="101"/>
      <c r="VP120" s="101"/>
      <c r="VQ120" s="101"/>
      <c r="VR120" s="101"/>
      <c r="VS120" s="101"/>
      <c r="VT120" s="101"/>
      <c r="VU120" s="101"/>
      <c r="VV120" s="101"/>
      <c r="VW120" s="101"/>
      <c r="VX120" s="101"/>
      <c r="VY120" s="101"/>
      <c r="VZ120" s="101"/>
      <c r="WA120" s="101"/>
      <c r="WB120" s="101"/>
      <c r="WC120" s="101"/>
      <c r="WD120" s="101"/>
      <c r="WE120" s="101"/>
      <c r="WF120" s="101"/>
      <c r="WG120" s="101"/>
      <c r="WH120" s="101"/>
      <c r="WI120" s="101"/>
      <c r="WJ120" s="101"/>
      <c r="WK120" s="101"/>
      <c r="WL120" s="101"/>
      <c r="WM120" s="101"/>
      <c r="WN120" s="101"/>
      <c r="WO120" s="101"/>
      <c r="WP120" s="101"/>
      <c r="WQ120" s="101"/>
      <c r="WR120" s="101"/>
      <c r="WS120" s="101"/>
      <c r="WT120" s="101"/>
      <c r="WU120" s="101"/>
      <c r="WV120" s="101"/>
      <c r="WW120" s="101"/>
      <c r="WX120" s="101"/>
      <c r="WY120" s="101"/>
      <c r="WZ120" s="101"/>
      <c r="XA120" s="101"/>
      <c r="XB120" s="101"/>
      <c r="XC120" s="101"/>
      <c r="XD120" s="101"/>
      <c r="XE120" s="101"/>
      <c r="XF120" s="101"/>
      <c r="XG120" s="101"/>
      <c r="XH120" s="101"/>
      <c r="XI120" s="101"/>
      <c r="XJ120" s="101"/>
      <c r="XK120" s="101"/>
      <c r="XL120" s="101"/>
      <c r="XM120" s="101"/>
      <c r="XN120" s="101"/>
      <c r="XO120" s="101"/>
      <c r="XP120" s="101"/>
      <c r="XQ120" s="101"/>
      <c r="XR120" s="101"/>
      <c r="XS120" s="101"/>
      <c r="XT120" s="101"/>
      <c r="XU120" s="101"/>
      <c r="XV120" s="101"/>
      <c r="XW120" s="101"/>
      <c r="XX120" s="101"/>
      <c r="XY120" s="101"/>
      <c r="XZ120" s="101"/>
      <c r="YA120" s="101"/>
      <c r="YB120" s="101"/>
      <c r="YC120" s="101"/>
      <c r="YD120" s="101"/>
      <c r="YE120" s="101"/>
      <c r="YF120" s="101"/>
      <c r="YG120" s="101"/>
      <c r="YH120" s="101"/>
      <c r="YI120" s="101"/>
      <c r="YJ120" s="101"/>
      <c r="YK120" s="101"/>
      <c r="YL120" s="101"/>
      <c r="YM120" s="101"/>
      <c r="YN120" s="101"/>
      <c r="YO120" s="101"/>
      <c r="YP120" s="101"/>
      <c r="YQ120" s="101"/>
      <c r="YR120" s="101"/>
      <c r="YS120" s="101"/>
      <c r="YT120" s="101"/>
      <c r="YU120" s="101"/>
      <c r="YV120" s="101"/>
      <c r="YW120" s="101"/>
      <c r="YX120" s="101"/>
      <c r="YY120" s="101"/>
      <c r="YZ120" s="101"/>
      <c r="ZA120" s="101"/>
      <c r="ZB120" s="101"/>
      <c r="ZC120" s="101"/>
      <c r="ZD120" s="101"/>
      <c r="ZE120" s="101"/>
      <c r="ZF120" s="101"/>
      <c r="ZG120" s="101"/>
      <c r="ZH120" s="101"/>
      <c r="ZI120" s="101"/>
      <c r="ZJ120" s="101"/>
      <c r="ZK120" s="101"/>
      <c r="ZL120" s="101"/>
      <c r="ZM120" s="101"/>
      <c r="ZN120" s="101"/>
      <c r="ZO120" s="101"/>
      <c r="ZP120" s="101"/>
      <c r="ZQ120" s="101"/>
      <c r="ZR120" s="101"/>
      <c r="ZS120" s="101"/>
      <c r="ZT120" s="101"/>
      <c r="ZU120" s="101"/>
      <c r="ZV120" s="101"/>
      <c r="ZW120" s="101"/>
      <c r="ZX120" s="101"/>
      <c r="ZY120" s="101"/>
      <c r="ZZ120" s="101"/>
      <c r="AAA120" s="101"/>
      <c r="AAB120" s="101"/>
      <c r="AAC120" s="101"/>
      <c r="AAD120" s="101"/>
      <c r="AAE120" s="101"/>
      <c r="AAF120" s="101"/>
      <c r="AAG120" s="101"/>
      <c r="AAH120" s="101"/>
      <c r="AAI120" s="101"/>
      <c r="AAJ120" s="101"/>
      <c r="AAK120" s="101"/>
      <c r="AAL120" s="101"/>
      <c r="AAM120" s="101"/>
      <c r="AAN120" s="101"/>
      <c r="AAO120" s="101"/>
      <c r="AAP120" s="101"/>
      <c r="AAQ120" s="101"/>
      <c r="AAR120" s="101"/>
      <c r="AAS120" s="101"/>
      <c r="AAT120" s="101"/>
      <c r="AAU120" s="101"/>
      <c r="AAV120" s="101"/>
      <c r="AAW120" s="101"/>
      <c r="AAX120" s="101"/>
      <c r="AAY120" s="101"/>
      <c r="AAZ120" s="101"/>
      <c r="ABA120" s="101"/>
      <c r="ABB120" s="101"/>
      <c r="ABC120" s="101"/>
      <c r="ABD120" s="101"/>
      <c r="ABE120" s="101"/>
      <c r="ABF120" s="101"/>
      <c r="ABG120" s="101"/>
      <c r="ABH120" s="101"/>
      <c r="ABI120" s="101"/>
      <c r="ABJ120" s="101"/>
      <c r="ABK120" s="101"/>
      <c r="ABL120" s="101"/>
      <c r="ABM120" s="101"/>
      <c r="ABN120" s="101"/>
      <c r="ABO120" s="101"/>
      <c r="ABP120" s="101"/>
      <c r="ABQ120" s="101"/>
      <c r="ABR120" s="101"/>
      <c r="ABS120" s="101"/>
      <c r="ABT120" s="101"/>
      <c r="ABU120" s="101"/>
      <c r="ABV120" s="101"/>
      <c r="ABW120" s="101"/>
      <c r="ABX120" s="101"/>
      <c r="ABY120" s="101"/>
      <c r="ABZ120" s="101"/>
      <c r="ACA120" s="101"/>
      <c r="ACB120" s="101"/>
      <c r="ACC120" s="101"/>
      <c r="ACD120" s="101"/>
      <c r="ACE120" s="101"/>
      <c r="ACF120" s="101"/>
      <c r="ACG120" s="101"/>
      <c r="ACH120" s="101"/>
      <c r="ACI120" s="101"/>
      <c r="ACJ120" s="101"/>
      <c r="ACK120" s="101"/>
      <c r="ACL120" s="101"/>
      <c r="ACM120" s="101"/>
      <c r="ACN120" s="101"/>
      <c r="ACO120" s="101"/>
      <c r="ACP120" s="101"/>
      <c r="ACQ120" s="101"/>
      <c r="ACR120" s="101"/>
      <c r="ACS120" s="101"/>
      <c r="ACT120" s="101"/>
      <c r="ACU120" s="101"/>
      <c r="ACV120" s="101"/>
      <c r="ACW120" s="101"/>
      <c r="ACX120" s="101"/>
      <c r="ACY120" s="101"/>
      <c r="ACZ120" s="101"/>
      <c r="ADA120" s="101"/>
      <c r="ADB120" s="101"/>
      <c r="ADC120" s="101"/>
      <c r="ADD120" s="101"/>
      <c r="ADE120" s="101"/>
      <c r="ADF120" s="101"/>
      <c r="ADG120" s="101"/>
      <c r="ADH120" s="101"/>
      <c r="ADI120" s="101"/>
      <c r="ADJ120" s="101"/>
      <c r="ADK120" s="101"/>
      <c r="ADL120" s="101"/>
      <c r="ADM120" s="101"/>
      <c r="ADN120" s="101"/>
      <c r="ADO120" s="101"/>
      <c r="ADP120" s="101"/>
      <c r="ADQ120" s="101"/>
      <c r="ADR120" s="101"/>
      <c r="ADS120" s="101"/>
      <c r="ADT120" s="101"/>
      <c r="ADU120" s="101"/>
      <c r="ADV120" s="101"/>
      <c r="ADW120" s="101"/>
      <c r="ADX120" s="101"/>
      <c r="ADY120" s="101"/>
      <c r="ADZ120" s="101"/>
      <c r="AEA120" s="101"/>
      <c r="AEB120" s="101"/>
      <c r="AEC120" s="101"/>
      <c r="AED120" s="101"/>
      <c r="AEE120" s="101"/>
      <c r="AEF120" s="101"/>
      <c r="AEG120" s="101"/>
      <c r="AEH120" s="101"/>
      <c r="AEI120" s="101"/>
      <c r="AEJ120" s="101"/>
      <c r="AEK120" s="101"/>
      <c r="AEL120" s="101"/>
      <c r="AEM120" s="101"/>
      <c r="AEN120" s="101"/>
      <c r="AEO120" s="101"/>
      <c r="AEP120" s="101"/>
      <c r="AEQ120" s="101"/>
      <c r="AER120" s="101"/>
      <c r="AES120" s="101"/>
      <c r="AET120" s="101"/>
      <c r="AEU120" s="101"/>
      <c r="AEV120" s="101"/>
      <c r="AEW120" s="101"/>
      <c r="AEX120" s="101"/>
      <c r="AEY120" s="101"/>
      <c r="AEZ120" s="101"/>
      <c r="AFA120" s="101"/>
      <c r="AFB120" s="101"/>
      <c r="AFC120" s="101"/>
      <c r="AFD120" s="101"/>
      <c r="AFE120" s="101"/>
      <c r="AFF120" s="101"/>
      <c r="AFG120" s="101"/>
      <c r="AFH120" s="101"/>
      <c r="AFI120" s="101"/>
      <c r="AFJ120" s="101"/>
      <c r="AFK120" s="101"/>
      <c r="AFL120" s="101"/>
      <c r="AFM120" s="101"/>
      <c r="AFN120" s="101"/>
      <c r="AFO120" s="101"/>
      <c r="AFP120" s="101"/>
      <c r="AFQ120" s="101"/>
      <c r="AFR120" s="101"/>
      <c r="AFS120" s="101"/>
      <c r="AFT120" s="101"/>
      <c r="AFU120" s="101"/>
      <c r="AFV120" s="101"/>
      <c r="AFW120" s="101"/>
      <c r="AFX120" s="101"/>
      <c r="AFY120" s="101"/>
      <c r="AFZ120" s="101"/>
      <c r="AGA120" s="101"/>
      <c r="AGB120" s="101"/>
      <c r="AGC120" s="101"/>
      <c r="AGD120" s="101"/>
      <c r="AGE120" s="101"/>
      <c r="AGF120" s="101"/>
      <c r="AGG120" s="101"/>
      <c r="AGH120" s="101"/>
      <c r="AGI120" s="101"/>
      <c r="AGJ120" s="101"/>
      <c r="AGK120" s="101"/>
      <c r="AGL120" s="101"/>
      <c r="AGM120" s="101"/>
      <c r="AGN120" s="101"/>
      <c r="AGO120" s="101"/>
      <c r="AGP120" s="101"/>
      <c r="AGQ120" s="101"/>
      <c r="AGR120" s="101"/>
      <c r="AGS120" s="101"/>
      <c r="AGT120" s="101"/>
      <c r="AGU120" s="101"/>
      <c r="AGV120" s="101"/>
      <c r="AGW120" s="101"/>
      <c r="AGX120" s="101"/>
      <c r="AGY120" s="101"/>
      <c r="AGZ120" s="101"/>
      <c r="AHA120" s="101"/>
      <c r="AHB120" s="101"/>
      <c r="AHC120" s="101"/>
      <c r="AHD120" s="101"/>
      <c r="AHE120" s="101"/>
      <c r="AHF120" s="101"/>
      <c r="AHG120" s="101"/>
      <c r="AHH120" s="101"/>
      <c r="AHI120" s="101"/>
      <c r="AHJ120" s="101"/>
      <c r="AHK120" s="101"/>
      <c r="AHL120" s="101"/>
      <c r="AHM120" s="101"/>
      <c r="AHN120" s="101"/>
      <c r="AHO120" s="101"/>
      <c r="AHP120" s="101"/>
      <c r="AHQ120" s="101"/>
      <c r="AHR120" s="101"/>
      <c r="AHS120" s="101"/>
      <c r="AHT120" s="101"/>
      <c r="AHU120" s="101"/>
      <c r="AHV120" s="101"/>
      <c r="AHW120" s="101"/>
      <c r="AHX120" s="101"/>
      <c r="AHY120" s="101"/>
      <c r="AHZ120" s="101"/>
      <c r="AIA120" s="101"/>
      <c r="AIB120" s="101"/>
      <c r="AIC120" s="101"/>
      <c r="AID120" s="101"/>
      <c r="AIE120" s="101"/>
      <c r="AIF120" s="101"/>
      <c r="AIG120" s="101"/>
      <c r="AIH120" s="101"/>
      <c r="AII120" s="101"/>
      <c r="AIJ120" s="101"/>
      <c r="AIK120" s="101"/>
      <c r="AIL120" s="101"/>
      <c r="AIM120" s="101"/>
      <c r="AIN120" s="101"/>
      <c r="AIO120" s="101"/>
      <c r="AIP120" s="101"/>
      <c r="AIQ120" s="101"/>
      <c r="AIR120" s="101"/>
      <c r="AIS120" s="101"/>
      <c r="AIT120" s="101"/>
      <c r="AIU120" s="101"/>
      <c r="AIV120" s="101"/>
      <c r="AIW120" s="101"/>
      <c r="AIX120" s="101"/>
      <c r="AIY120" s="101"/>
      <c r="AIZ120" s="101"/>
      <c r="AJA120" s="101"/>
      <c r="AJB120" s="101"/>
      <c r="AJC120" s="101"/>
      <c r="AJD120" s="101"/>
      <c r="AJE120" s="101"/>
      <c r="AJF120" s="101"/>
      <c r="AJG120" s="101"/>
      <c r="AJH120" s="101"/>
      <c r="AJI120" s="101"/>
      <c r="AJJ120" s="101"/>
      <c r="AJK120" s="101"/>
      <c r="AJL120" s="101"/>
      <c r="AJM120" s="101"/>
      <c r="AJN120" s="101"/>
      <c r="AJO120" s="101"/>
      <c r="AJP120" s="101"/>
      <c r="AJQ120" s="101"/>
      <c r="AJR120" s="101"/>
      <c r="AJS120" s="101"/>
      <c r="AJT120" s="101"/>
      <c r="AJU120" s="101"/>
      <c r="AJV120" s="101"/>
      <c r="AJW120" s="101"/>
      <c r="AJX120" s="101"/>
      <c r="AJY120" s="101"/>
      <c r="AJZ120" s="101"/>
      <c r="AKA120" s="101"/>
      <c r="AKB120" s="101"/>
      <c r="AKC120" s="101"/>
      <c r="AKD120" s="101"/>
      <c r="AKE120" s="101"/>
      <c r="AKF120" s="101"/>
      <c r="AKG120" s="101"/>
      <c r="AKH120" s="101"/>
      <c r="AKI120" s="101"/>
      <c r="AKJ120" s="101"/>
      <c r="AKK120" s="101"/>
      <c r="AKL120" s="101"/>
      <c r="AKM120" s="101"/>
      <c r="AKN120" s="101"/>
      <c r="AKO120" s="101"/>
      <c r="AKP120" s="101"/>
      <c r="AKQ120" s="101"/>
      <c r="AKR120" s="101"/>
      <c r="AKS120" s="101"/>
      <c r="AKT120" s="101"/>
      <c r="AKU120" s="101"/>
      <c r="AKV120" s="101"/>
      <c r="AKW120" s="101"/>
      <c r="AKX120" s="101"/>
      <c r="AKY120" s="101"/>
      <c r="AKZ120" s="101"/>
      <c r="ALA120" s="101"/>
      <c r="ALB120" s="101"/>
      <c r="ALC120" s="101"/>
      <c r="ALD120" s="101"/>
      <c r="ALE120" s="101"/>
      <c r="ALF120" s="101"/>
      <c r="ALG120" s="101"/>
    </row>
    <row r="121" spans="1:995" s="225" customFormat="1" ht="48" customHeight="1">
      <c r="A121" s="2003" t="str">
        <f>'plan &amp; Unit price &amp; Direct cost'!A72:C72</f>
        <v>Material  Hauling</v>
      </c>
      <c r="B121" s="2004"/>
      <c r="C121" s="2004"/>
      <c r="D121" s="957"/>
      <c r="E121" s="933"/>
      <c r="F121" s="610">
        <f>'[1]Daily Progress Report '!$O119</f>
        <v>0</v>
      </c>
      <c r="G121" s="610">
        <f>'[2]Daily Progress Report '!$O119</f>
        <v>0</v>
      </c>
      <c r="H121" s="610">
        <f>'[3]Daily Progress Report '!$O119</f>
        <v>0</v>
      </c>
      <c r="I121" s="610">
        <f>'[4]Daily Progress Report'!$O119</f>
        <v>0</v>
      </c>
      <c r="J121" s="610">
        <f>'[5]Daily Progress Report '!$O119</f>
        <v>0</v>
      </c>
      <c r="K121" s="610">
        <f>'[6]Daily Progress Report '!$O119</f>
        <v>0</v>
      </c>
      <c r="L121" s="610">
        <f>'[7]Daily Progress Report '!$O119</f>
        <v>0</v>
      </c>
      <c r="M121" s="610"/>
      <c r="N121" s="610">
        <f t="shared" si="29"/>
        <v>0</v>
      </c>
      <c r="O121" s="610">
        <f t="shared" si="1"/>
        <v>0</v>
      </c>
      <c r="P121" s="1408"/>
    </row>
    <row r="122" spans="1:995" s="225" customFormat="1" ht="53.25" customHeight="1">
      <c r="A122" s="1425">
        <v>1</v>
      </c>
      <c r="B122" s="1965" t="str">
        <f>'Direct cost summary '!B16</f>
        <v>Embankment/borrow Hauling</v>
      </c>
      <c r="C122" s="1965"/>
      <c r="D122" s="957" t="str">
        <f>'plan &amp; Unit price &amp; Direct cost'!D73</f>
        <v>m3</v>
      </c>
      <c r="E122" s="933">
        <f>'Direct cost summary '!J16</f>
        <v>18.689999999999998</v>
      </c>
      <c r="F122" s="610">
        <f>'[8]Daily Progress Report '!$O120</f>
        <v>156</v>
      </c>
      <c r="G122" s="610">
        <f>'[2]Daily Progress Report '!$O120</f>
        <v>144</v>
      </c>
      <c r="H122" s="610">
        <f>'[3]Daily Progress Report '!$O120</f>
        <v>0</v>
      </c>
      <c r="I122" s="610">
        <f>'[9]Daily Progress Report'!$O120</f>
        <v>0</v>
      </c>
      <c r="J122" s="610">
        <f>'[5]Daily Progress Report '!$O120</f>
        <v>276</v>
      </c>
      <c r="K122" s="610">
        <f>'[6]Daily Progress Report '!$O120</f>
        <v>0</v>
      </c>
      <c r="L122" s="610">
        <f>'[7]Daily Progress Report '!$O120</f>
        <v>372</v>
      </c>
      <c r="M122" s="759">
        <f>O122*1.15</f>
        <v>1090.1999999999998</v>
      </c>
      <c r="N122" s="610">
        <f>E122*M122</f>
        <v>20375.837999999992</v>
      </c>
      <c r="O122" s="610">
        <f t="shared" si="1"/>
        <v>948</v>
      </c>
      <c r="P122" s="1406">
        <f t="shared" ref="P122:P165" si="44">O122*E122</f>
        <v>17718.12</v>
      </c>
    </row>
    <row r="123" spans="1:995" s="225" customFormat="1" ht="49.5" customHeight="1">
      <c r="A123" s="1425">
        <v>2</v>
      </c>
      <c r="B123" s="1965" t="str">
        <f>'Direct cost summary '!B28</f>
        <v>Capping Hauling-Capping(G20)</v>
      </c>
      <c r="C123" s="1965"/>
      <c r="D123" s="957" t="str">
        <f>'plan &amp; Unit price &amp; Direct cost'!D74</f>
        <v>m3</v>
      </c>
      <c r="E123" s="933">
        <f>'Direct cost summary '!J28</f>
        <v>35.1</v>
      </c>
      <c r="F123" s="610">
        <f>'[8]Daily Progress Report '!$O121</f>
        <v>0</v>
      </c>
      <c r="G123" s="610">
        <f>'[2]Daily Progress Report '!$O121</f>
        <v>0</v>
      </c>
      <c r="H123" s="610">
        <f>'[3]Daily Progress Report '!$O121</f>
        <v>0</v>
      </c>
      <c r="I123" s="610">
        <f>'[9]Daily Progress Report'!$O121</f>
        <v>0</v>
      </c>
      <c r="J123" s="610">
        <f>'[5]Daily Progress Report '!$O121</f>
        <v>480</v>
      </c>
      <c r="K123" s="610">
        <f>'[6]Daily Progress Report '!$O121</f>
        <v>0</v>
      </c>
      <c r="L123" s="610">
        <f>'[7]Daily Progress Report '!$O121</f>
        <v>0</v>
      </c>
      <c r="M123" s="610">
        <f>O123*1.1</f>
        <v>528</v>
      </c>
      <c r="N123" s="610">
        <f t="shared" si="29"/>
        <v>18532.8</v>
      </c>
      <c r="O123" s="610">
        <f t="shared" ref="O123:O171" si="45">SUM(F123:L123)</f>
        <v>480</v>
      </c>
      <c r="P123" s="1426">
        <f t="shared" si="44"/>
        <v>16848</v>
      </c>
    </row>
    <row r="124" spans="1:995" s="225" customFormat="1" ht="51" customHeight="1">
      <c r="A124" s="1425">
        <v>3</v>
      </c>
      <c r="B124" s="1965" t="str">
        <f>'Direct cost summary '!B33</f>
        <v>Capping Hauling-Capping(G7)</v>
      </c>
      <c r="C124" s="1965"/>
      <c r="D124" s="957" t="str">
        <f>'plan &amp; Unit price &amp; Direct cost'!D75</f>
        <v>m3</v>
      </c>
      <c r="E124" s="933">
        <f>'Direct cost summary '!J33</f>
        <v>34.5</v>
      </c>
      <c r="F124" s="610">
        <f>'[8]Daily Progress Report '!$O122</f>
        <v>0</v>
      </c>
      <c r="G124" s="610">
        <f>'[2]Daily Progress Report '!$O122</f>
        <v>0</v>
      </c>
      <c r="H124" s="610">
        <f>'[3]Daily Progress Report '!$O122</f>
        <v>0</v>
      </c>
      <c r="I124" s="610">
        <f>'[9]Daily Progress Report'!$O122</f>
        <v>204</v>
      </c>
      <c r="J124" s="610">
        <f>'[5]Daily Progress Report '!$O122</f>
        <v>60</v>
      </c>
      <c r="K124" s="610">
        <f>'[6]Daily Progress Report '!$O122</f>
        <v>0</v>
      </c>
      <c r="L124" s="610">
        <f>'[7]Daily Progress Report '!$O122</f>
        <v>216</v>
      </c>
      <c r="M124" s="610">
        <f>O124*1.1</f>
        <v>528</v>
      </c>
      <c r="N124" s="610">
        <f t="shared" si="29"/>
        <v>18216</v>
      </c>
      <c r="O124" s="610">
        <f t="shared" ref="O124" si="46">SUM(F124:L124)</f>
        <v>480</v>
      </c>
      <c r="P124" s="1426">
        <f t="shared" ref="P124" si="47">O124*E124</f>
        <v>16560</v>
      </c>
    </row>
    <row r="125" spans="1:995" s="225" customFormat="1" ht="34.5" customHeight="1">
      <c r="A125" s="1425">
        <v>4</v>
      </c>
      <c r="B125" s="1965" t="str">
        <f>'Direct cost summary '!B39</f>
        <v>Subbase Hauling</v>
      </c>
      <c r="C125" s="1965"/>
      <c r="D125" s="957" t="str">
        <f>'plan &amp; Unit price &amp; Direct cost'!D75</f>
        <v>m3</v>
      </c>
      <c r="E125" s="933">
        <f>'Direct cost summary '!J39</f>
        <v>49.000000000000007</v>
      </c>
      <c r="F125" s="610">
        <f>'[8]Daily Progress Report '!$O123</f>
        <v>0</v>
      </c>
      <c r="G125" s="610">
        <f>'[2]Daily Progress Report '!$O123</f>
        <v>0</v>
      </c>
      <c r="H125" s="610">
        <f>'[3]Daily Progress Report '!$O123</f>
        <v>0</v>
      </c>
      <c r="I125" s="610">
        <f>'[9]Daily Progress Report'!$O123</f>
        <v>0</v>
      </c>
      <c r="J125" s="610">
        <f>'[5]Daily Progress Report '!$O123</f>
        <v>0</v>
      </c>
      <c r="K125" s="610">
        <f>'[6]Daily Progress Report '!$O123</f>
        <v>0</v>
      </c>
      <c r="L125" s="610">
        <f>'[7]Daily Progress Report '!$O123</f>
        <v>0</v>
      </c>
      <c r="M125" s="610"/>
      <c r="N125" s="610">
        <f t="shared" si="29"/>
        <v>0</v>
      </c>
      <c r="O125" s="610">
        <f t="shared" si="45"/>
        <v>0</v>
      </c>
      <c r="P125" s="1406">
        <f t="shared" si="44"/>
        <v>0</v>
      </c>
    </row>
    <row r="126" spans="1:995" s="225" customFormat="1" ht="51" customHeight="1">
      <c r="A126" s="1425">
        <v>5</v>
      </c>
      <c r="B126" s="2017" t="str">
        <f>'Direct cost summary '!B52</f>
        <v>Backfill material Hauling(Minor)</v>
      </c>
      <c r="C126" s="1965"/>
      <c r="D126" s="957" t="str">
        <f>'plan &amp; Unit price &amp; Direct cost'!D76</f>
        <v>m3</v>
      </c>
      <c r="E126" s="933">
        <v>46.25</v>
      </c>
      <c r="F126" s="610">
        <f>'[8]Daily Progress Report '!$O124</f>
        <v>0</v>
      </c>
      <c r="G126" s="610">
        <f>'[2]Daily Progress Report '!$O124</f>
        <v>0</v>
      </c>
      <c r="H126" s="610">
        <f>'[3]Daily Progress Report '!$O124</f>
        <v>0</v>
      </c>
      <c r="I126" s="610">
        <f>'[9]Daily Progress Report'!$O124</f>
        <v>0</v>
      </c>
      <c r="J126" s="610">
        <f>'[5]Daily Progress Report '!$O124</f>
        <v>0</v>
      </c>
      <c r="K126" s="610">
        <f>'[6]Daily Progress Report '!$O124</f>
        <v>0</v>
      </c>
      <c r="L126" s="610">
        <f>'[7]Daily Progress Report '!$O124</f>
        <v>0</v>
      </c>
      <c r="M126" s="610"/>
      <c r="N126" s="610">
        <f t="shared" si="29"/>
        <v>0</v>
      </c>
      <c r="O126" s="610">
        <f t="shared" si="45"/>
        <v>0</v>
      </c>
      <c r="P126" s="1406">
        <f t="shared" si="44"/>
        <v>0</v>
      </c>
    </row>
    <row r="127" spans="1:995" s="225" customFormat="1" ht="26.25">
      <c r="A127" s="1425">
        <v>6</v>
      </c>
      <c r="B127" s="1965" t="str">
        <f>'Direct cost summary '!B60</f>
        <v>Pipe hauling(dia.36")</v>
      </c>
      <c r="C127" s="1965"/>
      <c r="D127" s="957" t="str">
        <f>'plan &amp; Unit price &amp; Direct cost'!D77</f>
        <v>Lm</v>
      </c>
      <c r="E127" s="933">
        <f>'Direct cost summary '!J60</f>
        <v>360</v>
      </c>
      <c r="F127" s="610">
        <f>'[8]Daily Progress Report '!$O125</f>
        <v>0</v>
      </c>
      <c r="G127" s="610">
        <f>'[2]Daily Progress Report '!$O125</f>
        <v>0</v>
      </c>
      <c r="H127" s="610">
        <f>'[3]Daily Progress Report '!$O125</f>
        <v>0</v>
      </c>
      <c r="I127" s="610">
        <f>'[9]Daily Progress Report'!$O125</f>
        <v>0</v>
      </c>
      <c r="J127" s="610">
        <f>'[5]Daily Progress Report '!$O125</f>
        <v>0</v>
      </c>
      <c r="K127" s="610">
        <f>'[6]Daily Progress Report '!$O125</f>
        <v>0</v>
      </c>
      <c r="L127" s="610">
        <f>'[7]Daily Progress Report '!$O125</f>
        <v>0</v>
      </c>
      <c r="M127" s="610"/>
      <c r="N127" s="610">
        <f t="shared" si="29"/>
        <v>0</v>
      </c>
      <c r="O127" s="610">
        <f t="shared" si="45"/>
        <v>0</v>
      </c>
      <c r="P127" s="1406">
        <f t="shared" si="44"/>
        <v>0</v>
      </c>
    </row>
    <row r="128" spans="1:995" s="225" customFormat="1" ht="26.25">
      <c r="A128" s="1425">
        <v>7</v>
      </c>
      <c r="B128" s="1965" t="str">
        <f>'Direct cost summary '!B64</f>
        <v>Pipe hauling(dia.42")</v>
      </c>
      <c r="C128" s="1965"/>
      <c r="D128" s="957" t="str">
        <f>'plan &amp; Unit price &amp; Direct cost'!D78</f>
        <v>Lm</v>
      </c>
      <c r="E128" s="933">
        <f>'Direct cost summary '!J64</f>
        <v>432</v>
      </c>
      <c r="F128" s="610">
        <f>'[8]Daily Progress Report '!$O126</f>
        <v>0</v>
      </c>
      <c r="G128" s="610">
        <f>'[2]Daily Progress Report '!$O126</f>
        <v>0</v>
      </c>
      <c r="H128" s="610">
        <f>'[3]Daily Progress Report '!$O126</f>
        <v>0</v>
      </c>
      <c r="I128" s="610">
        <f>'[9]Daily Progress Report'!$O126</f>
        <v>0</v>
      </c>
      <c r="J128" s="610">
        <f>'[5]Daily Progress Report '!$O126</f>
        <v>0</v>
      </c>
      <c r="K128" s="610">
        <f>'[6]Daily Progress Report '!$O126</f>
        <v>0</v>
      </c>
      <c r="L128" s="610">
        <f>'[7]Daily Progress Report '!$O126</f>
        <v>0</v>
      </c>
      <c r="M128" s="610"/>
      <c r="N128" s="610">
        <f t="shared" si="29"/>
        <v>0</v>
      </c>
      <c r="O128" s="610">
        <f t="shared" ref="O128" si="48">SUM(F128:L128)</f>
        <v>0</v>
      </c>
      <c r="P128" s="1406">
        <f t="shared" ref="P128" si="49">O128*E128</f>
        <v>0</v>
      </c>
    </row>
    <row r="129" spans="1:16" s="225" customFormat="1" ht="20.100000000000001" customHeight="1">
      <c r="A129" s="1425">
        <v>8</v>
      </c>
      <c r="B129" s="1965" t="str">
        <f>'Direct cost summary '!B68</f>
        <v>Pipe hauling(dia.48")</v>
      </c>
      <c r="C129" s="1965"/>
      <c r="D129" s="957" t="str">
        <f>'plan &amp; Unit price &amp; Direct cost'!D78</f>
        <v>Lm</v>
      </c>
      <c r="E129" s="933">
        <f>'Direct cost summary '!J68</f>
        <v>480</v>
      </c>
      <c r="F129" s="610">
        <f>'[8]Daily Progress Report '!$O127</f>
        <v>0</v>
      </c>
      <c r="G129" s="610">
        <f>'[2]Daily Progress Report '!$O127</f>
        <v>0</v>
      </c>
      <c r="H129" s="610">
        <f>'[3]Daily Progress Report '!$O127</f>
        <v>0</v>
      </c>
      <c r="I129" s="610">
        <f>'[9]Daily Progress Report'!$O127</f>
        <v>0</v>
      </c>
      <c r="J129" s="610">
        <f>'[5]Daily Progress Report '!$O127</f>
        <v>0</v>
      </c>
      <c r="K129" s="610">
        <f>'[6]Daily Progress Report '!$O127</f>
        <v>0</v>
      </c>
      <c r="L129" s="610">
        <f>'[7]Daily Progress Report '!$O127</f>
        <v>0</v>
      </c>
      <c r="M129" s="610"/>
      <c r="N129" s="610">
        <f t="shared" si="29"/>
        <v>0</v>
      </c>
      <c r="O129" s="610">
        <f t="shared" si="45"/>
        <v>0</v>
      </c>
      <c r="P129" s="1406">
        <f t="shared" si="44"/>
        <v>0</v>
      </c>
    </row>
    <row r="130" spans="1:16" s="225" customFormat="1" ht="19.5" customHeight="1">
      <c r="A130" s="1425"/>
      <c r="B130" s="1975" t="str">
        <f>'Direct cost summary '!B70</f>
        <v>Class 'A' Concrete(Minor)</v>
      </c>
      <c r="C130" s="1975"/>
      <c r="D130" s="961">
        <f>'plan &amp; Unit price &amp; Direct cost'!D79</f>
        <v>0</v>
      </c>
      <c r="E130" s="933">
        <f>'plan &amp; Unit price &amp; Direct cost'!E79</f>
        <v>0</v>
      </c>
      <c r="F130" s="610">
        <f>'[8]Daily Progress Report '!$O128</f>
        <v>0</v>
      </c>
      <c r="G130" s="610">
        <f>'[2]Daily Progress Report '!$O128</f>
        <v>0</v>
      </c>
      <c r="H130" s="610">
        <f>'[3]Daily Progress Report '!$O128</f>
        <v>0</v>
      </c>
      <c r="I130" s="610">
        <f>'[9]Daily Progress Report'!$O128</f>
        <v>0</v>
      </c>
      <c r="J130" s="610">
        <f>'[5]Daily Progress Report '!$O128</f>
        <v>0</v>
      </c>
      <c r="K130" s="610">
        <f>'[6]Daily Progress Report '!$O128</f>
        <v>0</v>
      </c>
      <c r="L130" s="610">
        <f>'[7]Daily Progress Report '!$O128</f>
        <v>0</v>
      </c>
      <c r="M130" s="610"/>
      <c r="N130" s="610">
        <f t="shared" si="29"/>
        <v>0</v>
      </c>
      <c r="O130" s="610">
        <f t="shared" si="45"/>
        <v>0</v>
      </c>
      <c r="P130" s="1406">
        <f t="shared" si="44"/>
        <v>0</v>
      </c>
    </row>
    <row r="131" spans="1:16" s="225" customFormat="1" ht="26.25">
      <c r="A131" s="1425">
        <v>9</v>
      </c>
      <c r="B131" s="1965" t="str">
        <f>'Direct cost summary '!B72</f>
        <v>Sand hauling</v>
      </c>
      <c r="C131" s="1965"/>
      <c r="D131" s="957" t="str">
        <f>'plan &amp; Unit price &amp; Direct cost'!D80</f>
        <v>m3</v>
      </c>
      <c r="E131" s="933">
        <f>'Direct cost summary '!J72</f>
        <v>74.034095094277006</v>
      </c>
      <c r="F131" s="610">
        <f>'[8]Daily Progress Report '!$O129</f>
        <v>0</v>
      </c>
      <c r="G131" s="610">
        <f>'[2]Daily Progress Report '!$O129</f>
        <v>0</v>
      </c>
      <c r="H131" s="610">
        <f>'[3]Daily Progress Report '!$O129</f>
        <v>0</v>
      </c>
      <c r="I131" s="610">
        <f>'[9]Daily Progress Report'!$O129</f>
        <v>0</v>
      </c>
      <c r="J131" s="610">
        <f>'[5]Daily Progress Report '!$O129</f>
        <v>0</v>
      </c>
      <c r="K131" s="610">
        <f>'[6]Daily Progress Report '!$O129</f>
        <v>0</v>
      </c>
      <c r="L131" s="610">
        <f>'[7]Daily Progress Report '!$O129</f>
        <v>0</v>
      </c>
      <c r="M131" s="610">
        <f>O131</f>
        <v>0</v>
      </c>
      <c r="N131" s="610">
        <f t="shared" si="29"/>
        <v>0</v>
      </c>
      <c r="O131" s="610">
        <f t="shared" si="45"/>
        <v>0</v>
      </c>
      <c r="P131" s="1406">
        <f t="shared" si="44"/>
        <v>0</v>
      </c>
    </row>
    <row r="132" spans="1:16" s="225" customFormat="1" ht="26.25">
      <c r="A132" s="1425">
        <v>10</v>
      </c>
      <c r="B132" s="1965" t="str">
        <f>'Direct cost summary '!B75</f>
        <v>Stone hauling to crusher</v>
      </c>
      <c r="C132" s="1965"/>
      <c r="D132" s="957" t="str">
        <f>'plan &amp; Unit price &amp; Direct cost'!D81</f>
        <v>m3</v>
      </c>
      <c r="E132" s="933">
        <f>'Direct cost summary '!J75</f>
        <v>86.554124660789554</v>
      </c>
      <c r="F132" s="610">
        <f>'[8]Daily Progress Report '!$O130</f>
        <v>0</v>
      </c>
      <c r="G132" s="610">
        <f>'[2]Daily Progress Report '!$O130</f>
        <v>0</v>
      </c>
      <c r="H132" s="610">
        <f>'[3]Daily Progress Report '!$O130</f>
        <v>0</v>
      </c>
      <c r="I132" s="610">
        <f>'[9]Daily Progress Report'!$O130</f>
        <v>0</v>
      </c>
      <c r="J132" s="610">
        <f>'[5]Daily Progress Report '!$O130</f>
        <v>0</v>
      </c>
      <c r="K132" s="610">
        <f>'[6]Daily Progress Report '!$O130</f>
        <v>0</v>
      </c>
      <c r="L132" s="610">
        <f>'[7]Daily Progress Report '!$O130</f>
        <v>0</v>
      </c>
      <c r="M132" s="610"/>
      <c r="N132" s="610">
        <f t="shared" si="29"/>
        <v>0</v>
      </c>
      <c r="O132" s="610">
        <f t="shared" si="45"/>
        <v>0</v>
      </c>
      <c r="P132" s="1406">
        <f t="shared" si="44"/>
        <v>0</v>
      </c>
    </row>
    <row r="133" spans="1:16" s="225" customFormat="1" ht="27.75" customHeight="1">
      <c r="A133" s="1425">
        <v>11</v>
      </c>
      <c r="B133" s="1965" t="str">
        <f>'Direct cost summary '!B77</f>
        <v>C. agg. Hualing</v>
      </c>
      <c r="C133" s="1965"/>
      <c r="D133" s="957" t="str">
        <f>'plan &amp; Unit price &amp; Direct cost'!D82</f>
        <v>m3</v>
      </c>
      <c r="E133" s="933">
        <f>'Direct cost summary '!J77</f>
        <v>316.33285126144165</v>
      </c>
      <c r="F133" s="610">
        <f>'[8]Daily Progress Report '!$O131</f>
        <v>0</v>
      </c>
      <c r="G133" s="610">
        <f>'[2]Daily Progress Report '!$O131</f>
        <v>0</v>
      </c>
      <c r="H133" s="610">
        <f>'[3]Daily Progress Report '!$O131</f>
        <v>0</v>
      </c>
      <c r="I133" s="610">
        <f>'[9]Daily Progress Report'!$O131</f>
        <v>0</v>
      </c>
      <c r="J133" s="610">
        <f>'[5]Daily Progress Report '!$O131</f>
        <v>0</v>
      </c>
      <c r="K133" s="610">
        <f>'[6]Daily Progress Report '!$O131</f>
        <v>0</v>
      </c>
      <c r="L133" s="610">
        <f>'[7]Daily Progress Report '!$O131</f>
        <v>0</v>
      </c>
      <c r="M133" s="610"/>
      <c r="N133" s="610">
        <f t="shared" si="29"/>
        <v>0</v>
      </c>
      <c r="O133" s="610">
        <f t="shared" si="45"/>
        <v>0</v>
      </c>
      <c r="P133" s="1406">
        <f t="shared" si="44"/>
        <v>0</v>
      </c>
    </row>
    <row r="134" spans="1:16" s="225" customFormat="1" ht="19.5" customHeight="1">
      <c r="A134" s="1425"/>
      <c r="B134" s="1975" t="str">
        <f>'Direct cost summary '!B81</f>
        <v>Class 'C' Concrete(Minor)</v>
      </c>
      <c r="C134" s="1975"/>
      <c r="D134" s="961">
        <f>'plan &amp; Unit price &amp; Direct cost'!D83</f>
        <v>0</v>
      </c>
      <c r="E134" s="933">
        <f>'plan &amp; Unit price &amp; Direct cost'!E83</f>
        <v>0</v>
      </c>
      <c r="F134" s="610">
        <f>'[8]Daily Progress Report '!$O132</f>
        <v>0</v>
      </c>
      <c r="G134" s="610">
        <f>'[2]Daily Progress Report '!$O132</f>
        <v>0</v>
      </c>
      <c r="H134" s="610">
        <f>'[3]Daily Progress Report '!$O132</f>
        <v>0</v>
      </c>
      <c r="I134" s="610">
        <f>'[9]Daily Progress Report'!$O132</f>
        <v>0</v>
      </c>
      <c r="J134" s="610">
        <f>'[5]Daily Progress Report '!$O132</f>
        <v>0</v>
      </c>
      <c r="K134" s="610">
        <f>'[6]Daily Progress Report '!$O132</f>
        <v>0</v>
      </c>
      <c r="L134" s="610">
        <f>'[7]Daily Progress Report '!$O132</f>
        <v>0</v>
      </c>
      <c r="M134" s="610"/>
      <c r="N134" s="610">
        <f t="shared" si="29"/>
        <v>0</v>
      </c>
      <c r="O134" s="610">
        <f t="shared" ref="O134:O137" si="50">SUM(F134:L134)</f>
        <v>0</v>
      </c>
      <c r="P134" s="1406">
        <f t="shared" ref="P134:P137" si="51">O134*E134</f>
        <v>0</v>
      </c>
    </row>
    <row r="135" spans="1:16" s="225" customFormat="1" ht="20.100000000000001" customHeight="1">
      <c r="A135" s="1425">
        <v>12</v>
      </c>
      <c r="B135" s="1965" t="str">
        <f>'Direct cost summary '!B83</f>
        <v>Sand hauling</v>
      </c>
      <c r="C135" s="1965"/>
      <c r="D135" s="957" t="str">
        <f>'plan &amp; Unit price &amp; Direct cost'!D84</f>
        <v>m3</v>
      </c>
      <c r="E135" s="933">
        <f>'Direct cost summary '!J83</f>
        <v>71.012295294510608</v>
      </c>
      <c r="F135" s="610">
        <f>'[8]Daily Progress Report '!$O133</f>
        <v>0</v>
      </c>
      <c r="G135" s="610">
        <f>'[2]Daily Progress Report '!$O133</f>
        <v>0</v>
      </c>
      <c r="H135" s="610">
        <f>'[3]Daily Progress Report '!$O133</f>
        <v>0</v>
      </c>
      <c r="I135" s="610">
        <f>'[9]Daily Progress Report'!$O133</f>
        <v>0</v>
      </c>
      <c r="J135" s="610">
        <f>'[5]Daily Progress Report '!$O133</f>
        <v>0</v>
      </c>
      <c r="K135" s="610">
        <f>'[6]Daily Progress Report '!$O133</f>
        <v>0</v>
      </c>
      <c r="L135" s="610">
        <f>'[7]Daily Progress Report '!$O133</f>
        <v>0</v>
      </c>
      <c r="M135" s="610"/>
      <c r="N135" s="610">
        <f t="shared" si="29"/>
        <v>0</v>
      </c>
      <c r="O135" s="610">
        <f t="shared" si="50"/>
        <v>0</v>
      </c>
      <c r="P135" s="1406">
        <f t="shared" si="51"/>
        <v>0</v>
      </c>
    </row>
    <row r="136" spans="1:16" s="225" customFormat="1" ht="26.25">
      <c r="A136" s="1425">
        <v>13</v>
      </c>
      <c r="B136" s="1965" t="str">
        <f>'Direct cost summary '!B86</f>
        <v>Stone hauling to crusher</v>
      </c>
      <c r="C136" s="1965"/>
      <c r="D136" s="957" t="str">
        <f>'plan &amp; Unit price &amp; Direct cost'!D85</f>
        <v>m3</v>
      </c>
      <c r="E136" s="933">
        <f>'Direct cost summary '!J86</f>
        <v>83.021303246063439</v>
      </c>
      <c r="F136" s="610">
        <f>'[8]Daily Progress Report '!$O134</f>
        <v>0</v>
      </c>
      <c r="G136" s="610">
        <f>'[2]Daily Progress Report '!$O134</f>
        <v>0</v>
      </c>
      <c r="H136" s="610">
        <f>'[3]Daily Progress Report '!$O134</f>
        <v>0</v>
      </c>
      <c r="I136" s="610">
        <f>'[9]Daily Progress Report'!$O134</f>
        <v>0</v>
      </c>
      <c r="J136" s="610">
        <f>'[5]Daily Progress Report '!$O134</f>
        <v>0</v>
      </c>
      <c r="K136" s="610">
        <f>'[6]Daily Progress Report '!$O134</f>
        <v>0</v>
      </c>
      <c r="L136" s="610">
        <f>'[7]Daily Progress Report '!$O134</f>
        <v>0</v>
      </c>
      <c r="M136" s="610"/>
      <c r="N136" s="610">
        <f t="shared" si="29"/>
        <v>0</v>
      </c>
      <c r="O136" s="610">
        <f t="shared" si="50"/>
        <v>0</v>
      </c>
      <c r="P136" s="1406">
        <f t="shared" si="51"/>
        <v>0</v>
      </c>
    </row>
    <row r="137" spans="1:16" s="225" customFormat="1" ht="26.25">
      <c r="A137" s="1425">
        <v>14</v>
      </c>
      <c r="B137" s="1965" t="str">
        <f>'Direct cost summary '!B88</f>
        <v>C. agg. Hualing</v>
      </c>
      <c r="C137" s="1965"/>
      <c r="D137" s="957" t="s">
        <v>273</v>
      </c>
      <c r="E137" s="933">
        <f>'Direct cost summary '!J88</f>
        <v>303.42130631199507</v>
      </c>
      <c r="F137" s="610">
        <f>'[8]Daily Progress Report '!$O135</f>
        <v>0</v>
      </c>
      <c r="G137" s="610">
        <f>'[2]Daily Progress Report '!$O135</f>
        <v>0</v>
      </c>
      <c r="H137" s="610">
        <f>'[3]Daily Progress Report '!$O135</f>
        <v>0</v>
      </c>
      <c r="I137" s="610">
        <f>'[9]Daily Progress Report'!$O135</f>
        <v>0</v>
      </c>
      <c r="J137" s="610">
        <f>'[5]Daily Progress Report '!$O135</f>
        <v>0</v>
      </c>
      <c r="K137" s="610">
        <f>'[6]Daily Progress Report '!$O135</f>
        <v>0</v>
      </c>
      <c r="L137" s="610">
        <f>'[7]Daily Progress Report '!$O135</f>
        <v>0</v>
      </c>
      <c r="M137" s="610"/>
      <c r="N137" s="610">
        <f t="shared" si="29"/>
        <v>0</v>
      </c>
      <c r="O137" s="610">
        <f t="shared" si="50"/>
        <v>0</v>
      </c>
      <c r="P137" s="1406">
        <f t="shared" si="51"/>
        <v>0</v>
      </c>
    </row>
    <row r="138" spans="1:16" s="225" customFormat="1" ht="25.5" customHeight="1">
      <c r="A138" s="1425"/>
      <c r="B138" s="1975" t="str">
        <f>'Direct cost summary '!B132</f>
        <v>Class 'A' Concrete</v>
      </c>
      <c r="C138" s="1975"/>
      <c r="D138" s="957" t="str">
        <f>'plan &amp; Unit price &amp; Direct cost'!D87</f>
        <v>m3</v>
      </c>
      <c r="E138" s="933"/>
      <c r="F138" s="610">
        <f>'[8]Daily Progress Report '!$O136</f>
        <v>0</v>
      </c>
      <c r="G138" s="610">
        <f>'[2]Daily Progress Report '!$O136</f>
        <v>0</v>
      </c>
      <c r="H138" s="610">
        <f>'[3]Daily Progress Report '!$O136</f>
        <v>0</v>
      </c>
      <c r="I138" s="610">
        <f>'[9]Daily Progress Report'!$O136</f>
        <v>0</v>
      </c>
      <c r="J138" s="610">
        <f>'[5]Daily Progress Report '!$O136</f>
        <v>0</v>
      </c>
      <c r="K138" s="610">
        <f>'[6]Daily Progress Report '!$O136</f>
        <v>0</v>
      </c>
      <c r="L138" s="610">
        <f>'[7]Daily Progress Report '!$O136</f>
        <v>0</v>
      </c>
      <c r="M138" s="610"/>
      <c r="N138" s="610">
        <f t="shared" si="29"/>
        <v>0</v>
      </c>
      <c r="O138" s="610">
        <f t="shared" ref="O138:O141" si="52">SUM(F138:L138)</f>
        <v>0</v>
      </c>
      <c r="P138" s="1406">
        <f t="shared" ref="P138:P141" si="53">O138*E138</f>
        <v>0</v>
      </c>
    </row>
    <row r="139" spans="1:16" s="225" customFormat="1" ht="26.25">
      <c r="A139" s="1425">
        <v>15</v>
      </c>
      <c r="B139" s="1965" t="str">
        <f>'Direct cost summary '!B134</f>
        <v>Sand hauling</v>
      </c>
      <c r="C139" s="1965"/>
      <c r="D139" s="957" t="str">
        <f>'plan &amp; Unit price &amp; Direct cost'!D88</f>
        <v>m3</v>
      </c>
      <c r="E139" s="933">
        <f>'Direct cost summary '!J134</f>
        <v>91.11819873810893</v>
      </c>
      <c r="F139" s="610">
        <f>'[8]Daily Progress Report '!$O137</f>
        <v>0</v>
      </c>
      <c r="G139" s="610">
        <f>'[2]Daily Progress Report '!$O137</f>
        <v>0</v>
      </c>
      <c r="H139" s="610">
        <f>'[3]Daily Progress Report '!$O137</f>
        <v>0</v>
      </c>
      <c r="I139" s="610">
        <f>'[9]Daily Progress Report'!$O137</f>
        <v>0</v>
      </c>
      <c r="J139" s="610">
        <f>'[5]Daily Progress Report '!$O137</f>
        <v>0</v>
      </c>
      <c r="K139" s="610">
        <f>'[6]Daily Progress Report '!$O137</f>
        <v>0</v>
      </c>
      <c r="L139" s="610">
        <f>'[7]Daily Progress Report '!$O137</f>
        <v>12</v>
      </c>
      <c r="M139" s="610">
        <f>O139</f>
        <v>12</v>
      </c>
      <c r="N139" s="610">
        <f t="shared" si="29"/>
        <v>1093.418384857307</v>
      </c>
      <c r="O139" s="610">
        <f t="shared" si="52"/>
        <v>12</v>
      </c>
      <c r="P139" s="1406">
        <f t="shared" si="53"/>
        <v>1093.418384857307</v>
      </c>
    </row>
    <row r="140" spans="1:16" s="225" customFormat="1" ht="26.25">
      <c r="A140" s="1425">
        <v>16</v>
      </c>
      <c r="B140" s="1965" t="str">
        <f>'Direct cost summary '!B137</f>
        <v>Stone hauling to crusher</v>
      </c>
      <c r="C140" s="1965"/>
      <c r="D140" s="957" t="s">
        <v>273</v>
      </c>
      <c r="E140" s="933">
        <f>'Direct cost summary '!J137</f>
        <v>106.52734962724669</v>
      </c>
      <c r="F140" s="610">
        <f>'[8]Daily Progress Report '!$O138</f>
        <v>0</v>
      </c>
      <c r="G140" s="610">
        <f>'[2]Daily Progress Report '!$O138</f>
        <v>0</v>
      </c>
      <c r="H140" s="610">
        <f>'[3]Daily Progress Report '!$O138</f>
        <v>0</v>
      </c>
      <c r="I140" s="610">
        <f>'[9]Daily Progress Report'!$O138</f>
        <v>0</v>
      </c>
      <c r="J140" s="610">
        <f>'[5]Daily Progress Report '!$O138</f>
        <v>0</v>
      </c>
      <c r="K140" s="610">
        <f>'[6]Daily Progress Report '!$O138</f>
        <v>0</v>
      </c>
      <c r="L140" s="610">
        <f>'[7]Daily Progress Report '!$O138</f>
        <v>0</v>
      </c>
      <c r="M140" s="610"/>
      <c r="N140" s="610">
        <f t="shared" si="29"/>
        <v>0</v>
      </c>
      <c r="O140" s="610">
        <f t="shared" si="52"/>
        <v>0</v>
      </c>
      <c r="P140" s="1406">
        <f t="shared" si="53"/>
        <v>0</v>
      </c>
    </row>
    <row r="141" spans="1:16" s="225" customFormat="1" ht="26.25">
      <c r="A141" s="1425">
        <v>17</v>
      </c>
      <c r="B141" s="1965" t="str">
        <f>'Direct cost summary '!B139</f>
        <v>C. agg. Hualing</v>
      </c>
      <c r="C141" s="1965"/>
      <c r="D141" s="957" t="str">
        <f>'plan &amp; Unit price &amp; Direct cost'!D90</f>
        <v>m3</v>
      </c>
      <c r="E141" s="933">
        <f>'Direct cost summary '!J139</f>
        <v>389.32980232861416</v>
      </c>
      <c r="F141" s="610">
        <f>'[8]Daily Progress Report '!$O139</f>
        <v>0</v>
      </c>
      <c r="G141" s="610">
        <f>'[2]Daily Progress Report '!$O139</f>
        <v>0</v>
      </c>
      <c r="H141" s="610">
        <f>'[3]Daily Progress Report '!$O139</f>
        <v>0</v>
      </c>
      <c r="I141" s="610">
        <f>'[9]Daily Progress Report'!$O139</f>
        <v>0</v>
      </c>
      <c r="J141" s="610">
        <f>'[5]Daily Progress Report '!$O139</f>
        <v>0</v>
      </c>
      <c r="K141" s="610">
        <f>'[6]Daily Progress Report '!$O139</f>
        <v>0</v>
      </c>
      <c r="L141" s="610">
        <f>'[7]Daily Progress Report '!$O139</f>
        <v>12</v>
      </c>
      <c r="M141" s="610">
        <f>O141</f>
        <v>12</v>
      </c>
      <c r="N141" s="610">
        <f t="shared" ref="N141:N171" si="54">E141*M141</f>
        <v>4671.9576279433695</v>
      </c>
      <c r="O141" s="610">
        <f t="shared" si="52"/>
        <v>12</v>
      </c>
      <c r="P141" s="1406">
        <f t="shared" si="53"/>
        <v>4671.9576279433695</v>
      </c>
    </row>
    <row r="142" spans="1:16" s="225" customFormat="1" ht="25.5" customHeight="1">
      <c r="A142" s="1425"/>
      <c r="B142" s="1975" t="str">
        <f>'Direct cost summary '!B142</f>
        <v>Class 'C-25' Concrete</v>
      </c>
      <c r="C142" s="1975"/>
      <c r="D142" s="961">
        <f>'plan &amp; Unit price &amp; Direct cost'!D91</f>
        <v>0</v>
      </c>
      <c r="E142" s="933">
        <f>'plan &amp; Unit price &amp; Direct cost'!E91</f>
        <v>0</v>
      </c>
      <c r="F142" s="610">
        <f>'[8]Daily Progress Report '!$O140</f>
        <v>0</v>
      </c>
      <c r="G142" s="610">
        <f>'[2]Daily Progress Report '!$O140</f>
        <v>0</v>
      </c>
      <c r="H142" s="610">
        <f>'[3]Daily Progress Report '!$O140</f>
        <v>0</v>
      </c>
      <c r="I142" s="610">
        <f>'[9]Daily Progress Report'!$O140</f>
        <v>0</v>
      </c>
      <c r="J142" s="610">
        <f>'[5]Daily Progress Report '!$O140</f>
        <v>0</v>
      </c>
      <c r="K142" s="610">
        <f>'[6]Daily Progress Report '!$O140</f>
        <v>0</v>
      </c>
      <c r="L142" s="610">
        <f>'[7]Daily Progress Report '!$O140</f>
        <v>0</v>
      </c>
      <c r="M142" s="610"/>
      <c r="N142" s="610">
        <f t="shared" si="54"/>
        <v>0</v>
      </c>
      <c r="O142" s="610">
        <f t="shared" ref="O142:O145" si="55">SUM(F142:L142)</f>
        <v>0</v>
      </c>
      <c r="P142" s="1406">
        <f t="shared" ref="P142:P145" si="56">O142*E142</f>
        <v>0</v>
      </c>
    </row>
    <row r="143" spans="1:16" s="225" customFormat="1" ht="26.25">
      <c r="A143" s="1425">
        <v>18</v>
      </c>
      <c r="B143" s="1965" t="str">
        <f>'Direct cost summary '!B144</f>
        <v>Sand hauling</v>
      </c>
      <c r="C143" s="1965"/>
      <c r="D143" s="957" t="s">
        <v>273</v>
      </c>
      <c r="E143" s="933">
        <f>'Direct cost summary '!J144</f>
        <v>89.295834763346761</v>
      </c>
      <c r="F143" s="610">
        <f>'[8]Daily Progress Report '!$O141</f>
        <v>0</v>
      </c>
      <c r="G143" s="610">
        <f>'[2]Daily Progress Report '!$O141</f>
        <v>0</v>
      </c>
      <c r="H143" s="610">
        <f>'[3]Daily Progress Report '!$O141</f>
        <v>0</v>
      </c>
      <c r="I143" s="610">
        <f>'[9]Daily Progress Report'!$O141</f>
        <v>0</v>
      </c>
      <c r="J143" s="610">
        <f>'[5]Daily Progress Report '!$O141</f>
        <v>0</v>
      </c>
      <c r="K143" s="610">
        <f>'[6]Daily Progress Report '!$O141</f>
        <v>0</v>
      </c>
      <c r="L143" s="610">
        <f>'[7]Daily Progress Report '!$O141</f>
        <v>0</v>
      </c>
      <c r="M143" s="610"/>
      <c r="N143" s="610">
        <f t="shared" si="54"/>
        <v>0</v>
      </c>
      <c r="O143" s="610">
        <f t="shared" si="55"/>
        <v>0</v>
      </c>
      <c r="P143" s="1406">
        <f t="shared" si="56"/>
        <v>0</v>
      </c>
    </row>
    <row r="144" spans="1:16" s="225" customFormat="1" ht="26.25">
      <c r="A144" s="1425">
        <v>19</v>
      </c>
      <c r="B144" s="1965" t="str">
        <f>'Direct cost summary '!B147</f>
        <v>Stone hauling to crusher</v>
      </c>
      <c r="C144" s="1965"/>
      <c r="D144" s="957" t="str">
        <f>'plan &amp; Unit price &amp; Direct cost'!D93</f>
        <v>m2</v>
      </c>
      <c r="E144" s="933">
        <f>'Direct cost summary '!J147</f>
        <v>104.39680263470176</v>
      </c>
      <c r="F144" s="610">
        <f>'[8]Daily Progress Report '!$O142</f>
        <v>0</v>
      </c>
      <c r="G144" s="610">
        <f>'[2]Daily Progress Report '!$O142</f>
        <v>0</v>
      </c>
      <c r="H144" s="610">
        <f>'[3]Daily Progress Report '!$O142</f>
        <v>0</v>
      </c>
      <c r="I144" s="610">
        <f>'[9]Daily Progress Report'!$O142</f>
        <v>0</v>
      </c>
      <c r="J144" s="610">
        <f>'[5]Daily Progress Report '!$O142</f>
        <v>0</v>
      </c>
      <c r="K144" s="610">
        <f>'[6]Daily Progress Report '!$O142</f>
        <v>0</v>
      </c>
      <c r="L144" s="610">
        <f>'[7]Daily Progress Report '!$O142</f>
        <v>0</v>
      </c>
      <c r="M144" s="610"/>
      <c r="N144" s="610">
        <f t="shared" si="54"/>
        <v>0</v>
      </c>
      <c r="O144" s="610">
        <f t="shared" si="55"/>
        <v>0</v>
      </c>
      <c r="P144" s="1406">
        <f t="shared" si="56"/>
        <v>0</v>
      </c>
    </row>
    <row r="145" spans="1:16" s="225" customFormat="1" ht="26.25">
      <c r="A145" s="1425">
        <v>20</v>
      </c>
      <c r="B145" s="1965" t="str">
        <f>'Direct cost summary '!B149</f>
        <v>C. agg. Hualing</v>
      </c>
      <c r="C145" s="1965"/>
      <c r="D145" s="957" t="str">
        <f>'plan &amp; Unit price &amp; Direct cost'!D94</f>
        <v>m2</v>
      </c>
      <c r="E145" s="933">
        <f>'Direct cost summary '!J149</f>
        <v>381.54320628204187</v>
      </c>
      <c r="F145" s="610">
        <f>'[8]Daily Progress Report '!$O143</f>
        <v>0</v>
      </c>
      <c r="G145" s="610">
        <f>'[2]Daily Progress Report '!$O143</f>
        <v>0</v>
      </c>
      <c r="H145" s="610">
        <f>'[3]Daily Progress Report '!$O143</f>
        <v>0</v>
      </c>
      <c r="I145" s="610">
        <f>'[9]Daily Progress Report'!$O143</f>
        <v>0</v>
      </c>
      <c r="J145" s="610">
        <f>'[5]Daily Progress Report '!$O143</f>
        <v>0</v>
      </c>
      <c r="K145" s="610">
        <f>'[6]Daily Progress Report '!$O143</f>
        <v>0</v>
      </c>
      <c r="L145" s="610">
        <f>'[7]Daily Progress Report '!$O143</f>
        <v>0</v>
      </c>
      <c r="M145" s="610"/>
      <c r="N145" s="610">
        <f t="shared" si="54"/>
        <v>0</v>
      </c>
      <c r="O145" s="610">
        <f t="shared" si="55"/>
        <v>0</v>
      </c>
      <c r="P145" s="1406">
        <f t="shared" si="56"/>
        <v>0</v>
      </c>
    </row>
    <row r="146" spans="1:16" s="225" customFormat="1" ht="25.5" customHeight="1">
      <c r="A146" s="1425"/>
      <c r="B146" s="1975" t="str">
        <f>'Direct cost summary '!B152</f>
        <v>Class 'C-20' Concrete</v>
      </c>
      <c r="C146" s="1975"/>
      <c r="D146" s="957" t="str">
        <f>'plan &amp; Unit price &amp; Direct cost'!D95</f>
        <v>m2</v>
      </c>
      <c r="E146" s="933"/>
      <c r="F146" s="610">
        <f>'[8]Daily Progress Report '!$O144</f>
        <v>0</v>
      </c>
      <c r="G146" s="610">
        <f>'[2]Daily Progress Report '!$O144</f>
        <v>0</v>
      </c>
      <c r="H146" s="610">
        <f>'[3]Daily Progress Report '!$O144</f>
        <v>0</v>
      </c>
      <c r="I146" s="610">
        <f>'[9]Daily Progress Report'!$O144</f>
        <v>0</v>
      </c>
      <c r="J146" s="610">
        <f>'[5]Daily Progress Report '!$O144</f>
        <v>0</v>
      </c>
      <c r="K146" s="610">
        <f>'[6]Daily Progress Report '!$O144</f>
        <v>0</v>
      </c>
      <c r="L146" s="610">
        <f>'[7]Daily Progress Report '!$O144</f>
        <v>0</v>
      </c>
      <c r="M146" s="610"/>
      <c r="N146" s="610">
        <f t="shared" si="54"/>
        <v>0</v>
      </c>
      <c r="O146" s="610">
        <f t="shared" ref="O146:O149" si="57">SUM(F146:L146)</f>
        <v>0</v>
      </c>
      <c r="P146" s="1406">
        <f t="shared" ref="P146:P149" si="58">O146*E146</f>
        <v>0</v>
      </c>
    </row>
    <row r="147" spans="1:16" s="225" customFormat="1" ht="26.25">
      <c r="A147" s="1425">
        <v>21</v>
      </c>
      <c r="B147" s="1965" t="str">
        <f>'Direct cost summary '!B154</f>
        <v>Sand hauling</v>
      </c>
      <c r="C147" s="1965"/>
      <c r="D147" s="957" t="s">
        <v>273</v>
      </c>
      <c r="E147" s="933">
        <f>'Direct cost summary '!J154</f>
        <v>87.473470788584578</v>
      </c>
      <c r="F147" s="610">
        <f>'[8]Daily Progress Report '!$O145</f>
        <v>0</v>
      </c>
      <c r="G147" s="610">
        <f>'[2]Daily Progress Report '!$O145</f>
        <v>12</v>
      </c>
      <c r="H147" s="610">
        <f>'[3]Daily Progress Report '!$O145</f>
        <v>0</v>
      </c>
      <c r="I147" s="610">
        <f>'[9]Daily Progress Report'!$O145</f>
        <v>0</v>
      </c>
      <c r="J147" s="610">
        <f>'[5]Daily Progress Report '!$O145</f>
        <v>0</v>
      </c>
      <c r="K147" s="610">
        <f>'[6]Daily Progress Report '!$O145</f>
        <v>0</v>
      </c>
      <c r="L147" s="610">
        <f>'[7]Daily Progress Report '!$O145</f>
        <v>0</v>
      </c>
      <c r="M147" s="610">
        <f>O147</f>
        <v>12</v>
      </c>
      <c r="N147" s="610">
        <f t="shared" si="54"/>
        <v>1049.681649463015</v>
      </c>
      <c r="O147" s="610">
        <f t="shared" si="57"/>
        <v>12</v>
      </c>
      <c r="P147" s="1406">
        <f t="shared" si="58"/>
        <v>1049.681649463015</v>
      </c>
    </row>
    <row r="148" spans="1:16" s="225" customFormat="1" ht="26.25">
      <c r="A148" s="1425">
        <v>22</v>
      </c>
      <c r="B148" s="1965" t="str">
        <f>'Direct cost summary '!B157</f>
        <v>Stone hauling to crusher</v>
      </c>
      <c r="C148" s="1965"/>
      <c r="D148" s="957" t="s">
        <v>273</v>
      </c>
      <c r="E148" s="933">
        <f>'Direct cost summary '!J157</f>
        <v>102.26625564215682</v>
      </c>
      <c r="F148" s="610">
        <f>'[8]Daily Progress Report '!$O146</f>
        <v>0</v>
      </c>
      <c r="G148" s="610">
        <f>'[2]Daily Progress Report '!$O146</f>
        <v>0</v>
      </c>
      <c r="H148" s="610">
        <f>'[3]Daily Progress Report '!$O146</f>
        <v>0</v>
      </c>
      <c r="I148" s="610">
        <f>'[9]Daily Progress Report'!$O146</f>
        <v>0</v>
      </c>
      <c r="J148" s="610">
        <f>'[5]Daily Progress Report '!$O146</f>
        <v>0</v>
      </c>
      <c r="K148" s="610">
        <f>'[6]Daily Progress Report '!$O146</f>
        <v>0</v>
      </c>
      <c r="L148" s="610">
        <f>'[7]Daily Progress Report '!$O146</f>
        <v>0</v>
      </c>
      <c r="M148" s="610"/>
      <c r="N148" s="610">
        <f t="shared" si="54"/>
        <v>0</v>
      </c>
      <c r="O148" s="610">
        <f t="shared" si="57"/>
        <v>0</v>
      </c>
      <c r="P148" s="1406">
        <f t="shared" si="58"/>
        <v>0</v>
      </c>
    </row>
    <row r="149" spans="1:16" s="225" customFormat="1" ht="26.25">
      <c r="A149" s="1425">
        <v>23</v>
      </c>
      <c r="B149" s="1965" t="str">
        <f>'Direct cost summary '!B159</f>
        <v>C. agg. Hualing</v>
      </c>
      <c r="C149" s="1965"/>
      <c r="D149" s="957" t="s">
        <v>273</v>
      </c>
      <c r="E149" s="933">
        <f>'Direct cost summary '!J159</f>
        <v>373.75661023546962</v>
      </c>
      <c r="F149" s="610">
        <f>'[8]Daily Progress Report '!$O147</f>
        <v>12</v>
      </c>
      <c r="G149" s="610">
        <f>'[2]Daily Progress Report '!$O147</f>
        <v>0</v>
      </c>
      <c r="H149" s="610">
        <f>'[3]Daily Progress Report '!$O147</f>
        <v>0</v>
      </c>
      <c r="I149" s="610">
        <f>'[9]Daily Progress Report'!$O147</f>
        <v>0</v>
      </c>
      <c r="J149" s="610">
        <f>'[5]Daily Progress Report '!$O147</f>
        <v>0</v>
      </c>
      <c r="K149" s="610">
        <f>'[6]Daily Progress Report '!$O147</f>
        <v>0</v>
      </c>
      <c r="L149" s="610">
        <f>'[7]Daily Progress Report '!$O147</f>
        <v>0</v>
      </c>
      <c r="M149" s="610">
        <f>O149</f>
        <v>12</v>
      </c>
      <c r="N149" s="610">
        <f t="shared" si="54"/>
        <v>4485.0793228256352</v>
      </c>
      <c r="O149" s="610">
        <f t="shared" si="57"/>
        <v>12</v>
      </c>
      <c r="P149" s="1406">
        <f t="shared" si="58"/>
        <v>4485.0793228256352</v>
      </c>
    </row>
    <row r="150" spans="1:16" s="225" customFormat="1" ht="25.5" customHeight="1">
      <c r="A150" s="1425"/>
      <c r="B150" s="1975" t="str">
        <f>'Direct cost summary '!B162</f>
        <v>Class 'C-15' Concrete</v>
      </c>
      <c r="C150" s="1975"/>
      <c r="D150" s="957" t="str">
        <f>'plan &amp; Unit price &amp; Direct cost'!D99</f>
        <v>m2</v>
      </c>
      <c r="E150" s="933">
        <f>'plan &amp; Unit price &amp; Direct cost'!E99</f>
        <v>0</v>
      </c>
      <c r="F150" s="610">
        <f>'[8]Daily Progress Report '!$O148</f>
        <v>0</v>
      </c>
      <c r="G150" s="610">
        <f>'[2]Daily Progress Report '!$O148</f>
        <v>0</v>
      </c>
      <c r="H150" s="610">
        <f>'[3]Daily Progress Report '!$O148</f>
        <v>0</v>
      </c>
      <c r="I150" s="610">
        <f>'[9]Daily Progress Report'!$O148</f>
        <v>0</v>
      </c>
      <c r="J150" s="610">
        <f>'[5]Daily Progress Report '!$O148</f>
        <v>0</v>
      </c>
      <c r="K150" s="610">
        <f>'[6]Daily Progress Report '!$O148</f>
        <v>0</v>
      </c>
      <c r="L150" s="610">
        <f>'[7]Daily Progress Report '!$O148</f>
        <v>0</v>
      </c>
      <c r="M150" s="610"/>
      <c r="N150" s="610">
        <f t="shared" si="54"/>
        <v>0</v>
      </c>
      <c r="O150" s="610">
        <f t="shared" ref="O150:O153" si="59">SUM(F150:L150)</f>
        <v>0</v>
      </c>
      <c r="P150" s="1406">
        <f t="shared" ref="P150:P153" si="60">O150*E150</f>
        <v>0</v>
      </c>
    </row>
    <row r="151" spans="1:16" s="225" customFormat="1" ht="26.25">
      <c r="A151" s="1425">
        <v>24</v>
      </c>
      <c r="B151" s="1965" t="str">
        <f>'Direct cost summary '!B164</f>
        <v>Sand hauling</v>
      </c>
      <c r="C151" s="1965"/>
      <c r="D151" s="957" t="s">
        <v>273</v>
      </c>
      <c r="E151" s="933">
        <f>'Direct cost summary '!J164</f>
        <v>72.894558990487155</v>
      </c>
      <c r="F151" s="610">
        <f>'[8]Daily Progress Report '!$O149</f>
        <v>0</v>
      </c>
      <c r="G151" s="610">
        <f>'[2]Daily Progress Report '!$O149</f>
        <v>0</v>
      </c>
      <c r="H151" s="610">
        <f>'[3]Daily Progress Report '!$O149</f>
        <v>0</v>
      </c>
      <c r="I151" s="610">
        <f>'[9]Daily Progress Report'!$O149</f>
        <v>0</v>
      </c>
      <c r="J151" s="610">
        <f>'[5]Daily Progress Report '!$O149</f>
        <v>0</v>
      </c>
      <c r="K151" s="610">
        <f>'[6]Daily Progress Report '!$O149</f>
        <v>0</v>
      </c>
      <c r="L151" s="610">
        <f>'[7]Daily Progress Report '!$O149</f>
        <v>0</v>
      </c>
      <c r="M151" s="610"/>
      <c r="N151" s="610">
        <f t="shared" si="54"/>
        <v>0</v>
      </c>
      <c r="O151" s="610">
        <f t="shared" si="59"/>
        <v>0</v>
      </c>
      <c r="P151" s="1406">
        <f t="shared" si="60"/>
        <v>0</v>
      </c>
    </row>
    <row r="152" spans="1:16" s="225" customFormat="1" ht="26.25">
      <c r="A152" s="1425">
        <v>25</v>
      </c>
      <c r="B152" s="1965" t="str">
        <f>'Direct cost summary '!B167</f>
        <v>Stone hauling to crusher</v>
      </c>
      <c r="C152" s="1965"/>
      <c r="D152" s="957" t="str">
        <f>'plan &amp; Unit price &amp; Direct cost'!D101</f>
        <v>km</v>
      </c>
      <c r="E152" s="933">
        <f>'Direct cost summary '!J167</f>
        <v>85.221879701797363</v>
      </c>
      <c r="F152" s="610">
        <f>'[8]Daily Progress Report '!$O150</f>
        <v>0</v>
      </c>
      <c r="G152" s="610">
        <f>'[2]Daily Progress Report '!$O150</f>
        <v>0</v>
      </c>
      <c r="H152" s="610">
        <f>'[3]Daily Progress Report '!$O150</f>
        <v>0</v>
      </c>
      <c r="I152" s="610">
        <f>'[9]Daily Progress Report'!$O150</f>
        <v>0</v>
      </c>
      <c r="J152" s="610">
        <f>'[5]Daily Progress Report '!$O150</f>
        <v>0</v>
      </c>
      <c r="K152" s="610">
        <f>'[6]Daily Progress Report '!$O150</f>
        <v>0</v>
      </c>
      <c r="L152" s="610">
        <f>'[7]Daily Progress Report '!$O150</f>
        <v>0</v>
      </c>
      <c r="M152" s="610"/>
      <c r="N152" s="610">
        <f t="shared" si="54"/>
        <v>0</v>
      </c>
      <c r="O152" s="610">
        <f t="shared" si="59"/>
        <v>0</v>
      </c>
      <c r="P152" s="1406">
        <f t="shared" si="60"/>
        <v>0</v>
      </c>
    </row>
    <row r="153" spans="1:16" s="225" customFormat="1" ht="26.25">
      <c r="A153" s="1425">
        <v>26</v>
      </c>
      <c r="B153" s="1965" t="str">
        <f>'Direct cost summary '!B169</f>
        <v>C. agg. Hualing</v>
      </c>
      <c r="C153" s="1965"/>
      <c r="D153" s="957" t="s">
        <v>273</v>
      </c>
      <c r="E153" s="933">
        <f>'Direct cost summary '!J169</f>
        <v>311.46384186289134</v>
      </c>
      <c r="F153" s="610">
        <f>'[8]Daily Progress Report '!$O151</f>
        <v>0</v>
      </c>
      <c r="G153" s="610">
        <f>'[2]Daily Progress Report '!$O151</f>
        <v>0</v>
      </c>
      <c r="H153" s="610">
        <f>'[3]Daily Progress Report '!$O151</f>
        <v>0</v>
      </c>
      <c r="I153" s="610">
        <f>'[9]Daily Progress Report'!$O151</f>
        <v>0</v>
      </c>
      <c r="J153" s="610">
        <f>'[5]Daily Progress Report '!$O151</f>
        <v>0</v>
      </c>
      <c r="K153" s="610">
        <f>'[6]Daily Progress Report '!$O151</f>
        <v>0</v>
      </c>
      <c r="L153" s="610">
        <f>'[7]Daily Progress Report '!$O151</f>
        <v>0</v>
      </c>
      <c r="M153" s="610"/>
      <c r="N153" s="610">
        <f t="shared" si="54"/>
        <v>0</v>
      </c>
      <c r="O153" s="610">
        <f t="shared" si="59"/>
        <v>0</v>
      </c>
      <c r="P153" s="1406">
        <f t="shared" si="60"/>
        <v>0</v>
      </c>
    </row>
    <row r="154" spans="1:16" s="225" customFormat="1" ht="25.5" customHeight="1">
      <c r="A154" s="1425"/>
      <c r="B154" s="1975" t="str">
        <f>'Direct cost summary '!B172</f>
        <v>Class 'C-5' Concrete</v>
      </c>
      <c r="C154" s="1975"/>
      <c r="D154" s="961">
        <f>'plan &amp; Unit price &amp; Direct cost'!D103</f>
        <v>0</v>
      </c>
      <c r="E154" s="933">
        <f>'plan &amp; Unit price &amp; Direct cost'!E103</f>
        <v>0</v>
      </c>
      <c r="F154" s="610">
        <f>'[8]Daily Progress Report '!$O152</f>
        <v>0</v>
      </c>
      <c r="G154" s="610">
        <f>'[2]Daily Progress Report '!$O152</f>
        <v>0</v>
      </c>
      <c r="H154" s="610">
        <f>'[3]Daily Progress Report '!$O152</f>
        <v>0</v>
      </c>
      <c r="I154" s="610">
        <f>'[9]Daily Progress Report'!$O152</f>
        <v>0</v>
      </c>
      <c r="J154" s="610">
        <f>'[5]Daily Progress Report '!$O152</f>
        <v>0</v>
      </c>
      <c r="K154" s="610">
        <f>'[6]Daily Progress Report '!$O152</f>
        <v>0</v>
      </c>
      <c r="L154" s="610">
        <f>'[7]Daily Progress Report '!$O152</f>
        <v>0</v>
      </c>
      <c r="M154" s="610"/>
      <c r="N154" s="610">
        <f t="shared" si="54"/>
        <v>0</v>
      </c>
      <c r="O154" s="610">
        <f t="shared" ref="O154:O157" si="61">SUM(F154:L154)</f>
        <v>0</v>
      </c>
      <c r="P154" s="1406">
        <f t="shared" ref="P154:P157" si="62">O154*E154</f>
        <v>0</v>
      </c>
    </row>
    <row r="155" spans="1:16" s="225" customFormat="1" ht="26.25">
      <c r="A155" s="1425">
        <v>27</v>
      </c>
      <c r="B155" s="1965" t="str">
        <f>'Direct cost summary '!B174</f>
        <v>Sand hauling</v>
      </c>
      <c r="C155" s="1965"/>
      <c r="D155" s="957" t="s">
        <v>273</v>
      </c>
      <c r="E155" s="933">
        <f>'Direct cost summary '!J174</f>
        <v>69.249831040962789</v>
      </c>
      <c r="F155" s="610">
        <f>'[8]Daily Progress Report '!$O153</f>
        <v>0</v>
      </c>
      <c r="G155" s="610">
        <f>'[2]Daily Progress Report '!$O153</f>
        <v>0</v>
      </c>
      <c r="H155" s="610">
        <f>'[3]Daily Progress Report '!$O153</f>
        <v>0</v>
      </c>
      <c r="I155" s="610">
        <f>'[9]Daily Progress Report'!$O153</f>
        <v>0</v>
      </c>
      <c r="J155" s="610">
        <f>'[5]Daily Progress Report '!$O153</f>
        <v>0</v>
      </c>
      <c r="K155" s="610">
        <f>'[6]Daily Progress Report '!$O153</f>
        <v>0</v>
      </c>
      <c r="L155" s="610">
        <f>'[7]Daily Progress Report '!$O153</f>
        <v>0</v>
      </c>
      <c r="M155" s="610"/>
      <c r="N155" s="610">
        <f t="shared" si="54"/>
        <v>0</v>
      </c>
      <c r="O155" s="610">
        <f t="shared" si="61"/>
        <v>0</v>
      </c>
      <c r="P155" s="1406">
        <f t="shared" si="62"/>
        <v>0</v>
      </c>
    </row>
    <row r="156" spans="1:16" s="225" customFormat="1" ht="26.25">
      <c r="A156" s="1425">
        <v>28</v>
      </c>
      <c r="B156" s="1965" t="str">
        <f>'Direct cost summary '!B177</f>
        <v>Stone hauling to crusher</v>
      </c>
      <c r="C156" s="1965"/>
      <c r="D156" s="957" t="s">
        <v>273</v>
      </c>
      <c r="E156" s="933">
        <f>'Direct cost summary '!J177</f>
        <v>80.960785716707491</v>
      </c>
      <c r="F156" s="610">
        <f>'[8]Daily Progress Report '!$O154</f>
        <v>0</v>
      </c>
      <c r="G156" s="610">
        <f>'[2]Daily Progress Report '!$O154</f>
        <v>0</v>
      </c>
      <c r="H156" s="610">
        <f>'[3]Daily Progress Report '!$O154</f>
        <v>0</v>
      </c>
      <c r="I156" s="610">
        <f>'[9]Daily Progress Report'!$O154</f>
        <v>0</v>
      </c>
      <c r="J156" s="610">
        <f>'[5]Daily Progress Report '!$O154</f>
        <v>0</v>
      </c>
      <c r="K156" s="610">
        <f>'[6]Daily Progress Report '!$O154</f>
        <v>0</v>
      </c>
      <c r="L156" s="610">
        <f>'[7]Daily Progress Report '!$O154</f>
        <v>0</v>
      </c>
      <c r="M156" s="610"/>
      <c r="N156" s="610">
        <f t="shared" si="54"/>
        <v>0</v>
      </c>
      <c r="O156" s="610">
        <f t="shared" si="61"/>
        <v>0</v>
      </c>
      <c r="P156" s="1406">
        <f t="shared" si="62"/>
        <v>0</v>
      </c>
    </row>
    <row r="157" spans="1:16" s="225" customFormat="1" ht="26.25">
      <c r="A157" s="1425">
        <v>29</v>
      </c>
      <c r="B157" s="1965" t="str">
        <f>'Direct cost summary '!B179</f>
        <v>C. agg. Hualing</v>
      </c>
      <c r="C157" s="1965"/>
      <c r="D157" s="957" t="s">
        <v>273</v>
      </c>
      <c r="E157" s="933">
        <f>'Direct cost summary '!J179</f>
        <v>295.89064976974674</v>
      </c>
      <c r="F157" s="610">
        <f>'[8]Daily Progress Report '!$O155</f>
        <v>0</v>
      </c>
      <c r="G157" s="610">
        <f>'[2]Daily Progress Report '!$O155</f>
        <v>0</v>
      </c>
      <c r="H157" s="610">
        <f>'[3]Daily Progress Report '!$O155</f>
        <v>0</v>
      </c>
      <c r="I157" s="610">
        <f>'[9]Daily Progress Report'!$O155</f>
        <v>0</v>
      </c>
      <c r="J157" s="610">
        <f>'[5]Daily Progress Report '!$O155</f>
        <v>0</v>
      </c>
      <c r="K157" s="610">
        <f>'[6]Daily Progress Report '!$O155</f>
        <v>0</v>
      </c>
      <c r="L157" s="610">
        <f>'[7]Daily Progress Report '!$O155</f>
        <v>0</v>
      </c>
      <c r="M157" s="610"/>
      <c r="N157" s="610">
        <f t="shared" si="54"/>
        <v>0</v>
      </c>
      <c r="O157" s="610">
        <f t="shared" si="61"/>
        <v>0</v>
      </c>
      <c r="P157" s="1406">
        <f t="shared" si="62"/>
        <v>0</v>
      </c>
    </row>
    <row r="158" spans="1:16" s="225" customFormat="1" ht="25.5" customHeight="1">
      <c r="A158" s="1425"/>
      <c r="B158" s="1975" t="str">
        <f>'Direct cost summary '!B198</f>
        <v>Class 'B' masonry</v>
      </c>
      <c r="C158" s="1975"/>
      <c r="D158" s="961">
        <f>'plan &amp; Unit price &amp; Direct cost'!D83</f>
        <v>0</v>
      </c>
      <c r="E158" s="933">
        <f>'plan &amp; Unit price &amp; Direct cost'!E83</f>
        <v>0</v>
      </c>
      <c r="F158" s="610">
        <f>'[8]Daily Progress Report '!$O156</f>
        <v>0</v>
      </c>
      <c r="G158" s="610">
        <f>'[2]Daily Progress Report '!$O156</f>
        <v>0</v>
      </c>
      <c r="H158" s="610">
        <f>'[3]Daily Progress Report '!$O156</f>
        <v>0</v>
      </c>
      <c r="I158" s="610">
        <f>'[9]Daily Progress Report'!$O156</f>
        <v>0</v>
      </c>
      <c r="J158" s="610">
        <f>'[5]Daily Progress Report '!$O156</f>
        <v>0</v>
      </c>
      <c r="K158" s="610">
        <f>'[6]Daily Progress Report '!$O156</f>
        <v>0</v>
      </c>
      <c r="L158" s="610">
        <f>'[7]Daily Progress Report '!$O156</f>
        <v>0</v>
      </c>
      <c r="M158" s="610"/>
      <c r="N158" s="610">
        <f t="shared" si="54"/>
        <v>0</v>
      </c>
      <c r="O158" s="610">
        <f t="shared" si="45"/>
        <v>0</v>
      </c>
      <c r="P158" s="1406">
        <f t="shared" si="44"/>
        <v>0</v>
      </c>
    </row>
    <row r="159" spans="1:16" s="225" customFormat="1" ht="26.25">
      <c r="A159" s="1425">
        <v>30</v>
      </c>
      <c r="B159" s="1965" t="str">
        <f>'Direct cost summary '!B201</f>
        <v>Stone hauling</v>
      </c>
      <c r="C159" s="1965"/>
      <c r="D159" s="957" t="str">
        <f>'plan &amp; Unit price &amp; Direct cost'!D84</f>
        <v>m3</v>
      </c>
      <c r="E159" s="933">
        <f>'Direct cost summary '!J97</f>
        <v>522.8861623801522</v>
      </c>
      <c r="F159" s="610">
        <f>'[8]Daily Progress Report '!$O157</f>
        <v>0</v>
      </c>
      <c r="G159" s="610">
        <f>'[2]Daily Progress Report '!$O157</f>
        <v>0</v>
      </c>
      <c r="H159" s="610">
        <f>'[3]Daily Progress Report '!$O157</f>
        <v>0</v>
      </c>
      <c r="I159" s="610">
        <f>'[9]Daily Progress Report'!$O157</f>
        <v>0</v>
      </c>
      <c r="J159" s="610">
        <f>'[5]Daily Progress Report '!$O157</f>
        <v>0</v>
      </c>
      <c r="K159" s="610">
        <f>'[6]Daily Progress Report '!$O157</f>
        <v>0</v>
      </c>
      <c r="L159" s="610">
        <f>'[7]Daily Progress Report '!$O157</f>
        <v>0</v>
      </c>
      <c r="M159" s="759">
        <f>O159</f>
        <v>0</v>
      </c>
      <c r="N159" s="610">
        <f t="shared" si="54"/>
        <v>0</v>
      </c>
      <c r="O159" s="610">
        <f t="shared" si="45"/>
        <v>0</v>
      </c>
      <c r="P159" s="1406">
        <f t="shared" si="44"/>
        <v>0</v>
      </c>
    </row>
    <row r="160" spans="1:16" s="225" customFormat="1" ht="26.25">
      <c r="A160" s="1425">
        <v>31</v>
      </c>
      <c r="B160" s="1965" t="str">
        <f>'Direct cost summary '!B203</f>
        <v>Sand hauling</v>
      </c>
      <c r="C160" s="1965"/>
      <c r="D160" s="957" t="str">
        <f>'plan &amp; Unit price &amp; Direct cost'!D85</f>
        <v>m3</v>
      </c>
      <c r="E160" s="933">
        <f>'Direct cost summary '!J99</f>
        <v>105.35455607017514</v>
      </c>
      <c r="F160" s="610">
        <f>'[8]Daily Progress Report '!$O158</f>
        <v>0</v>
      </c>
      <c r="G160" s="610">
        <f>'[2]Daily Progress Report '!$O158</f>
        <v>0</v>
      </c>
      <c r="H160" s="610">
        <f>'[3]Daily Progress Report '!$O158</f>
        <v>0</v>
      </c>
      <c r="I160" s="610">
        <f>'[9]Daily Progress Report'!$O158</f>
        <v>0</v>
      </c>
      <c r="J160" s="610">
        <f>'[5]Daily Progress Report '!$O158</f>
        <v>0</v>
      </c>
      <c r="K160" s="610">
        <f>'[6]Daily Progress Report '!$O158</f>
        <v>0</v>
      </c>
      <c r="L160" s="610">
        <f>'[7]Daily Progress Report '!$O158</f>
        <v>0</v>
      </c>
      <c r="M160" s="759">
        <f>O160</f>
        <v>0</v>
      </c>
      <c r="N160" s="610">
        <f t="shared" si="54"/>
        <v>0</v>
      </c>
      <c r="O160" s="610">
        <f t="shared" si="45"/>
        <v>0</v>
      </c>
      <c r="P160" s="1406">
        <f t="shared" si="44"/>
        <v>0</v>
      </c>
    </row>
    <row r="161" spans="1:16" s="225" customFormat="1" ht="25.5" customHeight="1">
      <c r="A161" s="1425"/>
      <c r="B161" s="1975" t="str">
        <f>'Direct cost summary '!B101</f>
        <v>G.R. paved water way(Paved Ditch)</v>
      </c>
      <c r="C161" s="1975"/>
      <c r="D161" s="961">
        <f>'plan &amp; Unit price &amp; Direct cost'!D86</f>
        <v>0</v>
      </c>
      <c r="E161" s="933">
        <f>'plan &amp; Unit price &amp; Direct cost'!E86</f>
        <v>0</v>
      </c>
      <c r="F161" s="610">
        <f>'[8]Daily Progress Report '!$O159</f>
        <v>0</v>
      </c>
      <c r="G161" s="610">
        <f>'[2]Daily Progress Report '!$O159</f>
        <v>0</v>
      </c>
      <c r="H161" s="610">
        <f>'[3]Daily Progress Report '!$O159</f>
        <v>0</v>
      </c>
      <c r="I161" s="610">
        <f>'[9]Daily Progress Report'!$O159</f>
        <v>0</v>
      </c>
      <c r="J161" s="610">
        <f>'[5]Daily Progress Report '!$O159</f>
        <v>0</v>
      </c>
      <c r="K161" s="610">
        <f>'[6]Daily Progress Report '!$O159</f>
        <v>0</v>
      </c>
      <c r="L161" s="610">
        <f>'[7]Daily Progress Report '!$O159</f>
        <v>0</v>
      </c>
      <c r="M161" s="610"/>
      <c r="N161" s="610">
        <f t="shared" si="54"/>
        <v>0</v>
      </c>
      <c r="O161" s="610">
        <f t="shared" si="45"/>
        <v>0</v>
      </c>
      <c r="P161" s="1406">
        <f t="shared" si="44"/>
        <v>0</v>
      </c>
    </row>
    <row r="162" spans="1:16" s="225" customFormat="1" ht="26.25">
      <c r="A162" s="1425">
        <v>32</v>
      </c>
      <c r="B162" s="1965" t="str">
        <f>'Direct cost summary '!B104</f>
        <v>Stone hauling</v>
      </c>
      <c r="C162" s="1965"/>
      <c r="D162" s="957" t="str">
        <f>'plan &amp; Unit price &amp; Direct cost'!D87</f>
        <v>m3</v>
      </c>
      <c r="E162" s="933">
        <f>'Direct cost summary '!J104</f>
        <v>132.01208804575239</v>
      </c>
      <c r="F162" s="610">
        <f>'[8]Daily Progress Report '!$O160</f>
        <v>0</v>
      </c>
      <c r="G162" s="610">
        <f>'[2]Daily Progress Report '!$O160</f>
        <v>0</v>
      </c>
      <c r="H162" s="610">
        <f>'[3]Daily Progress Report '!$O160</f>
        <v>0</v>
      </c>
      <c r="I162" s="610">
        <f>'[9]Daily Progress Report'!$O160</f>
        <v>96</v>
      </c>
      <c r="J162" s="610">
        <f>'[5]Daily Progress Report '!$O160</f>
        <v>0</v>
      </c>
      <c r="K162" s="610">
        <f>'[6]Daily Progress Report '!$O160</f>
        <v>0</v>
      </c>
      <c r="L162" s="610">
        <f>'[7]Daily Progress Report '!$O160</f>
        <v>0</v>
      </c>
      <c r="M162" s="610">
        <f>O162</f>
        <v>96</v>
      </c>
      <c r="N162" s="610">
        <f t="shared" si="54"/>
        <v>12673.160452392229</v>
      </c>
      <c r="O162" s="610">
        <f t="shared" si="45"/>
        <v>96</v>
      </c>
      <c r="P162" s="1406">
        <f t="shared" si="44"/>
        <v>12673.160452392229</v>
      </c>
    </row>
    <row r="163" spans="1:16" s="225" customFormat="1" ht="26.25">
      <c r="A163" s="1425">
        <v>33</v>
      </c>
      <c r="B163" s="1965" t="str">
        <f>'Direct cost summary '!B106</f>
        <v>Sand hauling</v>
      </c>
      <c r="C163" s="1965"/>
      <c r="D163" s="957" t="str">
        <f>'plan &amp; Unit price &amp; Direct cost'!D88</f>
        <v>m3</v>
      </c>
      <c r="E163" s="933">
        <f>'Direct cost summary '!J106</f>
        <v>26.598667038057144</v>
      </c>
      <c r="F163" s="610">
        <f>'[8]Daily Progress Report '!$O161</f>
        <v>0</v>
      </c>
      <c r="G163" s="610">
        <f>'[2]Daily Progress Report '!$O161</f>
        <v>0</v>
      </c>
      <c r="H163" s="610">
        <f>'[3]Daily Progress Report '!$O161</f>
        <v>0</v>
      </c>
      <c r="I163" s="610">
        <f>'[9]Daily Progress Report'!$O161</f>
        <v>0</v>
      </c>
      <c r="J163" s="610">
        <f>'[5]Daily Progress Report '!$O161</f>
        <v>12</v>
      </c>
      <c r="K163" s="610">
        <f>'[6]Daily Progress Report '!$O161</f>
        <v>0</v>
      </c>
      <c r="L163" s="610">
        <f>'[7]Daily Progress Report '!$O161</f>
        <v>0</v>
      </c>
      <c r="M163" s="610">
        <v>12</v>
      </c>
      <c r="N163" s="610">
        <f t="shared" si="54"/>
        <v>319.18400445668573</v>
      </c>
      <c r="O163" s="610">
        <f t="shared" si="45"/>
        <v>12</v>
      </c>
      <c r="P163" s="1406">
        <f t="shared" si="44"/>
        <v>319.18400445668573</v>
      </c>
    </row>
    <row r="164" spans="1:16" s="225" customFormat="1" ht="25.5" customHeight="1">
      <c r="A164" s="1425"/>
      <c r="B164" s="1975" t="str">
        <f>'plan &amp; Unit price &amp; Direct cost'!B89:C89</f>
        <v>Hauling of major backfill</v>
      </c>
      <c r="C164" s="1975"/>
      <c r="D164" s="961">
        <f>'plan &amp; Unit price &amp; Direct cost'!D89</f>
        <v>0</v>
      </c>
      <c r="E164" s="933">
        <f>'plan &amp; Unit price &amp; Direct cost'!E89</f>
        <v>0</v>
      </c>
      <c r="F164" s="610">
        <f>'[8]Daily Progress Report '!$O162</f>
        <v>0</v>
      </c>
      <c r="G164" s="610">
        <f>'[2]Daily Progress Report '!$O162</f>
        <v>0</v>
      </c>
      <c r="H164" s="610">
        <f>'[3]Daily Progress Report '!$O162</f>
        <v>0</v>
      </c>
      <c r="I164" s="610">
        <f>'[9]Daily Progress Report'!$O162</f>
        <v>0</v>
      </c>
      <c r="J164" s="610">
        <f>'[5]Daily Progress Report '!$O162</f>
        <v>0</v>
      </c>
      <c r="K164" s="610">
        <f>'[6]Daily Progress Report '!$O162</f>
        <v>0</v>
      </c>
      <c r="L164" s="610">
        <f>'[7]Daily Progress Report '!$O162</f>
        <v>0</v>
      </c>
      <c r="M164" s="610"/>
      <c r="N164" s="610">
        <f t="shared" si="54"/>
        <v>0</v>
      </c>
      <c r="O164" s="610">
        <f t="shared" si="45"/>
        <v>0</v>
      </c>
      <c r="P164" s="1406">
        <f t="shared" si="44"/>
        <v>0</v>
      </c>
    </row>
    <row r="165" spans="1:16" s="225" customFormat="1" ht="26.25">
      <c r="A165" s="1425">
        <v>34</v>
      </c>
      <c r="B165" s="1965" t="str">
        <f>'Direct cost summary '!B130</f>
        <v>Granular material Hauling</v>
      </c>
      <c r="C165" s="1965"/>
      <c r="D165" s="957" t="str">
        <f>'plan &amp; Unit price &amp; Direct cost'!D90</f>
        <v>m3</v>
      </c>
      <c r="E165" s="933">
        <f>'Direct cost summary '!J130</f>
        <v>53.2</v>
      </c>
      <c r="F165" s="610">
        <f>'[8]Daily Progress Report '!$O163</f>
        <v>0</v>
      </c>
      <c r="G165" s="610">
        <f>'[2]Daily Progress Report '!$O163</f>
        <v>0</v>
      </c>
      <c r="H165" s="610">
        <f>'[3]Daily Progress Report '!$O163</f>
        <v>0</v>
      </c>
      <c r="I165" s="610">
        <f>'[9]Daily Progress Report'!$O163</f>
        <v>120</v>
      </c>
      <c r="J165" s="610">
        <f>'[5]Daily Progress Report '!$O163</f>
        <v>24</v>
      </c>
      <c r="K165" s="610">
        <f>'[6]Daily Progress Report '!$O163</f>
        <v>0</v>
      </c>
      <c r="L165" s="610">
        <f>'[7]Daily Progress Report '!$O163</f>
        <v>0</v>
      </c>
      <c r="M165" s="610">
        <f>O165</f>
        <v>144</v>
      </c>
      <c r="N165" s="610">
        <f t="shared" si="54"/>
        <v>7660.8</v>
      </c>
      <c r="O165" s="610">
        <f t="shared" si="45"/>
        <v>144</v>
      </c>
      <c r="P165" s="1406">
        <f t="shared" si="44"/>
        <v>7660.8</v>
      </c>
    </row>
    <row r="166" spans="1:16" s="225" customFormat="1" ht="26.25">
      <c r="A166" s="1427">
        <v>35</v>
      </c>
      <c r="B166" s="2021" t="str">
        <f>'Direct cost summary '!B126</f>
        <v>Handlaid material Hauling</v>
      </c>
      <c r="C166" s="1974"/>
      <c r="D166" s="959" t="s">
        <v>273</v>
      </c>
      <c r="E166" s="934">
        <f>'Direct cost summary '!J126</f>
        <v>111</v>
      </c>
      <c r="F166" s="610">
        <f>'[8]Daily Progress Report '!$O164</f>
        <v>0</v>
      </c>
      <c r="G166" s="750">
        <f>'[2]Daily Progress Report '!$O164</f>
        <v>0</v>
      </c>
      <c r="H166" s="750">
        <f>'[3]Daily Progress Report '!$O164</f>
        <v>0</v>
      </c>
      <c r="I166" s="610">
        <f>'[9]Daily Progress Report'!$O164</f>
        <v>0</v>
      </c>
      <c r="J166" s="750">
        <f>'[5]Daily Progress Report '!$O164</f>
        <v>0</v>
      </c>
      <c r="K166" s="750">
        <f>'[6]Daily Progress Report '!$O164</f>
        <v>0</v>
      </c>
      <c r="L166" s="750">
        <f>'[7]Daily Progress Report '!$O164</f>
        <v>0</v>
      </c>
      <c r="M166" s="750"/>
      <c r="N166" s="750">
        <f t="shared" si="54"/>
        <v>0</v>
      </c>
      <c r="O166" s="750">
        <f t="shared" ref="O166" si="63">SUM(F166:L166)</f>
        <v>0</v>
      </c>
      <c r="P166" s="1428">
        <f t="shared" ref="P166" si="64">O166*E166</f>
        <v>0</v>
      </c>
    </row>
    <row r="167" spans="1:16" s="1390" customFormat="1" ht="42" customHeight="1">
      <c r="A167" s="2013" t="s">
        <v>193</v>
      </c>
      <c r="B167" s="2014"/>
      <c r="C167" s="2014"/>
      <c r="D167" s="957"/>
      <c r="E167" s="938"/>
      <c r="F167" s="610">
        <f>'[1]Daily Progress Report '!$O165</f>
        <v>0</v>
      </c>
      <c r="G167" s="610">
        <f>'[2]Daily Progress Report '!$O165</f>
        <v>0</v>
      </c>
      <c r="H167" s="610">
        <f>'[3]Daily Progress Report '!$O165</f>
        <v>0</v>
      </c>
      <c r="I167" s="610">
        <f>'[9]Daily Progress Report'!$O165</f>
        <v>0</v>
      </c>
      <c r="J167" s="610">
        <f>'[5]Daily Progress Report '!$O165</f>
        <v>0</v>
      </c>
      <c r="K167" s="610">
        <f>'[6]Daily Progress Report '!$O165</f>
        <v>0</v>
      </c>
      <c r="L167" s="610">
        <f>'[7]Daily Progress Report '!$O165</f>
        <v>0</v>
      </c>
      <c r="M167" s="610"/>
      <c r="N167" s="610">
        <f>SUM(N122:N166)</f>
        <v>89077.91944193824</v>
      </c>
      <c r="O167" s="610">
        <f t="shared" si="45"/>
        <v>0</v>
      </c>
      <c r="P167" s="1406">
        <f>SUM(P122:P166)</f>
        <v>83079.401441938244</v>
      </c>
    </row>
    <row r="168" spans="1:16" s="225" customFormat="1" ht="28.5" customHeight="1">
      <c r="A168" s="1429"/>
      <c r="B168" s="1975" t="str">
        <f>'plan &amp; Unit price &amp; Direct cost'!B92:C92</f>
        <v>Form work</v>
      </c>
      <c r="C168" s="1975"/>
      <c r="D168" s="960"/>
      <c r="E168" s="939"/>
      <c r="F168" s="751">
        <f>'[1]Daily Progress Report '!$O166</f>
        <v>0</v>
      </c>
      <c r="G168" s="751">
        <f>'[2]Daily Progress Report '!$O166</f>
        <v>0</v>
      </c>
      <c r="H168" s="751">
        <f>'[3]Daily Progress Report '!$O166</f>
        <v>0</v>
      </c>
      <c r="I168" s="610">
        <f>'[9]Daily Progress Report'!$O166</f>
        <v>0</v>
      </c>
      <c r="J168" s="751">
        <f>'[5]Daily Progress Report '!$O166</f>
        <v>0</v>
      </c>
      <c r="K168" s="751">
        <f>'[6]Daily Progress Report '!$O166</f>
        <v>0</v>
      </c>
      <c r="L168" s="751">
        <f>'[7]Daily Progress Report '!$O166</f>
        <v>0</v>
      </c>
      <c r="M168" s="751"/>
      <c r="N168" s="751">
        <f t="shared" si="54"/>
        <v>0</v>
      </c>
      <c r="O168" s="751">
        <f t="shared" si="45"/>
        <v>0</v>
      </c>
      <c r="P168" s="1420"/>
    </row>
    <row r="169" spans="1:16" s="225" customFormat="1" ht="28.5" customHeight="1">
      <c r="A169" s="1425">
        <v>1</v>
      </c>
      <c r="B169" s="2016" t="str">
        <f>'Direct cost summary '!B183</f>
        <v>Rebar bending &amp; Placing</v>
      </c>
      <c r="C169" s="2016"/>
      <c r="D169" s="957" t="str">
        <f>'plan &amp; Unit price &amp; Direct cost'!D93</f>
        <v>m2</v>
      </c>
      <c r="E169" s="938">
        <f>'Direct cost summary '!J183</f>
        <v>49</v>
      </c>
      <c r="F169" s="610">
        <f>'[8]Daily Progress Report '!$O167</f>
        <v>0</v>
      </c>
      <c r="G169" s="610">
        <f>'[2]Daily Progress Report '!$O167</f>
        <v>0</v>
      </c>
      <c r="H169" s="610">
        <f>'[3]Daily Progress Report '!$H$167</f>
        <v>0</v>
      </c>
      <c r="I169" s="610">
        <f>'[9]Daily Progress Report'!$O167</f>
        <v>0</v>
      </c>
      <c r="J169" s="610">
        <f>'[5]Daily Progress Report '!$J$167</f>
        <v>0</v>
      </c>
      <c r="K169" s="610">
        <f>'[6]Daily Progress Report '!$K$167</f>
        <v>0</v>
      </c>
      <c r="L169" s="610">
        <f>'[7]Daily Progress Report '!$L$167</f>
        <v>0</v>
      </c>
      <c r="M169" s="610"/>
      <c r="N169" s="610">
        <f t="shared" si="54"/>
        <v>0</v>
      </c>
      <c r="O169" s="610">
        <f t="shared" si="45"/>
        <v>0</v>
      </c>
      <c r="P169" s="1410">
        <f>O169*E169</f>
        <v>0</v>
      </c>
    </row>
    <row r="170" spans="1:16" s="225" customFormat="1" ht="28.5" customHeight="1">
      <c r="A170" s="1425">
        <v>2</v>
      </c>
      <c r="B170" s="2016" t="str">
        <f>'Direct cost summary '!B185</f>
        <v>Form work(Major)</v>
      </c>
      <c r="C170" s="2016"/>
      <c r="D170" s="957" t="str">
        <f>'plan &amp; Unit price &amp; Direct cost'!D94</f>
        <v>m2</v>
      </c>
      <c r="E170" s="933">
        <f>'Direct cost summary '!J185</f>
        <v>1000</v>
      </c>
      <c r="F170" s="610">
        <f>'[8]Daily Progress Report '!$O168</f>
        <v>0</v>
      </c>
      <c r="G170" s="610">
        <f>'[2]Daily Progress Report '!$G$168</f>
        <v>0</v>
      </c>
      <c r="H170" s="610">
        <f>'[3]Daily Progress Report '!$H$168</f>
        <v>0</v>
      </c>
      <c r="I170" s="610">
        <f>'[9]Daily Progress Report'!$O168</f>
        <v>0</v>
      </c>
      <c r="J170" s="610">
        <f>'[5]Daily Progress Report '!$J$168</f>
        <v>0</v>
      </c>
      <c r="K170" s="610">
        <f>'[6]Daily Progress Report '!$K$168</f>
        <v>0</v>
      </c>
      <c r="L170" s="610">
        <f>'[7]Daily Progress Report '!$L$168</f>
        <v>0</v>
      </c>
      <c r="M170" s="610"/>
      <c r="N170" s="610">
        <f t="shared" si="54"/>
        <v>0</v>
      </c>
      <c r="O170" s="610">
        <f t="shared" si="45"/>
        <v>0</v>
      </c>
      <c r="P170" s="1408">
        <f>O170*E170</f>
        <v>0</v>
      </c>
    </row>
    <row r="171" spans="1:16" s="225" customFormat="1" ht="28.5" customHeight="1">
      <c r="A171" s="1425">
        <v>3</v>
      </c>
      <c r="B171" s="2015" t="str">
        <f>'Direct cost summary '!B140</f>
        <v>Falsework</v>
      </c>
      <c r="C171" s="2015"/>
      <c r="D171" s="962" t="s">
        <v>255</v>
      </c>
      <c r="E171" s="933">
        <f>'Direct cost summary '!J140</f>
        <v>126.16564843828195</v>
      </c>
      <c r="F171" s="610">
        <f>'[8]Daily Progress Report '!$O169</f>
        <v>0</v>
      </c>
      <c r="G171" s="610">
        <f>'[2]Daily Progress Report '!$G$169</f>
        <v>0</v>
      </c>
      <c r="H171" s="610">
        <f>'[3]Daily Progress Report '!$H$169</f>
        <v>0</v>
      </c>
      <c r="I171" s="610">
        <f>'[9]Daily Progress Report'!$O169</f>
        <v>0</v>
      </c>
      <c r="J171" s="610">
        <f>'[5]Daily Progress Report '!$J$169</f>
        <v>0</v>
      </c>
      <c r="K171" s="610">
        <f>'[6]Daily Progress Report '!$K$169</f>
        <v>0</v>
      </c>
      <c r="L171" s="610">
        <f>'[7]Daily Progress Report '!$L$169</f>
        <v>0</v>
      </c>
      <c r="M171" s="610"/>
      <c r="N171" s="610">
        <f t="shared" si="54"/>
        <v>0</v>
      </c>
      <c r="O171" s="610">
        <f t="shared" si="45"/>
        <v>0</v>
      </c>
      <c r="P171" s="1408">
        <f>O171*E171</f>
        <v>0</v>
      </c>
    </row>
    <row r="172" spans="1:16" s="225" customFormat="1" ht="28.5" customHeight="1">
      <c r="A172" s="1430"/>
      <c r="B172" s="2009" t="str">
        <f>'plan &amp; Unit price &amp; Direct cost'!B96:C96</f>
        <v>Sub Total</v>
      </c>
      <c r="C172" s="2009"/>
      <c r="D172" s="962"/>
      <c r="E172" s="1391"/>
      <c r="F172" s="610"/>
      <c r="G172" s="610"/>
      <c r="H172" s="1392"/>
      <c r="I172" s="1392"/>
      <c r="J172" s="1392"/>
      <c r="K172" s="1392"/>
      <c r="L172" s="1392"/>
      <c r="M172" s="610"/>
      <c r="N172" s="610">
        <f>SUM(N169:N171)</f>
        <v>0</v>
      </c>
      <c r="O172" s="610">
        <f t="shared" ref="O172:O173" si="65">SUM(F172:L172)</f>
        <v>0</v>
      </c>
      <c r="P172" s="1406">
        <f>SUM(P169:P171)</f>
        <v>0</v>
      </c>
    </row>
    <row r="173" spans="1:16" s="1390" customFormat="1" ht="20.100000000000001" customHeight="1" thickBot="1">
      <c r="A173" s="2010" t="str">
        <f>'plan &amp; Unit price &amp; Direct cost'!A97:C97</f>
        <v>Grand Total</v>
      </c>
      <c r="B173" s="2011"/>
      <c r="C173" s="2011"/>
      <c r="D173" s="1431"/>
      <c r="E173" s="1432"/>
      <c r="F173" s="1433">
        <v>0</v>
      </c>
      <c r="G173" s="1433">
        <v>0</v>
      </c>
      <c r="H173" s="1434">
        <v>0</v>
      </c>
      <c r="I173" s="1434">
        <v>0</v>
      </c>
      <c r="J173" s="1434">
        <v>0</v>
      </c>
      <c r="K173" s="1434">
        <v>0</v>
      </c>
      <c r="L173" s="1434">
        <v>0</v>
      </c>
      <c r="M173" s="1433"/>
      <c r="N173" s="1435">
        <f>N172+N167+N119+N61+N56+N40+N26+N23</f>
        <v>2514309.1958500594</v>
      </c>
      <c r="O173" s="1433">
        <f t="shared" si="65"/>
        <v>0</v>
      </c>
      <c r="P173" s="1436">
        <f>P172+P167+P119+P61+P56+P40+P26+P23</f>
        <v>1669120.712527642</v>
      </c>
    </row>
    <row r="174" spans="1:16" s="235" customFormat="1" ht="12.75" hidden="1" customHeight="1" thickTop="1">
      <c r="A174" s="2012" t="str">
        <f>'plan &amp; Unit price &amp; Direct cost'!A98:C98</f>
        <v>UNPAID ITEMS</v>
      </c>
      <c r="B174" s="2012"/>
      <c r="C174" s="2012"/>
      <c r="D174" s="963"/>
      <c r="E174" s="942"/>
      <c r="F174" s="603"/>
      <c r="G174" s="603"/>
      <c r="H174" s="604"/>
      <c r="I174" s="604"/>
      <c r="J174" s="604"/>
      <c r="K174" s="604"/>
      <c r="L174" s="604"/>
      <c r="M174" s="605"/>
      <c r="N174" s="602"/>
      <c r="O174" s="606"/>
      <c r="P174" s="947"/>
    </row>
    <row r="175" spans="1:16" ht="12.75" hidden="1" customHeight="1">
      <c r="A175" s="2008" t="str">
        <f>'plan &amp; Unit price &amp; Direct cost'!A99:C99</f>
        <v>Pond Construction</v>
      </c>
      <c r="B175" s="2008"/>
      <c r="C175" s="2008"/>
      <c r="D175" s="964" t="s">
        <v>96</v>
      </c>
      <c r="E175" s="941">
        <f>'plan &amp; Unit price &amp; Direct cost'!E99</f>
        <v>0</v>
      </c>
      <c r="F175" s="236"/>
      <c r="G175" s="237"/>
      <c r="H175" s="238"/>
      <c r="I175" s="238"/>
      <c r="J175" s="238"/>
      <c r="K175" s="238"/>
      <c r="L175" s="238"/>
      <c r="M175" s="233"/>
      <c r="N175" s="232"/>
      <c r="O175" s="239"/>
      <c r="P175" s="948"/>
    </row>
    <row r="176" spans="1:16" ht="12.75" hidden="1" customHeight="1">
      <c r="A176" s="2008" t="str">
        <f>'plan &amp; Unit price &amp; Direct cost'!A100:C100</f>
        <v>Camp construction</v>
      </c>
      <c r="B176" s="2008"/>
      <c r="C176" s="2008"/>
      <c r="D176" s="964" t="s">
        <v>261</v>
      </c>
      <c r="E176" s="943">
        <f>'plan &amp; Unit price &amp; Direct cost'!E100</f>
        <v>0</v>
      </c>
      <c r="F176" s="240"/>
      <c r="G176" s="240"/>
      <c r="H176" s="240"/>
      <c r="I176" s="240"/>
      <c r="J176" s="240"/>
      <c r="K176" s="240"/>
      <c r="L176" s="240"/>
      <c r="M176" s="233"/>
      <c r="N176" s="231"/>
      <c r="O176" s="239"/>
      <c r="P176" s="949"/>
    </row>
    <row r="177" spans="1:16" ht="12.75" hidden="1" customHeight="1">
      <c r="A177" s="2008" t="s">
        <v>271</v>
      </c>
      <c r="B177" s="2008"/>
      <c r="C177" s="2008"/>
      <c r="D177" s="964" t="str">
        <f>'plan &amp; Unit price &amp; Direct cost'!D101</f>
        <v>km</v>
      </c>
      <c r="E177" s="941">
        <f>'plan &amp; Unit price &amp; Direct cost'!E101</f>
        <v>0</v>
      </c>
      <c r="F177" s="236"/>
      <c r="G177" s="237"/>
      <c r="H177" s="238"/>
      <c r="I177" s="238"/>
      <c r="J177" s="238"/>
      <c r="K177" s="238"/>
      <c r="L177" s="238"/>
      <c r="M177" s="233"/>
      <c r="N177" s="232"/>
      <c r="O177" s="239"/>
      <c r="P177" s="948"/>
    </row>
    <row r="178" spans="1:16" ht="24" hidden="1" thickTop="1">
      <c r="A178" s="2008" t="s">
        <v>272</v>
      </c>
      <c r="B178" s="2008"/>
      <c r="C178" s="2008"/>
      <c r="D178" s="964" t="s">
        <v>273</v>
      </c>
      <c r="E178" s="943">
        <f>'plan &amp; Unit price &amp; Direct cost'!E102</f>
        <v>0</v>
      </c>
      <c r="F178" s="240"/>
      <c r="G178" s="237"/>
      <c r="H178" s="240"/>
      <c r="I178" s="240"/>
      <c r="J178" s="240"/>
      <c r="K178" s="240"/>
      <c r="L178" s="240"/>
      <c r="M178" s="234"/>
      <c r="N178" s="967"/>
      <c r="O178" s="239"/>
      <c r="P178" s="950"/>
    </row>
    <row r="179" spans="1:16" ht="24.75" hidden="1" thickTop="1" thickBot="1">
      <c r="A179" s="2008" t="s">
        <v>274</v>
      </c>
      <c r="B179" s="2008"/>
      <c r="C179" s="2008"/>
      <c r="D179" s="964" t="s">
        <v>273</v>
      </c>
      <c r="E179" s="944">
        <f>'plan &amp; Unit price &amp; Direct cost'!E103</f>
        <v>0</v>
      </c>
      <c r="F179" s="241"/>
      <c r="G179" s="237"/>
      <c r="H179" s="242"/>
      <c r="I179" s="242"/>
      <c r="J179" s="242"/>
      <c r="K179" s="242"/>
      <c r="L179" s="242"/>
      <c r="M179" s="243"/>
      <c r="N179" s="969"/>
      <c r="O179" s="244"/>
      <c r="P179" s="951"/>
    </row>
    <row r="180" spans="1:16" ht="16.5" customHeight="1">
      <c r="A180" s="397"/>
      <c r="D180" s="965"/>
      <c r="E180" s="945"/>
      <c r="F180" s="245"/>
      <c r="G180" s="246"/>
      <c r="H180" s="247"/>
      <c r="I180" s="248"/>
      <c r="J180" s="249"/>
      <c r="K180" s="249"/>
      <c r="L180" s="249"/>
    </row>
    <row r="181" spans="1:16" ht="16.5" customHeight="1">
      <c r="A181" s="880"/>
      <c r="D181" s="965"/>
      <c r="E181" s="945"/>
      <c r="J181" s="90"/>
      <c r="L181" s="2018"/>
      <c r="M181" s="2018"/>
      <c r="N181" s="2018"/>
      <c r="O181" s="2018"/>
      <c r="P181" s="2018"/>
    </row>
    <row r="182" spans="1:16" ht="16.5" customHeight="1">
      <c r="A182" s="880"/>
      <c r="D182" s="965"/>
      <c r="E182" s="945"/>
      <c r="F182" s="611"/>
      <c r="J182" s="90"/>
      <c r="L182" s="612"/>
      <c r="N182" s="1571"/>
    </row>
    <row r="183" spans="1:16" ht="16.5" customHeight="1">
      <c r="A183" s="880"/>
      <c r="D183" s="965"/>
      <c r="E183" s="945"/>
      <c r="J183" s="90"/>
    </row>
    <row r="184" spans="1:16">
      <c r="A184" s="880"/>
      <c r="D184" s="965"/>
      <c r="E184" s="945"/>
      <c r="J184" s="90"/>
    </row>
    <row r="185" spans="1:16" ht="16.5" customHeight="1">
      <c r="A185" s="880"/>
      <c r="D185" s="965"/>
      <c r="E185" s="945"/>
      <c r="J185" s="90"/>
    </row>
    <row r="186" spans="1:16" ht="16.5" customHeight="1">
      <c r="A186" s="880"/>
      <c r="D186" s="965"/>
      <c r="E186" s="945"/>
      <c r="J186" s="90"/>
    </row>
    <row r="187" spans="1:16" ht="16.5" customHeight="1">
      <c r="A187" s="880"/>
      <c r="D187" s="965"/>
      <c r="E187" s="945"/>
      <c r="J187" s="90"/>
    </row>
    <row r="188" spans="1:16" ht="16.5" customHeight="1">
      <c r="A188" s="880"/>
      <c r="D188" s="965"/>
      <c r="E188" s="945"/>
      <c r="J188" s="90"/>
    </row>
  </sheetData>
  <mergeCells count="183">
    <mergeCell ref="L181:P181"/>
    <mergeCell ref="B91:C91"/>
    <mergeCell ref="B92:C92"/>
    <mergeCell ref="B98:C98"/>
    <mergeCell ref="B99:C99"/>
    <mergeCell ref="B100:C100"/>
    <mergeCell ref="B101:C101"/>
    <mergeCell ref="B102:C102"/>
    <mergeCell ref="B103:C103"/>
    <mergeCell ref="B104:C104"/>
    <mergeCell ref="B108:C108"/>
    <mergeCell ref="B109:C109"/>
    <mergeCell ref="B105:C105"/>
    <mergeCell ref="B114:C114"/>
    <mergeCell ref="B115:C115"/>
    <mergeCell ref="B116:C116"/>
    <mergeCell ref="B117:C117"/>
    <mergeCell ref="A119:C119"/>
    <mergeCell ref="B118:C118"/>
    <mergeCell ref="B123:C123"/>
    <mergeCell ref="B125:C125"/>
    <mergeCell ref="B156:C156"/>
    <mergeCell ref="B157:C157"/>
    <mergeCell ref="B166:C166"/>
    <mergeCell ref="B163:C163"/>
    <mergeCell ref="A121:C121"/>
    <mergeCell ref="B122:C122"/>
    <mergeCell ref="B161:C161"/>
    <mergeCell ref="B162:C162"/>
    <mergeCell ref="B124:C124"/>
    <mergeCell ref="B128:C128"/>
    <mergeCell ref="B134:C134"/>
    <mergeCell ref="B126:C126"/>
    <mergeCell ref="B127:C127"/>
    <mergeCell ref="B129:C129"/>
    <mergeCell ref="B130:C130"/>
    <mergeCell ref="B131:C131"/>
    <mergeCell ref="B132:C132"/>
    <mergeCell ref="B133:C133"/>
    <mergeCell ref="B135:C135"/>
    <mergeCell ref="B136:C136"/>
    <mergeCell ref="B137:C137"/>
    <mergeCell ref="B158:C158"/>
    <mergeCell ref="B159:C159"/>
    <mergeCell ref="B138:C138"/>
    <mergeCell ref="B139:C139"/>
    <mergeCell ref="B140:C140"/>
    <mergeCell ref="B150:C150"/>
    <mergeCell ref="A179:C179"/>
    <mergeCell ref="B172:C172"/>
    <mergeCell ref="A173:C173"/>
    <mergeCell ref="A174:C174"/>
    <mergeCell ref="A175:C175"/>
    <mergeCell ref="A176:C176"/>
    <mergeCell ref="A177:C177"/>
    <mergeCell ref="A178:C178"/>
    <mergeCell ref="B164:C164"/>
    <mergeCell ref="B165:C165"/>
    <mergeCell ref="A167:C167"/>
    <mergeCell ref="B168:C168"/>
    <mergeCell ref="B171:C171"/>
    <mergeCell ref="B169:C169"/>
    <mergeCell ref="B170:C170"/>
    <mergeCell ref="B153:C153"/>
    <mergeCell ref="B154:C154"/>
    <mergeCell ref="B155:C155"/>
    <mergeCell ref="B151:C151"/>
    <mergeCell ref="B152:C152"/>
    <mergeCell ref="B160:C160"/>
    <mergeCell ref="B110:C110"/>
    <mergeCell ref="B111:C111"/>
    <mergeCell ref="B112:C112"/>
    <mergeCell ref="B113:C113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A120:D120"/>
    <mergeCell ref="B80:C80"/>
    <mergeCell ref="B81:C81"/>
    <mergeCell ref="B82:C82"/>
    <mergeCell ref="B78:C78"/>
    <mergeCell ref="B79:C79"/>
    <mergeCell ref="B93:C93"/>
    <mergeCell ref="B94:C94"/>
    <mergeCell ref="B95:C95"/>
    <mergeCell ref="B96:C96"/>
    <mergeCell ref="B97:C97"/>
    <mergeCell ref="B83:C83"/>
    <mergeCell ref="B84:C84"/>
    <mergeCell ref="B85:C85"/>
    <mergeCell ref="B86:C86"/>
    <mergeCell ref="B87:C87"/>
    <mergeCell ref="B106:C106"/>
    <mergeCell ref="B107:C107"/>
    <mergeCell ref="B88:C88"/>
    <mergeCell ref="B89:C89"/>
    <mergeCell ref="B90:C90"/>
    <mergeCell ref="B77:C77"/>
    <mergeCell ref="A56:C56"/>
    <mergeCell ref="A57:C57"/>
    <mergeCell ref="B58:C58"/>
    <mergeCell ref="B59:C59"/>
    <mergeCell ref="B60:C60"/>
    <mergeCell ref="A61:C61"/>
    <mergeCell ref="A62:C62"/>
    <mergeCell ref="A64:C64"/>
    <mergeCell ref="B65:C65"/>
    <mergeCell ref="B63:D63"/>
    <mergeCell ref="B66:C66"/>
    <mergeCell ref="B68:C68"/>
    <mergeCell ref="B69:C69"/>
    <mergeCell ref="B70:C70"/>
    <mergeCell ref="B72:C72"/>
    <mergeCell ref="B73:C73"/>
    <mergeCell ref="B74:C74"/>
    <mergeCell ref="B75:C75"/>
    <mergeCell ref="B76:C76"/>
    <mergeCell ref="B67:C67"/>
    <mergeCell ref="B71:C71"/>
    <mergeCell ref="B46:C46"/>
    <mergeCell ref="B47:C47"/>
    <mergeCell ref="B48:C48"/>
    <mergeCell ref="B43:C43"/>
    <mergeCell ref="B44:C44"/>
    <mergeCell ref="B54:C54"/>
    <mergeCell ref="B55:C55"/>
    <mergeCell ref="B53:C53"/>
    <mergeCell ref="B49:C49"/>
    <mergeCell ref="B50:C50"/>
    <mergeCell ref="B51:C51"/>
    <mergeCell ref="B52:C52"/>
    <mergeCell ref="B37:C37"/>
    <mergeCell ref="B29:C29"/>
    <mergeCell ref="B33:C33"/>
    <mergeCell ref="B38:C38"/>
    <mergeCell ref="B39:C39"/>
    <mergeCell ref="A40:C40"/>
    <mergeCell ref="A41:C41"/>
    <mergeCell ref="B42:C42"/>
    <mergeCell ref="B45:C45"/>
    <mergeCell ref="A27:C27"/>
    <mergeCell ref="B28:C28"/>
    <mergeCell ref="B30:C30"/>
    <mergeCell ref="B31:C31"/>
    <mergeCell ref="B32:C32"/>
    <mergeCell ref="B34:C34"/>
    <mergeCell ref="B21:C21"/>
    <mergeCell ref="B35:C35"/>
    <mergeCell ref="B36:C36"/>
    <mergeCell ref="A8:C8"/>
    <mergeCell ref="B9:C9"/>
    <mergeCell ref="B10:C10"/>
    <mergeCell ref="B12:C12"/>
    <mergeCell ref="B11:C11"/>
    <mergeCell ref="A1:P1"/>
    <mergeCell ref="A2:P2"/>
    <mergeCell ref="A3:P3"/>
    <mergeCell ref="N5:O5"/>
    <mergeCell ref="B6:C7"/>
    <mergeCell ref="D6:D7"/>
    <mergeCell ref="E6:E7"/>
    <mergeCell ref="M6:N6"/>
    <mergeCell ref="O6:P6"/>
    <mergeCell ref="A6:A7"/>
    <mergeCell ref="B13:C13"/>
    <mergeCell ref="B14:C14"/>
    <mergeCell ref="B15:C15"/>
    <mergeCell ref="B16:C16"/>
    <mergeCell ref="B17:C17"/>
    <mergeCell ref="A23:C23"/>
    <mergeCell ref="A24:C24"/>
    <mergeCell ref="B25:C25"/>
    <mergeCell ref="A26:C26"/>
    <mergeCell ref="B20:C20"/>
    <mergeCell ref="B22:C22"/>
    <mergeCell ref="B19:C19"/>
    <mergeCell ref="B18:C18"/>
  </mergeCells>
  <printOptions horizontalCentered="1"/>
  <pageMargins left="0" right="0" top="0.38" bottom="0" header="0" footer="0"/>
  <pageSetup paperSize="9" scale="33" firstPageNumber="0" fitToHeight="0" orientation="portrait" r:id="rId1"/>
  <headerFooter scaleWithDoc="0">
    <oddFooter>&amp;LPrepared By_______________
FASIL N.&amp;CChecked By________________
NATAN K.&amp;RApproved By _______________
AMARE M.</oddFooter>
  </headerFooter>
  <rowBreaks count="2" manualBreakCount="2">
    <brk id="61" max="15" man="1"/>
    <brk id="120" max="1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2"/>
  <sheetViews>
    <sheetView view="pageBreakPreview" topLeftCell="A105" zoomScale="60" zoomScaleNormal="70" zoomScalePageLayoutView="60" workbookViewId="0">
      <selection activeCell="D61" sqref="D61"/>
    </sheetView>
  </sheetViews>
  <sheetFormatPr defaultRowHeight="25.5"/>
  <cols>
    <col min="1" max="1" width="32.140625" style="135" customWidth="1"/>
    <col min="2" max="2" width="40.7109375" style="135" customWidth="1"/>
    <col min="3" max="3" width="43.140625" style="1454" customWidth="1"/>
    <col min="4" max="4" width="43.28515625" style="1454" customWidth="1"/>
    <col min="5" max="5" width="21.85546875" style="135" customWidth="1"/>
    <col min="6" max="6" width="22.140625" style="135" customWidth="1"/>
    <col min="7" max="7" width="34.42578125" style="135" customWidth="1"/>
    <col min="8" max="8" width="44.42578125" style="135" customWidth="1"/>
    <col min="9" max="9" width="24.140625" style="135" bestFit="1" customWidth="1"/>
    <col min="10" max="10" width="28.42578125" style="135" bestFit="1" customWidth="1"/>
    <col min="11" max="11" width="20.140625" style="135" bestFit="1" customWidth="1"/>
    <col min="12" max="12" width="24.85546875" style="135" bestFit="1" customWidth="1"/>
    <col min="13" max="13" width="28.42578125" style="135" bestFit="1" customWidth="1"/>
    <col min="14" max="14" width="30.42578125" style="135" bestFit="1" customWidth="1"/>
    <col min="15" max="15" width="22" style="135" bestFit="1" customWidth="1"/>
    <col min="16" max="16" width="7.28515625" style="135" customWidth="1"/>
    <col min="17" max="17" width="43.42578125" style="135" bestFit="1" customWidth="1"/>
    <col min="18" max="18" width="54.140625" style="135" bestFit="1" customWidth="1"/>
    <col min="19" max="19" width="27" style="135" customWidth="1"/>
    <col min="20" max="20" width="28.5703125" style="135" customWidth="1"/>
    <col min="21" max="21" width="30.85546875" style="135" customWidth="1"/>
    <col min="22" max="22" width="14.85546875" style="251" customWidth="1"/>
    <col min="23" max="23" width="17.28515625" style="251" customWidth="1"/>
    <col min="24" max="24" width="11.5703125" style="251" customWidth="1"/>
    <col min="25" max="25" width="13.7109375" style="135" customWidth="1"/>
    <col min="26" max="27" width="9.140625" style="135"/>
    <col min="28" max="28" width="9.140625" style="252"/>
    <col min="29" max="29" width="12.42578125" style="253" customWidth="1"/>
    <col min="30" max="30" width="12" style="1453" customWidth="1"/>
    <col min="31" max="31" width="11.7109375" style="1453" customWidth="1"/>
    <col min="32" max="32" width="35.85546875" style="1453" bestFit="1" customWidth="1"/>
    <col min="33" max="33" width="24" style="1453" bestFit="1" customWidth="1"/>
    <col min="34" max="34" width="14.140625" style="1453" bestFit="1" customWidth="1"/>
    <col min="35" max="35" width="44.7109375" style="1453" bestFit="1" customWidth="1"/>
    <col min="36" max="36" width="38.7109375" style="1453" bestFit="1" customWidth="1"/>
    <col min="37" max="37" width="16.5703125" style="1453" bestFit="1" customWidth="1"/>
    <col min="38" max="38" width="24.42578125" style="1453" bestFit="1" customWidth="1"/>
    <col min="39" max="39" width="30.5703125" style="252" bestFit="1" customWidth="1"/>
    <col min="40" max="40" width="27.5703125" style="252" bestFit="1" customWidth="1"/>
    <col min="41" max="41" width="31.5703125" style="252" bestFit="1" customWidth="1"/>
    <col min="42" max="42" width="14.42578125" style="252" bestFit="1" customWidth="1"/>
    <col min="43" max="46" width="9.140625" style="252"/>
    <col min="47" max="1025" width="9.140625" style="135"/>
    <col min="1026" max="16384" width="9.140625" style="621"/>
  </cols>
  <sheetData>
    <row r="1" spans="1:1025" ht="28.5" customHeight="1" thickBot="1">
      <c r="A1" s="2063" t="str">
        <f>[10]Cons.Mat.Evalu.!A1</f>
        <v>Cross-land Construction Company</v>
      </c>
      <c r="B1" s="2063"/>
      <c r="C1" s="2063"/>
      <c r="D1" s="2063"/>
      <c r="E1" s="2063"/>
      <c r="F1" s="2063"/>
      <c r="G1" s="2063"/>
      <c r="H1" s="2063"/>
      <c r="I1" s="2063"/>
      <c r="J1" s="2063"/>
      <c r="K1" s="2063"/>
      <c r="L1" s="2063"/>
      <c r="M1" s="2063"/>
      <c r="N1" s="255" t="s">
        <v>275</v>
      </c>
      <c r="O1" s="255"/>
      <c r="P1" s="256"/>
      <c r="R1" s="257"/>
      <c r="S1" s="2023" t="s">
        <v>276</v>
      </c>
      <c r="T1" s="2023"/>
      <c r="U1" s="1440"/>
      <c r="V1" s="2023" t="s">
        <v>277</v>
      </c>
      <c r="W1" s="2023"/>
      <c r="X1" s="2023"/>
      <c r="Y1" s="2023"/>
      <c r="Z1" s="1445"/>
      <c r="AA1" s="1440"/>
      <c r="AB1" s="260"/>
      <c r="AC1" s="2076" t="s">
        <v>278</v>
      </c>
      <c r="AD1" s="2076"/>
      <c r="AE1" s="2076"/>
      <c r="AF1" s="2076"/>
      <c r="AG1" s="2076"/>
      <c r="AH1" s="2076"/>
      <c r="AI1" s="2076"/>
      <c r="AJ1" s="2076"/>
      <c r="AK1" s="2049"/>
      <c r="AL1" s="2049"/>
      <c r="AM1" s="261" t="s">
        <v>279</v>
      </c>
      <c r="AN1" s="260"/>
      <c r="AO1" s="260"/>
    </row>
    <row r="2" spans="1:1025" ht="56.25" thickBot="1">
      <c r="A2" s="2077" t="str">
        <f>'[10]Weekly Progress Report'!A2</f>
        <v>Project: Haro sebu-Lelo-Qaqe</v>
      </c>
      <c r="B2" s="2077"/>
      <c r="C2" s="2077"/>
      <c r="D2" s="2077"/>
      <c r="E2" s="2077"/>
      <c r="F2" s="2077"/>
      <c r="G2" s="2077"/>
      <c r="H2" s="2077"/>
      <c r="I2" s="2077"/>
      <c r="J2" s="2077"/>
      <c r="K2" s="2077"/>
      <c r="L2" s="2077"/>
      <c r="M2" s="2077"/>
      <c r="N2" s="255" t="s">
        <v>280</v>
      </c>
      <c r="O2" s="255"/>
      <c r="P2" s="262"/>
      <c r="Q2" s="263" t="s">
        <v>281</v>
      </c>
      <c r="R2" s="264" t="s">
        <v>282</v>
      </c>
      <c r="S2" s="265">
        <v>11.65</v>
      </c>
      <c r="T2" s="1553">
        <f>B16</f>
        <v>15178</v>
      </c>
      <c r="U2" s="1548">
        <f>S2*T2</f>
        <v>176823.7</v>
      </c>
      <c r="V2" s="268" t="s">
        <v>283</v>
      </c>
      <c r="W2" s="269">
        <v>32.002499999999998</v>
      </c>
      <c r="X2" s="270">
        <v>26</v>
      </c>
      <c r="Y2" s="271">
        <f t="shared" ref="Y2:Y12" si="0">W2*X2</f>
        <v>832.06499999999994</v>
      </c>
      <c r="Z2" s="272"/>
      <c r="AA2" s="273"/>
      <c r="AB2" s="260"/>
      <c r="AC2" s="274" t="s">
        <v>13</v>
      </c>
      <c r="AD2" s="1509" t="s">
        <v>284</v>
      </c>
      <c r="AE2" s="1509" t="s">
        <v>285</v>
      </c>
      <c r="AF2" s="1509"/>
      <c r="AG2" s="1509"/>
      <c r="AH2" s="1509" t="s">
        <v>286</v>
      </c>
      <c r="AI2" s="1509" t="s">
        <v>287</v>
      </c>
      <c r="AJ2" s="1507"/>
      <c r="AK2" s="1510"/>
      <c r="AL2" s="1507"/>
      <c r="AM2" s="278"/>
      <c r="AN2" s="260"/>
      <c r="AO2" s="260"/>
    </row>
    <row r="3" spans="1:1025" ht="29.25" thickTop="1" thickBot="1">
      <c r="N3" s="279"/>
      <c r="O3" s="649"/>
      <c r="P3" s="262"/>
      <c r="R3" s="281" t="s">
        <v>288</v>
      </c>
      <c r="S3" s="265">
        <v>11.65</v>
      </c>
      <c r="T3" s="1552">
        <f>C16</f>
        <v>5418</v>
      </c>
      <c r="U3" s="1548">
        <f>S3*T3</f>
        <v>63119.700000000004</v>
      </c>
      <c r="V3" s="283" t="s">
        <v>289</v>
      </c>
      <c r="W3" s="284">
        <v>1453.2</v>
      </c>
      <c r="X3" s="284"/>
      <c r="Y3" s="271">
        <f t="shared" si="0"/>
        <v>0</v>
      </c>
      <c r="Z3" s="272"/>
      <c r="AA3" s="273"/>
      <c r="AB3" s="260"/>
      <c r="AC3" s="285"/>
      <c r="AD3" s="1506"/>
      <c r="AE3" s="1506"/>
      <c r="AF3" s="1506"/>
      <c r="AG3" s="1506"/>
      <c r="AH3" s="1506"/>
      <c r="AI3" s="1506"/>
      <c r="AJ3" s="1504"/>
      <c r="AK3" s="1505"/>
      <c r="AL3" s="1504"/>
      <c r="AM3" s="289"/>
      <c r="AN3" s="260"/>
      <c r="AO3" s="260"/>
    </row>
    <row r="4" spans="1:1025" ht="31.5" thickBot="1">
      <c r="B4" s="290"/>
      <c r="C4" s="1551"/>
      <c r="D4" s="1551"/>
      <c r="E4" s="292"/>
      <c r="F4" s="292"/>
      <c r="G4" s="2085" t="str">
        <f>'Weekly Machinery Ex'!P3</f>
        <v>Week 32  ((23-29)-08-07)</v>
      </c>
      <c r="H4" s="2085"/>
      <c r="I4" s="292"/>
      <c r="J4" s="293"/>
      <c r="K4" s="294"/>
      <c r="L4" s="290"/>
      <c r="M4" s="290"/>
      <c r="N4" s="290"/>
      <c r="O4" s="280"/>
      <c r="P4" s="1446"/>
      <c r="Q4" s="263" t="s">
        <v>290</v>
      </c>
      <c r="R4" s="257"/>
      <c r="S4" s="296">
        <v>13</v>
      </c>
      <c r="T4" s="297"/>
      <c r="U4" s="298">
        <f>S4*T4</f>
        <v>0</v>
      </c>
      <c r="V4" s="283" t="s">
        <v>291</v>
      </c>
      <c r="W4" s="299">
        <v>23.855</v>
      </c>
      <c r="X4" s="284">
        <v>33</v>
      </c>
      <c r="Y4" s="271">
        <f t="shared" si="0"/>
        <v>787.21500000000003</v>
      </c>
      <c r="Z4" s="272"/>
      <c r="AA4" s="273"/>
      <c r="AB4" s="260"/>
      <c r="AC4" s="300" t="s">
        <v>114</v>
      </c>
      <c r="AD4" s="1494">
        <v>5</v>
      </c>
      <c r="AE4" s="1494">
        <v>8</v>
      </c>
      <c r="AF4" s="1494">
        <v>6</v>
      </c>
      <c r="AG4" s="1494">
        <f>AD4*AE4*AF4</f>
        <v>240</v>
      </c>
      <c r="AH4" s="1494">
        <v>45</v>
      </c>
      <c r="AI4" s="1494">
        <f>AG4*AH4</f>
        <v>10800</v>
      </c>
      <c r="AJ4" s="1475">
        <f>AI4*9.55</f>
        <v>103140.00000000001</v>
      </c>
      <c r="AK4" s="1493">
        <v>850</v>
      </c>
      <c r="AL4" s="1475">
        <f>AG4*AK4</f>
        <v>204000</v>
      </c>
      <c r="AM4" s="289"/>
      <c r="AN4" s="260"/>
      <c r="AO4" s="260"/>
    </row>
    <row r="5" spans="1:1025" ht="24.75" customHeight="1" thickTop="1" thickBot="1">
      <c r="A5" s="2078" t="s">
        <v>292</v>
      </c>
      <c r="B5" s="2080" t="s">
        <v>721</v>
      </c>
      <c r="C5" s="2080"/>
      <c r="D5" s="1555" t="s">
        <v>293</v>
      </c>
      <c r="E5" s="1555"/>
      <c r="F5" s="2080" t="s">
        <v>722</v>
      </c>
      <c r="G5" s="2080"/>
      <c r="H5" s="2081"/>
      <c r="I5" s="2082" t="s">
        <v>295</v>
      </c>
      <c r="J5" s="2083" t="s">
        <v>296</v>
      </c>
      <c r="K5" s="2084" t="s">
        <v>297</v>
      </c>
      <c r="L5" s="2084"/>
      <c r="M5" s="2064" t="s">
        <v>298</v>
      </c>
      <c r="N5" s="2064"/>
      <c r="O5" s="2065" t="s">
        <v>299</v>
      </c>
      <c r="P5" s="2066"/>
      <c r="Q5" s="1446"/>
      <c r="R5" s="257"/>
      <c r="S5" s="304"/>
      <c r="T5" s="305"/>
      <c r="U5" s="306">
        <f>SUM(U2:U4)</f>
        <v>239943.40000000002</v>
      </c>
      <c r="V5" s="283" t="s">
        <v>300</v>
      </c>
      <c r="W5" s="284">
        <v>28.27</v>
      </c>
      <c r="X5" s="284"/>
      <c r="Y5" s="271">
        <f t="shared" si="0"/>
        <v>0</v>
      </c>
      <c r="Z5" s="272"/>
      <c r="AA5" s="273"/>
      <c r="AB5" s="260"/>
      <c r="AC5" s="307" t="s">
        <v>120</v>
      </c>
      <c r="AD5" s="1494">
        <v>5</v>
      </c>
      <c r="AE5" s="1494">
        <v>8</v>
      </c>
      <c r="AF5" s="1494">
        <v>6</v>
      </c>
      <c r="AG5" s="1494">
        <f>AD5*AE5*AF5</f>
        <v>240</v>
      </c>
      <c r="AH5" s="1494">
        <v>18</v>
      </c>
      <c r="AI5" s="1494">
        <f>AG5*AH5</f>
        <v>4320</v>
      </c>
      <c r="AJ5" s="1475">
        <f>AI5*9.55</f>
        <v>41256</v>
      </c>
      <c r="AK5" s="1493">
        <v>550</v>
      </c>
      <c r="AL5" s="1475">
        <f>AG5*AK5</f>
        <v>132000</v>
      </c>
      <c r="AM5" s="260"/>
      <c r="AN5" s="308"/>
      <c r="AO5" s="309"/>
      <c r="AU5" s="252"/>
    </row>
    <row r="6" spans="1:1025" ht="63.75" customHeight="1" thickTop="1" thickBot="1">
      <c r="A6" s="2079"/>
      <c r="B6" s="1559" t="s">
        <v>301</v>
      </c>
      <c r="C6" s="1559" t="s">
        <v>302</v>
      </c>
      <c r="D6" s="1559" t="s">
        <v>301</v>
      </c>
      <c r="E6" s="1559" t="s">
        <v>302</v>
      </c>
      <c r="F6" s="2070" t="s">
        <v>676</v>
      </c>
      <c r="G6" s="2070"/>
      <c r="H6" s="1560" t="s">
        <v>303</v>
      </c>
      <c r="I6" s="2082"/>
      <c r="J6" s="2083"/>
      <c r="K6" s="310" t="s">
        <v>304</v>
      </c>
      <c r="L6" s="310" t="s">
        <v>305</v>
      </c>
      <c r="M6" s="310" t="s">
        <v>301</v>
      </c>
      <c r="N6" s="310" t="s">
        <v>302</v>
      </c>
      <c r="O6" s="2065"/>
      <c r="P6" s="2066"/>
      <c r="Q6" s="311"/>
      <c r="R6" s="257"/>
      <c r="S6" s="2067" t="s">
        <v>306</v>
      </c>
      <c r="T6" s="2067"/>
      <c r="U6" s="2067"/>
      <c r="V6" s="283" t="s">
        <v>307</v>
      </c>
      <c r="W6" s="284">
        <v>19.98</v>
      </c>
      <c r="X6" s="312"/>
      <c r="Y6" s="271">
        <f t="shared" si="0"/>
        <v>0</v>
      </c>
      <c r="Z6" s="272"/>
      <c r="AA6" s="313">
        <f>W6*Y6</f>
        <v>0</v>
      </c>
      <c r="AB6" s="260"/>
      <c r="AC6" s="307" t="s">
        <v>123</v>
      </c>
      <c r="AD6" s="1494">
        <v>3</v>
      </c>
      <c r="AE6" s="1494">
        <v>1</v>
      </c>
      <c r="AF6" s="1494">
        <v>6</v>
      </c>
      <c r="AG6" s="1494">
        <f>AD6*AE6*AF6</f>
        <v>18</v>
      </c>
      <c r="AH6" s="1494">
        <v>8</v>
      </c>
      <c r="AI6" s="1494">
        <f>AG6*AH6</f>
        <v>144</v>
      </c>
      <c r="AJ6" s="1475">
        <f>AI6*9.55</f>
        <v>1375.2</v>
      </c>
      <c r="AK6" s="1493">
        <v>280</v>
      </c>
      <c r="AL6" s="1475">
        <f>AG6*AK6</f>
        <v>5040</v>
      </c>
      <c r="AM6" s="289"/>
      <c r="AN6" s="260"/>
      <c r="AO6" s="309"/>
      <c r="AU6" s="252"/>
      <c r="AV6" s="252"/>
    </row>
    <row r="7" spans="1:1025" ht="29.25" customHeight="1" thickTop="1" thickBot="1">
      <c r="A7" s="1561" t="str">
        <f>'[8]w Machinery Ex'!$P$3</f>
        <v>Day-1    23/08/07</v>
      </c>
      <c r="B7" s="325">
        <f>'[8]w Machinery Ex'!$S$93</f>
        <v>2870</v>
      </c>
      <c r="C7" s="911">
        <f>'[8]w Machinery Ex'!$S$143</f>
        <v>1194</v>
      </c>
      <c r="D7" s="1563"/>
      <c r="E7" s="1563"/>
      <c r="F7" s="1562" t="s">
        <v>402</v>
      </c>
      <c r="G7" s="325"/>
      <c r="H7" s="1564"/>
      <c r="I7" s="1556"/>
      <c r="J7" s="1549"/>
      <c r="K7" s="1549"/>
      <c r="L7" s="1549"/>
      <c r="M7" s="1549"/>
      <c r="N7" s="1549"/>
      <c r="O7" s="1550"/>
      <c r="P7" s="1541"/>
      <c r="Q7" s="1446"/>
      <c r="R7" s="257" t="s">
        <v>308</v>
      </c>
      <c r="S7" s="265">
        <v>106.90600000000001</v>
      </c>
      <c r="T7" s="317"/>
      <c r="U7" s="318">
        <f>+S7*T7</f>
        <v>0</v>
      </c>
      <c r="V7" s="283" t="s">
        <v>309</v>
      </c>
      <c r="W7" s="299">
        <v>19.61</v>
      </c>
      <c r="X7" s="284"/>
      <c r="Y7" s="271">
        <f t="shared" si="0"/>
        <v>0</v>
      </c>
      <c r="Z7" s="272"/>
      <c r="AA7" s="273"/>
      <c r="AB7" s="260"/>
      <c r="AC7" s="307" t="s">
        <v>123</v>
      </c>
      <c r="AD7" s="1494"/>
      <c r="AE7" s="1494"/>
      <c r="AF7" s="1494"/>
      <c r="AG7" s="1494">
        <f>AD7*AE7*AF7</f>
        <v>0</v>
      </c>
      <c r="AH7" s="1494"/>
      <c r="AI7" s="1494">
        <f>AG7*AH7</f>
        <v>0</v>
      </c>
      <c r="AJ7" s="1475">
        <f>AI7*9.55</f>
        <v>0</v>
      </c>
      <c r="AK7" s="1493">
        <v>280</v>
      </c>
      <c r="AL7" s="1475">
        <f>AG7*AK7</f>
        <v>0</v>
      </c>
      <c r="AM7" s="260"/>
      <c r="AN7" s="308"/>
      <c r="AO7" s="309"/>
      <c r="AU7" s="252"/>
    </row>
    <row r="8" spans="1:1025" ht="25.5" customHeight="1" thickTop="1" thickBot="1">
      <c r="A8" s="910" t="str">
        <f>'[2]w Machinery Ex'!$P$3</f>
        <v>Day-2   24/08/07</v>
      </c>
      <c r="B8" s="325">
        <f>'[2]w Machinery Ex'!$S$93</f>
        <v>3182</v>
      </c>
      <c r="C8" s="911">
        <f>'[2]w Machinery Ex'!$S$143</f>
        <v>1438</v>
      </c>
      <c r="D8" s="911"/>
      <c r="E8" s="911"/>
      <c r="F8" s="325" t="s">
        <v>306</v>
      </c>
      <c r="G8" s="325"/>
      <c r="H8" s="1550"/>
      <c r="I8" s="1556"/>
      <c r="J8" s="1549"/>
      <c r="K8" s="1546"/>
      <c r="L8" s="1546"/>
      <c r="M8" s="1546"/>
      <c r="N8" s="1546"/>
      <c r="O8" s="1545"/>
      <c r="P8" s="1541"/>
      <c r="Q8" s="1446"/>
      <c r="R8" s="257" t="s">
        <v>310</v>
      </c>
      <c r="S8" s="296">
        <v>108.7115</v>
      </c>
      <c r="T8" s="297"/>
      <c r="U8" s="1518">
        <f>+S8*T8</f>
        <v>0</v>
      </c>
      <c r="V8" s="283" t="s">
        <v>311</v>
      </c>
      <c r="W8" s="299">
        <v>19.5227</v>
      </c>
      <c r="X8" s="284"/>
      <c r="Y8" s="271">
        <f t="shared" si="0"/>
        <v>0</v>
      </c>
      <c r="Z8" s="272"/>
      <c r="AA8" s="273"/>
      <c r="AB8" s="260"/>
      <c r="AC8" s="300" t="s">
        <v>126</v>
      </c>
      <c r="AD8" s="1494">
        <v>3</v>
      </c>
      <c r="AE8" s="1494">
        <v>8</v>
      </c>
      <c r="AF8" s="1494">
        <v>6</v>
      </c>
      <c r="AG8" s="1494">
        <f>AD8*AE8*AF8</f>
        <v>144</v>
      </c>
      <c r="AH8" s="1494">
        <v>18</v>
      </c>
      <c r="AI8" s="1494">
        <f>AG8*AH8</f>
        <v>2592</v>
      </c>
      <c r="AJ8" s="1475">
        <f>AI8*9.55</f>
        <v>24753.600000000002</v>
      </c>
      <c r="AK8" s="1493">
        <v>450</v>
      </c>
      <c r="AL8" s="1475">
        <f>AG8*AK8</f>
        <v>64800</v>
      </c>
      <c r="AM8" s="260"/>
      <c r="AN8" s="308"/>
      <c r="AO8" s="309"/>
      <c r="AU8" s="252"/>
    </row>
    <row r="9" spans="1:1025" ht="25.5" customHeight="1" thickTop="1" thickBot="1">
      <c r="A9" s="910" t="str">
        <f>'[3]w Machinery Ex'!$P$3</f>
        <v>Day-3 25/08/07</v>
      </c>
      <c r="B9" s="911">
        <f>'[3]w Machinery Ex'!$S$93</f>
        <v>0</v>
      </c>
      <c r="C9" s="911">
        <f>'[3]w Machinery Ex'!$S$143</f>
        <v>0</v>
      </c>
      <c r="D9" s="911"/>
      <c r="E9" s="911"/>
      <c r="F9" s="325" t="s">
        <v>677</v>
      </c>
      <c r="G9" s="319">
        <f>Cons.Mat.Evalu.!F19*0</f>
        <v>0</v>
      </c>
      <c r="H9" s="1550"/>
      <c r="I9" s="1547"/>
      <c r="J9" s="1549"/>
      <c r="K9" s="1546"/>
      <c r="L9" s="1546"/>
      <c r="M9" s="1546"/>
      <c r="N9" s="1546"/>
      <c r="O9" s="1545"/>
      <c r="P9" s="1541"/>
      <c r="Q9" s="1446"/>
      <c r="R9" s="257" t="s">
        <v>312</v>
      </c>
      <c r="S9" s="304">
        <v>1194</v>
      </c>
      <c r="T9" s="305"/>
      <c r="U9" s="323">
        <f>+S9*T9</f>
        <v>0</v>
      </c>
      <c r="V9" s="283" t="s">
        <v>313</v>
      </c>
      <c r="W9" s="299">
        <v>69.784999999999997</v>
      </c>
      <c r="X9" s="284">
        <v>3</v>
      </c>
      <c r="Y9" s="271">
        <f t="shared" si="0"/>
        <v>209.35499999999999</v>
      </c>
      <c r="Z9" s="272"/>
      <c r="AA9" s="273"/>
      <c r="AB9" s="260"/>
      <c r="AC9" s="1502"/>
      <c r="AD9" s="1494"/>
      <c r="AE9" s="1494"/>
      <c r="AF9" s="1494"/>
      <c r="AG9" s="1494"/>
      <c r="AH9" s="1494"/>
      <c r="AI9" s="1494"/>
      <c r="AJ9" s="1475"/>
      <c r="AK9" s="1493"/>
      <c r="AL9" s="1475"/>
      <c r="AM9" s="260"/>
      <c r="AN9" s="308"/>
      <c r="AO9" s="309"/>
      <c r="AU9" s="252"/>
    </row>
    <row r="10" spans="1:1025" ht="29.25" customHeight="1" thickTop="1" thickBot="1">
      <c r="A10" s="910" t="str">
        <f>'[9]w Machinery Ex'!$P$3</f>
        <v>Day-4 26/08/07</v>
      </c>
      <c r="B10" s="325">
        <f>'[9]w Machinery Ex'!$S$93</f>
        <v>3014</v>
      </c>
      <c r="C10" s="325">
        <f>'[9]w Machinery Ex'!$S$143</f>
        <v>945</v>
      </c>
      <c r="D10" s="911"/>
      <c r="E10" s="911"/>
      <c r="F10" s="325" t="s">
        <v>678</v>
      </c>
      <c r="G10" s="319">
        <f>(Cons.Mat.Evalu.!F19+Cons.Mat.Evalu.!F21)*360</f>
        <v>33660</v>
      </c>
      <c r="H10" s="1550"/>
      <c r="I10" s="1547"/>
      <c r="J10" s="1546"/>
      <c r="K10" s="1546"/>
      <c r="L10" s="1546"/>
      <c r="M10" s="1546"/>
      <c r="N10" s="1546"/>
      <c r="O10" s="1545"/>
      <c r="P10" s="1541"/>
      <c r="Q10" s="1446"/>
      <c r="R10" s="257"/>
      <c r="S10" s="2075" t="s">
        <v>314</v>
      </c>
      <c r="T10" s="2075"/>
      <c r="U10" s="2075"/>
      <c r="V10" s="283" t="s">
        <v>315</v>
      </c>
      <c r="W10" s="284">
        <v>28.26</v>
      </c>
      <c r="X10" s="284"/>
      <c r="Y10" s="271">
        <f t="shared" si="0"/>
        <v>0</v>
      </c>
      <c r="Z10" s="272"/>
      <c r="AA10" s="273"/>
      <c r="AB10" s="260"/>
      <c r="AC10" s="300" t="s">
        <v>195</v>
      </c>
      <c r="AD10" s="1494">
        <v>2</v>
      </c>
      <c r="AE10" s="1494">
        <v>8</v>
      </c>
      <c r="AF10" s="1494">
        <v>6</v>
      </c>
      <c r="AG10" s="1494">
        <f>AD10*AE10*AF10</f>
        <v>96</v>
      </c>
      <c r="AH10" s="1494">
        <v>18</v>
      </c>
      <c r="AI10" s="1494">
        <f>AG10*AH10</f>
        <v>1728</v>
      </c>
      <c r="AJ10" s="1475">
        <f>AI10*9.55</f>
        <v>16502.400000000001</v>
      </c>
      <c r="AK10" s="1493">
        <v>550</v>
      </c>
      <c r="AL10" s="1475">
        <f>AG10*AK10</f>
        <v>52800</v>
      </c>
      <c r="AM10" s="260"/>
      <c r="AN10" s="308"/>
      <c r="AO10" s="309"/>
      <c r="AU10" s="252"/>
    </row>
    <row r="11" spans="1:1025" ht="26.25" customHeight="1" thickTop="1" thickBot="1">
      <c r="A11" s="910" t="str">
        <f>'[5]w Machinery Ex'!$P$3</f>
        <v>Day-5 27/08/07</v>
      </c>
      <c r="B11" s="325">
        <f>'[5]w Machinery Ex'!$S$93</f>
        <v>2058</v>
      </c>
      <c r="C11" s="325">
        <f>'[5]w Machinery Ex'!$S$143</f>
        <v>1027</v>
      </c>
      <c r="D11" s="911"/>
      <c r="E11" s="911"/>
      <c r="F11" s="325" t="s">
        <v>787</v>
      </c>
      <c r="G11" s="319">
        <v>3600</v>
      </c>
      <c r="H11" s="1565"/>
      <c r="I11" s="1547"/>
      <c r="J11" s="1547"/>
      <c r="K11" s="1546"/>
      <c r="L11" s="1546"/>
      <c r="M11" s="1546"/>
      <c r="N11" s="1546"/>
      <c r="O11" s="1545"/>
      <c r="P11" s="1541"/>
      <c r="Q11" s="1446"/>
      <c r="R11" s="257" t="s">
        <v>316</v>
      </c>
      <c r="S11" s="265">
        <v>22011.53</v>
      </c>
      <c r="T11" s="317"/>
      <c r="U11" s="1548">
        <f>+S11*T11</f>
        <v>0</v>
      </c>
      <c r="V11" s="283" t="s">
        <v>317</v>
      </c>
      <c r="W11" s="284">
        <v>13.17</v>
      </c>
      <c r="X11" s="284"/>
      <c r="Y11" s="271">
        <f t="shared" si="0"/>
        <v>0</v>
      </c>
      <c r="Z11" s="272"/>
      <c r="AA11" s="273"/>
      <c r="AB11" s="260"/>
      <c r="AC11" s="300" t="s">
        <v>132</v>
      </c>
      <c r="AD11" s="1494">
        <v>1</v>
      </c>
      <c r="AE11" s="1494">
        <v>8</v>
      </c>
      <c r="AF11" s="1494">
        <v>6</v>
      </c>
      <c r="AG11" s="1494">
        <f>AD11*AE11*AF11</f>
        <v>48</v>
      </c>
      <c r="AH11" s="1494">
        <v>2</v>
      </c>
      <c r="AI11" s="1494">
        <f>AG11*AH11</f>
        <v>96</v>
      </c>
      <c r="AJ11" s="1475">
        <f>AI11*9.55</f>
        <v>916.80000000000007</v>
      </c>
      <c r="AK11" s="1493">
        <v>50</v>
      </c>
      <c r="AL11" s="1475">
        <f>AG11*AK11</f>
        <v>2400</v>
      </c>
      <c r="AM11" s="260"/>
      <c r="AN11" s="308"/>
      <c r="AO11" s="309"/>
      <c r="AU11" s="252"/>
    </row>
    <row r="12" spans="1:1025" ht="23.25" customHeight="1" thickTop="1" thickBot="1">
      <c r="A12" s="910" t="str">
        <f>'[6]w Machinery Ex'!$P$3</f>
        <v>Day-6 28/08/07</v>
      </c>
      <c r="B12" s="325">
        <f>'[6]w Machinery Ex'!$S$93</f>
        <v>1707</v>
      </c>
      <c r="C12" s="325">
        <f>'[6]w Machinery Ex'!$S$143</f>
        <v>388</v>
      </c>
      <c r="D12" s="911"/>
      <c r="E12" s="911"/>
      <c r="F12" s="1576" t="s">
        <v>934</v>
      </c>
      <c r="G12" s="319">
        <v>88963.92</v>
      </c>
      <c r="H12" s="1550"/>
      <c r="I12" s="1547"/>
      <c r="J12" s="1547"/>
      <c r="K12" s="1546"/>
      <c r="L12" s="1546"/>
      <c r="M12" s="1546"/>
      <c r="N12" s="1546"/>
      <c r="O12" s="1545"/>
      <c r="P12" s="1541"/>
      <c r="Q12" s="1446"/>
      <c r="R12" s="257" t="s">
        <v>318</v>
      </c>
      <c r="S12" s="296">
        <v>2130.9499999999998</v>
      </c>
      <c r="T12" s="297"/>
      <c r="U12" s="1518">
        <f>+S12*T12</f>
        <v>0</v>
      </c>
      <c r="V12" s="283" t="s">
        <v>319</v>
      </c>
      <c r="W12" s="284">
        <v>20.3</v>
      </c>
      <c r="X12" s="284"/>
      <c r="Y12" s="271">
        <f t="shared" si="0"/>
        <v>0</v>
      </c>
      <c r="Z12" s="272"/>
      <c r="AA12" s="273"/>
      <c r="AB12" s="260"/>
      <c r="AC12" s="300" t="s">
        <v>137</v>
      </c>
      <c r="AD12" s="1494">
        <v>5</v>
      </c>
      <c r="AE12" s="1494">
        <v>4</v>
      </c>
      <c r="AF12" s="1494">
        <v>6</v>
      </c>
      <c r="AG12" s="1494">
        <f>AD12*AE12*AF12</f>
        <v>120</v>
      </c>
      <c r="AH12" s="1494">
        <v>0.5</v>
      </c>
      <c r="AI12" s="1494">
        <f>AG12*AH12</f>
        <v>60</v>
      </c>
      <c r="AJ12" s="1475">
        <f>AI12*9.55</f>
        <v>573</v>
      </c>
      <c r="AK12" s="1493">
        <v>5</v>
      </c>
      <c r="AL12" s="1475">
        <f>AG12*AK12</f>
        <v>600</v>
      </c>
      <c r="AM12" s="260"/>
      <c r="AN12" s="308"/>
      <c r="AO12" s="309"/>
      <c r="AU12" s="252"/>
    </row>
    <row r="13" spans="1:1025" ht="23.25" customHeight="1" thickTop="1" thickBot="1">
      <c r="A13" s="910" t="str">
        <f>'[7]w Machinery Ex'!$P$3</f>
        <v>Day-7 29/08/07</v>
      </c>
      <c r="B13" s="325">
        <f>'[7]w Machinery Ex'!$S$93</f>
        <v>2347</v>
      </c>
      <c r="C13" s="325">
        <f>'[7]w Machinery Ex'!$S$143</f>
        <v>426</v>
      </c>
      <c r="D13" s="911"/>
      <c r="E13" s="911"/>
      <c r="F13" s="1576"/>
      <c r="G13" s="319"/>
      <c r="H13" s="1550"/>
      <c r="I13" s="1547"/>
      <c r="J13" s="1547"/>
      <c r="K13" s="1546"/>
      <c r="L13" s="1546"/>
      <c r="M13" s="1546"/>
      <c r="N13" s="1546"/>
      <c r="O13" s="1545"/>
      <c r="P13" s="1541"/>
      <c r="Q13" s="1446"/>
      <c r="R13" s="257"/>
      <c r="S13" s="296"/>
      <c r="T13" s="297"/>
      <c r="U13" s="1518"/>
      <c r="V13" s="283"/>
      <c r="W13" s="284"/>
      <c r="X13" s="284"/>
      <c r="Y13" s="271"/>
      <c r="Z13" s="272"/>
      <c r="AA13" s="273"/>
      <c r="AB13" s="260"/>
      <c r="AC13" s="300"/>
      <c r="AD13" s="1494"/>
      <c r="AE13" s="1494"/>
      <c r="AF13" s="1494"/>
      <c r="AG13" s="1494"/>
      <c r="AH13" s="1494"/>
      <c r="AI13" s="1494"/>
      <c r="AJ13" s="1475"/>
      <c r="AK13" s="1493"/>
      <c r="AL13" s="1475"/>
      <c r="AM13" s="260"/>
      <c r="AN13" s="308"/>
      <c r="AO13" s="309"/>
      <c r="AU13" s="252"/>
    </row>
    <row r="14" spans="1:1025" ht="24" customHeight="1" thickTop="1" thickBot="1">
      <c r="A14" s="910"/>
      <c r="B14" s="325"/>
      <c r="C14" s="325"/>
      <c r="D14" s="1566"/>
      <c r="E14" s="1567"/>
      <c r="F14" s="1576"/>
      <c r="G14" s="319"/>
      <c r="H14" s="1550"/>
      <c r="I14" s="1557"/>
      <c r="J14" s="1544"/>
      <c r="K14" s="1543"/>
      <c r="L14" s="1543"/>
      <c r="M14" s="1543"/>
      <c r="N14" s="1543"/>
      <c r="O14" s="1542"/>
      <c r="P14" s="1541"/>
      <c r="Q14" s="1446"/>
      <c r="R14" s="257" t="s">
        <v>320</v>
      </c>
      <c r="S14" s="777">
        <v>2826.09</v>
      </c>
      <c r="T14" s="778"/>
      <c r="U14" s="1540">
        <f>+S14*T14</f>
        <v>0</v>
      </c>
      <c r="V14" s="780" t="s">
        <v>321</v>
      </c>
      <c r="W14" s="781">
        <v>14.374000000000001</v>
      </c>
      <c r="X14" s="781"/>
      <c r="Y14" s="782">
        <f>W14*X14</f>
        <v>0</v>
      </c>
      <c r="Z14" s="272"/>
      <c r="AA14" s="273"/>
      <c r="AB14" s="260"/>
      <c r="AC14" s="783" t="s">
        <v>322</v>
      </c>
      <c r="AD14" s="1539">
        <v>6</v>
      </c>
      <c r="AE14" s="1539">
        <v>8</v>
      </c>
      <c r="AF14" s="1539">
        <v>6</v>
      </c>
      <c r="AG14" s="1539">
        <f>AD14*AE14*AF14</f>
        <v>288</v>
      </c>
      <c r="AH14" s="1539">
        <v>0.5</v>
      </c>
      <c r="AI14" s="1539">
        <f>AG14*AH14</f>
        <v>144</v>
      </c>
      <c r="AJ14" s="1537">
        <f>AI14*9.55</f>
        <v>1375.2</v>
      </c>
      <c r="AK14" s="1538">
        <v>5</v>
      </c>
      <c r="AL14" s="1537">
        <f>AG14*AK14</f>
        <v>1440</v>
      </c>
      <c r="AM14" s="260"/>
      <c r="AN14" s="308"/>
      <c r="AO14" s="309"/>
      <c r="AU14" s="252"/>
    </row>
    <row r="15" spans="1:1025" ht="24" customHeight="1" thickTop="1" thickBot="1">
      <c r="A15" s="1577"/>
      <c r="B15" s="1578"/>
      <c r="C15" s="1578"/>
      <c r="D15" s="1579"/>
      <c r="E15" s="1580"/>
      <c r="F15" s="1576"/>
      <c r="G15" s="319"/>
      <c r="H15" s="1581"/>
      <c r="I15" s="365"/>
      <c r="J15" s="1582"/>
      <c r="K15" s="1583"/>
      <c r="L15" s="1583"/>
      <c r="M15" s="1583"/>
      <c r="N15" s="1583"/>
      <c r="O15" s="365"/>
      <c r="P15" s="1541"/>
      <c r="Q15" s="1574"/>
      <c r="R15" s="257"/>
      <c r="S15" s="1584"/>
      <c r="T15" s="1585"/>
      <c r="U15" s="1586"/>
      <c r="V15" s="1587"/>
      <c r="W15" s="1588"/>
      <c r="X15" s="1588"/>
      <c r="Y15" s="1589"/>
      <c r="Z15" s="272"/>
      <c r="AA15" s="273"/>
      <c r="AB15" s="260"/>
      <c r="AC15" s="783"/>
      <c r="AD15" s="1539"/>
      <c r="AE15" s="1539"/>
      <c r="AF15" s="1539"/>
      <c r="AG15" s="1539"/>
      <c r="AH15" s="1539"/>
      <c r="AI15" s="1539"/>
      <c r="AJ15" s="1590"/>
      <c r="AK15" s="1511"/>
      <c r="AL15" s="1590"/>
      <c r="AM15" s="260"/>
      <c r="AN15" s="309"/>
      <c r="AO15" s="309"/>
      <c r="AU15" s="252"/>
    </row>
    <row r="16" spans="1:1025" s="802" customFormat="1" ht="30.75" customHeight="1" thickTop="1" thickBot="1">
      <c r="A16" s="915" t="s">
        <v>323</v>
      </c>
      <c r="B16" s="916">
        <f>SUM(B7:B15)</f>
        <v>15178</v>
      </c>
      <c r="C16" s="917">
        <f>SUM(C7:C15)</f>
        <v>5418</v>
      </c>
      <c r="D16" s="917">
        <f>SUM(D7:D14)</f>
        <v>0</v>
      </c>
      <c r="E16" s="917">
        <f>SUM(E7:E14)</f>
        <v>0</v>
      </c>
      <c r="F16" s="1568"/>
      <c r="G16" s="1569">
        <f>SUM(G7:G15)</f>
        <v>126223.92</v>
      </c>
      <c r="H16" s="1536">
        <f>SUM(H7:H14)</f>
        <v>0</v>
      </c>
      <c r="I16" s="1558" t="e">
        <f>#REF!</f>
        <v>#REF!</v>
      </c>
      <c r="J16" s="1535" t="e">
        <f>#REF!</f>
        <v>#REF!</v>
      </c>
      <c r="K16" s="1535"/>
      <c r="L16" s="1535"/>
      <c r="M16" s="1535">
        <f>D41</f>
        <v>444704.69999999995</v>
      </c>
      <c r="N16" s="1535">
        <f>D47</f>
        <v>272035.03200000001</v>
      </c>
      <c r="O16" s="1534">
        <f>SUM(O7:O14)</f>
        <v>0</v>
      </c>
      <c r="P16" s="790"/>
      <c r="Q16" s="791"/>
      <c r="R16" s="792" t="s">
        <v>324</v>
      </c>
      <c r="S16" s="793">
        <v>1648.7</v>
      </c>
      <c r="T16" s="794"/>
      <c r="U16" s="1533">
        <f>+S16*T16</f>
        <v>0</v>
      </c>
      <c r="V16" s="796" t="s">
        <v>325</v>
      </c>
      <c r="W16" s="797">
        <v>26.501300000000001</v>
      </c>
      <c r="X16" s="797"/>
      <c r="Y16" s="798">
        <f>W16*X16</f>
        <v>0</v>
      </c>
      <c r="Z16" s="791"/>
      <c r="AA16" s="792"/>
      <c r="AB16" s="799"/>
      <c r="AC16" s="770" t="s">
        <v>141</v>
      </c>
      <c r="AD16" s="1532">
        <v>11</v>
      </c>
      <c r="AE16" s="1532">
        <v>8</v>
      </c>
      <c r="AF16" s="1532">
        <v>6</v>
      </c>
      <c r="AG16" s="1532">
        <f>AD16*AE16*AF16</f>
        <v>528</v>
      </c>
      <c r="AH16" s="1532">
        <v>10</v>
      </c>
      <c r="AI16" s="1532">
        <f>AG16*AH16</f>
        <v>5280</v>
      </c>
      <c r="AJ16" s="1530">
        <f>AI16*9.55</f>
        <v>50424.000000000007</v>
      </c>
      <c r="AK16" s="1531">
        <v>120</v>
      </c>
      <c r="AL16" s="1530">
        <f>AG16*AK16</f>
        <v>63360</v>
      </c>
      <c r="AM16" s="800"/>
      <c r="AN16" s="799"/>
      <c r="AO16" s="799"/>
      <c r="AP16" s="801"/>
      <c r="AQ16" s="801"/>
      <c r="AR16" s="801"/>
      <c r="AS16" s="801"/>
      <c r="AT16" s="801"/>
      <c r="AU16" s="791"/>
      <c r="AV16" s="791"/>
      <c r="AW16" s="791"/>
      <c r="AX16" s="791"/>
      <c r="AY16" s="791"/>
      <c r="AZ16" s="791"/>
      <c r="BA16" s="791"/>
      <c r="BB16" s="791"/>
      <c r="BC16" s="791"/>
      <c r="BD16" s="791"/>
      <c r="BE16" s="791"/>
      <c r="BF16" s="791"/>
      <c r="BG16" s="791"/>
      <c r="BH16" s="791"/>
      <c r="BI16" s="791"/>
      <c r="BJ16" s="791"/>
      <c r="BK16" s="791"/>
      <c r="BL16" s="791"/>
      <c r="BM16" s="791"/>
      <c r="BN16" s="791"/>
      <c r="BO16" s="791"/>
      <c r="BP16" s="791"/>
      <c r="BQ16" s="791"/>
      <c r="BR16" s="791"/>
      <c r="BS16" s="791"/>
      <c r="BT16" s="791"/>
      <c r="BU16" s="791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  <c r="DC16" s="791"/>
      <c r="DD16" s="791"/>
      <c r="DE16" s="791"/>
      <c r="DF16" s="791"/>
      <c r="DG16" s="791"/>
      <c r="DH16" s="791"/>
      <c r="DI16" s="791"/>
      <c r="DJ16" s="791"/>
      <c r="DK16" s="791"/>
      <c r="DL16" s="791"/>
      <c r="DM16" s="791"/>
      <c r="DN16" s="791"/>
      <c r="DO16" s="791"/>
      <c r="DP16" s="791"/>
      <c r="DQ16" s="791"/>
      <c r="DR16" s="791"/>
      <c r="DS16" s="791"/>
      <c r="DT16" s="791"/>
      <c r="DU16" s="791"/>
      <c r="DV16" s="791"/>
      <c r="DW16" s="791"/>
      <c r="DX16" s="791"/>
      <c r="DY16" s="791"/>
      <c r="DZ16" s="791"/>
      <c r="EA16" s="791"/>
      <c r="EB16" s="791"/>
      <c r="EC16" s="791"/>
      <c r="ED16" s="791"/>
      <c r="EE16" s="791"/>
      <c r="EF16" s="791"/>
      <c r="EG16" s="791"/>
      <c r="EH16" s="791"/>
      <c r="EI16" s="791"/>
      <c r="EJ16" s="791"/>
      <c r="EK16" s="791"/>
      <c r="EL16" s="791"/>
      <c r="EM16" s="791"/>
      <c r="EN16" s="791"/>
      <c r="EO16" s="791"/>
      <c r="EP16" s="791"/>
      <c r="EQ16" s="791"/>
      <c r="ER16" s="791"/>
      <c r="ES16" s="791"/>
      <c r="ET16" s="791"/>
      <c r="EU16" s="791"/>
      <c r="EV16" s="791"/>
      <c r="EW16" s="791"/>
      <c r="EX16" s="791"/>
      <c r="EY16" s="791"/>
      <c r="EZ16" s="791"/>
      <c r="FA16" s="791"/>
      <c r="FB16" s="791"/>
      <c r="FC16" s="791"/>
      <c r="FD16" s="791"/>
      <c r="FE16" s="791"/>
      <c r="FF16" s="791"/>
      <c r="FG16" s="791"/>
      <c r="FH16" s="791"/>
      <c r="FI16" s="791"/>
      <c r="FJ16" s="791"/>
      <c r="FK16" s="791"/>
      <c r="FL16" s="791"/>
      <c r="FM16" s="791"/>
      <c r="FN16" s="791"/>
      <c r="FO16" s="791"/>
      <c r="FP16" s="791"/>
      <c r="FQ16" s="791"/>
      <c r="FR16" s="791"/>
      <c r="FS16" s="791"/>
      <c r="FT16" s="791"/>
      <c r="FU16" s="791"/>
      <c r="FV16" s="791"/>
      <c r="FW16" s="791"/>
      <c r="FX16" s="791"/>
      <c r="FY16" s="791"/>
      <c r="FZ16" s="791"/>
      <c r="GA16" s="791"/>
      <c r="GB16" s="791"/>
      <c r="GC16" s="791"/>
      <c r="GD16" s="791"/>
      <c r="GE16" s="791"/>
      <c r="GF16" s="791"/>
      <c r="GG16" s="791"/>
      <c r="GH16" s="791"/>
      <c r="GI16" s="791"/>
      <c r="GJ16" s="791"/>
      <c r="GK16" s="791"/>
      <c r="GL16" s="791"/>
      <c r="GM16" s="791"/>
      <c r="GN16" s="791"/>
      <c r="GO16" s="791"/>
      <c r="GP16" s="791"/>
      <c r="GQ16" s="791"/>
      <c r="GR16" s="791"/>
      <c r="GS16" s="791"/>
      <c r="GT16" s="791"/>
      <c r="GU16" s="791"/>
      <c r="GV16" s="791"/>
      <c r="GW16" s="791"/>
      <c r="GX16" s="791"/>
      <c r="GY16" s="791"/>
      <c r="GZ16" s="791"/>
      <c r="HA16" s="791"/>
      <c r="HB16" s="791"/>
      <c r="HC16" s="791"/>
      <c r="HD16" s="791"/>
      <c r="HE16" s="791"/>
      <c r="HF16" s="791"/>
      <c r="HG16" s="791"/>
      <c r="HH16" s="791"/>
      <c r="HI16" s="791"/>
      <c r="HJ16" s="791"/>
      <c r="HK16" s="791"/>
      <c r="HL16" s="791"/>
      <c r="HM16" s="791"/>
      <c r="HN16" s="791"/>
      <c r="HO16" s="791"/>
      <c r="HP16" s="791"/>
      <c r="HQ16" s="791"/>
      <c r="HR16" s="791"/>
      <c r="HS16" s="791"/>
      <c r="HT16" s="791"/>
      <c r="HU16" s="791"/>
      <c r="HV16" s="791"/>
      <c r="HW16" s="791"/>
      <c r="HX16" s="791"/>
      <c r="HY16" s="791"/>
      <c r="HZ16" s="791"/>
      <c r="IA16" s="791"/>
      <c r="IB16" s="791"/>
      <c r="IC16" s="791"/>
      <c r="ID16" s="791"/>
      <c r="IE16" s="791"/>
      <c r="IF16" s="791"/>
      <c r="IG16" s="791"/>
      <c r="IH16" s="791"/>
      <c r="II16" s="791"/>
      <c r="IJ16" s="791"/>
      <c r="IK16" s="791"/>
      <c r="IL16" s="791"/>
      <c r="IM16" s="791"/>
      <c r="IN16" s="791"/>
      <c r="IO16" s="791"/>
      <c r="IP16" s="791"/>
      <c r="IQ16" s="791"/>
      <c r="IR16" s="791"/>
      <c r="IS16" s="791"/>
      <c r="IT16" s="791"/>
      <c r="IU16" s="791"/>
      <c r="IV16" s="791"/>
      <c r="IW16" s="791"/>
      <c r="IX16" s="791"/>
      <c r="IY16" s="791"/>
      <c r="IZ16" s="791"/>
      <c r="JA16" s="791"/>
      <c r="JB16" s="791"/>
      <c r="JC16" s="791"/>
      <c r="JD16" s="791"/>
      <c r="JE16" s="791"/>
      <c r="JF16" s="791"/>
      <c r="JG16" s="791"/>
      <c r="JH16" s="791"/>
      <c r="JI16" s="791"/>
      <c r="JJ16" s="791"/>
      <c r="JK16" s="791"/>
      <c r="JL16" s="791"/>
      <c r="JM16" s="791"/>
      <c r="JN16" s="791"/>
      <c r="JO16" s="791"/>
      <c r="JP16" s="791"/>
      <c r="JQ16" s="791"/>
      <c r="JR16" s="791"/>
      <c r="JS16" s="791"/>
      <c r="JT16" s="791"/>
      <c r="JU16" s="791"/>
      <c r="JV16" s="791"/>
      <c r="JW16" s="791"/>
      <c r="JX16" s="791"/>
      <c r="JY16" s="791"/>
      <c r="JZ16" s="791"/>
      <c r="KA16" s="791"/>
      <c r="KB16" s="791"/>
      <c r="KC16" s="791"/>
      <c r="KD16" s="791"/>
      <c r="KE16" s="791"/>
      <c r="KF16" s="791"/>
      <c r="KG16" s="791"/>
      <c r="KH16" s="791"/>
      <c r="KI16" s="791"/>
      <c r="KJ16" s="791"/>
      <c r="KK16" s="791"/>
      <c r="KL16" s="791"/>
      <c r="KM16" s="791"/>
      <c r="KN16" s="791"/>
      <c r="KO16" s="791"/>
      <c r="KP16" s="791"/>
      <c r="KQ16" s="791"/>
      <c r="KR16" s="791"/>
      <c r="KS16" s="791"/>
      <c r="KT16" s="791"/>
      <c r="KU16" s="791"/>
      <c r="KV16" s="791"/>
      <c r="KW16" s="791"/>
      <c r="KX16" s="791"/>
      <c r="KY16" s="791"/>
      <c r="KZ16" s="791"/>
      <c r="LA16" s="791"/>
      <c r="LB16" s="791"/>
      <c r="LC16" s="791"/>
      <c r="LD16" s="791"/>
      <c r="LE16" s="791"/>
      <c r="LF16" s="791"/>
      <c r="LG16" s="791"/>
      <c r="LH16" s="791"/>
      <c r="LI16" s="791"/>
      <c r="LJ16" s="791"/>
      <c r="LK16" s="791"/>
      <c r="LL16" s="791"/>
      <c r="LM16" s="791"/>
      <c r="LN16" s="791"/>
      <c r="LO16" s="791"/>
      <c r="LP16" s="791"/>
      <c r="LQ16" s="791"/>
      <c r="LR16" s="791"/>
      <c r="LS16" s="791"/>
      <c r="LT16" s="791"/>
      <c r="LU16" s="791"/>
      <c r="LV16" s="791"/>
      <c r="LW16" s="791"/>
      <c r="LX16" s="791"/>
      <c r="LY16" s="791"/>
      <c r="LZ16" s="791"/>
      <c r="MA16" s="791"/>
      <c r="MB16" s="791"/>
      <c r="MC16" s="791"/>
      <c r="MD16" s="791"/>
      <c r="ME16" s="791"/>
      <c r="MF16" s="791"/>
      <c r="MG16" s="791"/>
      <c r="MH16" s="791"/>
      <c r="MI16" s="791"/>
      <c r="MJ16" s="791"/>
      <c r="MK16" s="791"/>
      <c r="ML16" s="791"/>
      <c r="MM16" s="791"/>
      <c r="MN16" s="791"/>
      <c r="MO16" s="791"/>
      <c r="MP16" s="791"/>
      <c r="MQ16" s="791"/>
      <c r="MR16" s="791"/>
      <c r="MS16" s="791"/>
      <c r="MT16" s="791"/>
      <c r="MU16" s="791"/>
      <c r="MV16" s="791"/>
      <c r="MW16" s="791"/>
      <c r="MX16" s="791"/>
      <c r="MY16" s="791"/>
      <c r="MZ16" s="791"/>
      <c r="NA16" s="791"/>
      <c r="NB16" s="791"/>
      <c r="NC16" s="791"/>
      <c r="ND16" s="791"/>
      <c r="NE16" s="791"/>
      <c r="NF16" s="791"/>
      <c r="NG16" s="791"/>
      <c r="NH16" s="791"/>
      <c r="NI16" s="791"/>
      <c r="NJ16" s="791"/>
      <c r="NK16" s="791"/>
      <c r="NL16" s="791"/>
      <c r="NM16" s="791"/>
      <c r="NN16" s="791"/>
      <c r="NO16" s="791"/>
      <c r="NP16" s="791"/>
      <c r="NQ16" s="791"/>
      <c r="NR16" s="791"/>
      <c r="NS16" s="791"/>
      <c r="NT16" s="791"/>
      <c r="NU16" s="791"/>
      <c r="NV16" s="791"/>
      <c r="NW16" s="791"/>
      <c r="NX16" s="791"/>
      <c r="NY16" s="791"/>
      <c r="NZ16" s="791"/>
      <c r="OA16" s="791"/>
      <c r="OB16" s="791"/>
      <c r="OC16" s="791"/>
      <c r="OD16" s="791"/>
      <c r="OE16" s="791"/>
      <c r="OF16" s="791"/>
      <c r="OG16" s="791"/>
      <c r="OH16" s="791"/>
      <c r="OI16" s="791"/>
      <c r="OJ16" s="791"/>
      <c r="OK16" s="791"/>
      <c r="OL16" s="791"/>
      <c r="OM16" s="791"/>
      <c r="ON16" s="791"/>
      <c r="OO16" s="791"/>
      <c r="OP16" s="791"/>
      <c r="OQ16" s="791"/>
      <c r="OR16" s="791"/>
      <c r="OS16" s="791"/>
      <c r="OT16" s="791"/>
      <c r="OU16" s="791"/>
      <c r="OV16" s="791"/>
      <c r="OW16" s="791"/>
      <c r="OX16" s="791"/>
      <c r="OY16" s="791"/>
      <c r="OZ16" s="791"/>
      <c r="PA16" s="791"/>
      <c r="PB16" s="791"/>
      <c r="PC16" s="791"/>
      <c r="PD16" s="791"/>
      <c r="PE16" s="791"/>
      <c r="PF16" s="791"/>
      <c r="PG16" s="791"/>
      <c r="PH16" s="791"/>
      <c r="PI16" s="791"/>
      <c r="PJ16" s="791"/>
      <c r="PK16" s="791"/>
      <c r="PL16" s="791"/>
      <c r="PM16" s="791"/>
      <c r="PN16" s="791"/>
      <c r="PO16" s="791"/>
      <c r="PP16" s="791"/>
      <c r="PQ16" s="791"/>
      <c r="PR16" s="791"/>
      <c r="PS16" s="791"/>
      <c r="PT16" s="791"/>
      <c r="PU16" s="791"/>
      <c r="PV16" s="791"/>
      <c r="PW16" s="791"/>
      <c r="PX16" s="791"/>
      <c r="PY16" s="791"/>
      <c r="PZ16" s="791"/>
      <c r="QA16" s="791"/>
      <c r="QB16" s="791"/>
      <c r="QC16" s="791"/>
      <c r="QD16" s="791"/>
      <c r="QE16" s="791"/>
      <c r="QF16" s="791"/>
      <c r="QG16" s="791"/>
      <c r="QH16" s="791"/>
      <c r="QI16" s="791"/>
      <c r="QJ16" s="791"/>
      <c r="QK16" s="791"/>
      <c r="QL16" s="791"/>
      <c r="QM16" s="791"/>
      <c r="QN16" s="791"/>
      <c r="QO16" s="791"/>
      <c r="QP16" s="791"/>
      <c r="QQ16" s="791"/>
      <c r="QR16" s="791"/>
      <c r="QS16" s="791"/>
      <c r="QT16" s="791"/>
      <c r="QU16" s="791"/>
      <c r="QV16" s="791"/>
      <c r="QW16" s="791"/>
      <c r="QX16" s="791"/>
      <c r="QY16" s="791"/>
      <c r="QZ16" s="791"/>
      <c r="RA16" s="791"/>
      <c r="RB16" s="791"/>
      <c r="RC16" s="791"/>
      <c r="RD16" s="791"/>
      <c r="RE16" s="791"/>
      <c r="RF16" s="791"/>
      <c r="RG16" s="791"/>
      <c r="RH16" s="791"/>
      <c r="RI16" s="791"/>
      <c r="RJ16" s="791"/>
      <c r="RK16" s="791"/>
      <c r="RL16" s="791"/>
      <c r="RM16" s="791"/>
      <c r="RN16" s="791"/>
      <c r="RO16" s="791"/>
      <c r="RP16" s="791"/>
      <c r="RQ16" s="791"/>
      <c r="RR16" s="791"/>
      <c r="RS16" s="791"/>
      <c r="RT16" s="791"/>
      <c r="RU16" s="791"/>
      <c r="RV16" s="791"/>
      <c r="RW16" s="791"/>
      <c r="RX16" s="791"/>
      <c r="RY16" s="791"/>
      <c r="RZ16" s="791"/>
      <c r="SA16" s="791"/>
      <c r="SB16" s="791"/>
      <c r="SC16" s="791"/>
      <c r="SD16" s="791"/>
      <c r="SE16" s="791"/>
      <c r="SF16" s="791"/>
      <c r="SG16" s="791"/>
      <c r="SH16" s="791"/>
      <c r="SI16" s="791"/>
      <c r="SJ16" s="791"/>
      <c r="SK16" s="791"/>
      <c r="SL16" s="791"/>
      <c r="SM16" s="791"/>
      <c r="SN16" s="791"/>
      <c r="SO16" s="791"/>
      <c r="SP16" s="791"/>
      <c r="SQ16" s="791"/>
      <c r="SR16" s="791"/>
      <c r="SS16" s="791"/>
      <c r="ST16" s="791"/>
      <c r="SU16" s="791"/>
      <c r="SV16" s="791"/>
      <c r="SW16" s="791"/>
      <c r="SX16" s="791"/>
      <c r="SY16" s="791"/>
      <c r="SZ16" s="791"/>
      <c r="TA16" s="791"/>
      <c r="TB16" s="791"/>
      <c r="TC16" s="791"/>
      <c r="TD16" s="791"/>
      <c r="TE16" s="791"/>
      <c r="TF16" s="791"/>
      <c r="TG16" s="791"/>
      <c r="TH16" s="791"/>
      <c r="TI16" s="791"/>
      <c r="TJ16" s="791"/>
      <c r="TK16" s="791"/>
      <c r="TL16" s="791"/>
      <c r="TM16" s="791"/>
      <c r="TN16" s="791"/>
      <c r="TO16" s="791"/>
      <c r="TP16" s="791"/>
      <c r="TQ16" s="791"/>
      <c r="TR16" s="791"/>
      <c r="TS16" s="791"/>
      <c r="TT16" s="791"/>
      <c r="TU16" s="791"/>
      <c r="TV16" s="791"/>
      <c r="TW16" s="791"/>
      <c r="TX16" s="791"/>
      <c r="TY16" s="791"/>
      <c r="TZ16" s="791"/>
      <c r="UA16" s="791"/>
      <c r="UB16" s="791"/>
      <c r="UC16" s="791"/>
      <c r="UD16" s="791"/>
      <c r="UE16" s="791"/>
      <c r="UF16" s="791"/>
      <c r="UG16" s="791"/>
      <c r="UH16" s="791"/>
      <c r="UI16" s="791"/>
      <c r="UJ16" s="791"/>
      <c r="UK16" s="791"/>
      <c r="UL16" s="791"/>
      <c r="UM16" s="791"/>
      <c r="UN16" s="791"/>
      <c r="UO16" s="791"/>
      <c r="UP16" s="791"/>
      <c r="UQ16" s="791"/>
      <c r="UR16" s="791"/>
      <c r="US16" s="791"/>
      <c r="UT16" s="791"/>
      <c r="UU16" s="791"/>
      <c r="UV16" s="791"/>
      <c r="UW16" s="791"/>
      <c r="UX16" s="791"/>
      <c r="UY16" s="791"/>
      <c r="UZ16" s="791"/>
      <c r="VA16" s="791"/>
      <c r="VB16" s="791"/>
      <c r="VC16" s="791"/>
      <c r="VD16" s="791"/>
      <c r="VE16" s="791"/>
      <c r="VF16" s="791"/>
      <c r="VG16" s="791"/>
      <c r="VH16" s="791"/>
      <c r="VI16" s="791"/>
      <c r="VJ16" s="791"/>
      <c r="VK16" s="791"/>
      <c r="VL16" s="791"/>
      <c r="VM16" s="791"/>
      <c r="VN16" s="791"/>
      <c r="VO16" s="791"/>
      <c r="VP16" s="791"/>
      <c r="VQ16" s="791"/>
      <c r="VR16" s="791"/>
      <c r="VS16" s="791"/>
      <c r="VT16" s="791"/>
      <c r="VU16" s="791"/>
      <c r="VV16" s="791"/>
      <c r="VW16" s="791"/>
      <c r="VX16" s="791"/>
      <c r="VY16" s="791"/>
      <c r="VZ16" s="791"/>
      <c r="WA16" s="791"/>
      <c r="WB16" s="791"/>
      <c r="WC16" s="791"/>
      <c r="WD16" s="791"/>
      <c r="WE16" s="791"/>
      <c r="WF16" s="791"/>
      <c r="WG16" s="791"/>
      <c r="WH16" s="791"/>
      <c r="WI16" s="791"/>
      <c r="WJ16" s="791"/>
      <c r="WK16" s="791"/>
      <c r="WL16" s="791"/>
      <c r="WM16" s="791"/>
      <c r="WN16" s="791"/>
      <c r="WO16" s="791"/>
      <c r="WP16" s="791"/>
      <c r="WQ16" s="791"/>
      <c r="WR16" s="791"/>
      <c r="WS16" s="791"/>
      <c r="WT16" s="791"/>
      <c r="WU16" s="791"/>
      <c r="WV16" s="791"/>
      <c r="WW16" s="791"/>
      <c r="WX16" s="791"/>
      <c r="WY16" s="791"/>
      <c r="WZ16" s="791"/>
      <c r="XA16" s="791"/>
      <c r="XB16" s="791"/>
      <c r="XC16" s="791"/>
      <c r="XD16" s="791"/>
      <c r="XE16" s="791"/>
      <c r="XF16" s="791"/>
      <c r="XG16" s="791"/>
      <c r="XH16" s="791"/>
      <c r="XI16" s="791"/>
      <c r="XJ16" s="791"/>
      <c r="XK16" s="791"/>
      <c r="XL16" s="791"/>
      <c r="XM16" s="791"/>
      <c r="XN16" s="791"/>
      <c r="XO16" s="791"/>
      <c r="XP16" s="791"/>
      <c r="XQ16" s="791"/>
      <c r="XR16" s="791"/>
      <c r="XS16" s="791"/>
      <c r="XT16" s="791"/>
      <c r="XU16" s="791"/>
      <c r="XV16" s="791"/>
      <c r="XW16" s="791"/>
      <c r="XX16" s="791"/>
      <c r="XY16" s="791"/>
      <c r="XZ16" s="791"/>
      <c r="YA16" s="791"/>
      <c r="YB16" s="791"/>
      <c r="YC16" s="791"/>
      <c r="YD16" s="791"/>
      <c r="YE16" s="791"/>
      <c r="YF16" s="791"/>
      <c r="YG16" s="791"/>
      <c r="YH16" s="791"/>
      <c r="YI16" s="791"/>
      <c r="YJ16" s="791"/>
      <c r="YK16" s="791"/>
      <c r="YL16" s="791"/>
      <c r="YM16" s="791"/>
      <c r="YN16" s="791"/>
      <c r="YO16" s="791"/>
      <c r="YP16" s="791"/>
      <c r="YQ16" s="791"/>
      <c r="YR16" s="791"/>
      <c r="YS16" s="791"/>
      <c r="YT16" s="791"/>
      <c r="YU16" s="791"/>
      <c r="YV16" s="791"/>
      <c r="YW16" s="791"/>
      <c r="YX16" s="791"/>
      <c r="YY16" s="791"/>
      <c r="YZ16" s="791"/>
      <c r="ZA16" s="791"/>
      <c r="ZB16" s="791"/>
      <c r="ZC16" s="791"/>
      <c r="ZD16" s="791"/>
      <c r="ZE16" s="791"/>
      <c r="ZF16" s="791"/>
      <c r="ZG16" s="791"/>
      <c r="ZH16" s="791"/>
      <c r="ZI16" s="791"/>
      <c r="ZJ16" s="791"/>
      <c r="ZK16" s="791"/>
      <c r="ZL16" s="791"/>
      <c r="ZM16" s="791"/>
      <c r="ZN16" s="791"/>
      <c r="ZO16" s="791"/>
      <c r="ZP16" s="791"/>
      <c r="ZQ16" s="791"/>
      <c r="ZR16" s="791"/>
      <c r="ZS16" s="791"/>
      <c r="ZT16" s="791"/>
      <c r="ZU16" s="791"/>
      <c r="ZV16" s="791"/>
      <c r="ZW16" s="791"/>
      <c r="ZX16" s="791"/>
      <c r="ZY16" s="791"/>
      <c r="ZZ16" s="791"/>
      <c r="AAA16" s="791"/>
      <c r="AAB16" s="791"/>
      <c r="AAC16" s="791"/>
      <c r="AAD16" s="791"/>
      <c r="AAE16" s="791"/>
      <c r="AAF16" s="791"/>
      <c r="AAG16" s="791"/>
      <c r="AAH16" s="791"/>
      <c r="AAI16" s="791"/>
      <c r="AAJ16" s="791"/>
      <c r="AAK16" s="791"/>
      <c r="AAL16" s="791"/>
      <c r="AAM16" s="791"/>
      <c r="AAN16" s="791"/>
      <c r="AAO16" s="791"/>
      <c r="AAP16" s="791"/>
      <c r="AAQ16" s="791"/>
      <c r="AAR16" s="791"/>
      <c r="AAS16" s="791"/>
      <c r="AAT16" s="791"/>
      <c r="AAU16" s="791"/>
      <c r="AAV16" s="791"/>
      <c r="AAW16" s="791"/>
      <c r="AAX16" s="791"/>
      <c r="AAY16" s="791"/>
      <c r="AAZ16" s="791"/>
      <c r="ABA16" s="791"/>
      <c r="ABB16" s="791"/>
      <c r="ABC16" s="791"/>
      <c r="ABD16" s="791"/>
      <c r="ABE16" s="791"/>
      <c r="ABF16" s="791"/>
      <c r="ABG16" s="791"/>
      <c r="ABH16" s="791"/>
      <c r="ABI16" s="791"/>
      <c r="ABJ16" s="791"/>
      <c r="ABK16" s="791"/>
      <c r="ABL16" s="791"/>
      <c r="ABM16" s="791"/>
      <c r="ABN16" s="791"/>
      <c r="ABO16" s="791"/>
      <c r="ABP16" s="791"/>
      <c r="ABQ16" s="791"/>
      <c r="ABR16" s="791"/>
      <c r="ABS16" s="791"/>
      <c r="ABT16" s="791"/>
      <c r="ABU16" s="791"/>
      <c r="ABV16" s="791"/>
      <c r="ABW16" s="791"/>
      <c r="ABX16" s="791"/>
      <c r="ABY16" s="791"/>
      <c r="ABZ16" s="791"/>
      <c r="ACA16" s="791"/>
      <c r="ACB16" s="791"/>
      <c r="ACC16" s="791"/>
      <c r="ACD16" s="791"/>
      <c r="ACE16" s="791"/>
      <c r="ACF16" s="791"/>
      <c r="ACG16" s="791"/>
      <c r="ACH16" s="791"/>
      <c r="ACI16" s="791"/>
      <c r="ACJ16" s="791"/>
      <c r="ACK16" s="791"/>
      <c r="ACL16" s="791"/>
      <c r="ACM16" s="791"/>
      <c r="ACN16" s="791"/>
      <c r="ACO16" s="791"/>
      <c r="ACP16" s="791"/>
      <c r="ACQ16" s="791"/>
      <c r="ACR16" s="791"/>
      <c r="ACS16" s="791"/>
      <c r="ACT16" s="791"/>
      <c r="ACU16" s="791"/>
      <c r="ACV16" s="791"/>
      <c r="ACW16" s="791"/>
      <c r="ACX16" s="791"/>
      <c r="ACY16" s="791"/>
      <c r="ACZ16" s="791"/>
      <c r="ADA16" s="791"/>
      <c r="ADB16" s="791"/>
      <c r="ADC16" s="791"/>
      <c r="ADD16" s="791"/>
      <c r="ADE16" s="791"/>
      <c r="ADF16" s="791"/>
      <c r="ADG16" s="791"/>
      <c r="ADH16" s="791"/>
      <c r="ADI16" s="791"/>
      <c r="ADJ16" s="791"/>
      <c r="ADK16" s="791"/>
      <c r="ADL16" s="791"/>
      <c r="ADM16" s="791"/>
      <c r="ADN16" s="791"/>
      <c r="ADO16" s="791"/>
      <c r="ADP16" s="791"/>
      <c r="ADQ16" s="791"/>
      <c r="ADR16" s="791"/>
      <c r="ADS16" s="791"/>
      <c r="ADT16" s="791"/>
      <c r="ADU16" s="791"/>
      <c r="ADV16" s="791"/>
      <c r="ADW16" s="791"/>
      <c r="ADX16" s="791"/>
      <c r="ADY16" s="791"/>
      <c r="ADZ16" s="791"/>
      <c r="AEA16" s="791"/>
      <c r="AEB16" s="791"/>
      <c r="AEC16" s="791"/>
      <c r="AED16" s="791"/>
      <c r="AEE16" s="791"/>
      <c r="AEF16" s="791"/>
      <c r="AEG16" s="791"/>
      <c r="AEH16" s="791"/>
      <c r="AEI16" s="791"/>
      <c r="AEJ16" s="791"/>
      <c r="AEK16" s="791"/>
      <c r="AEL16" s="791"/>
      <c r="AEM16" s="791"/>
      <c r="AEN16" s="791"/>
      <c r="AEO16" s="791"/>
      <c r="AEP16" s="791"/>
      <c r="AEQ16" s="791"/>
      <c r="AER16" s="791"/>
      <c r="AES16" s="791"/>
      <c r="AET16" s="791"/>
      <c r="AEU16" s="791"/>
      <c r="AEV16" s="791"/>
      <c r="AEW16" s="791"/>
      <c r="AEX16" s="791"/>
      <c r="AEY16" s="791"/>
      <c r="AEZ16" s="791"/>
      <c r="AFA16" s="791"/>
      <c r="AFB16" s="791"/>
      <c r="AFC16" s="791"/>
      <c r="AFD16" s="791"/>
      <c r="AFE16" s="791"/>
      <c r="AFF16" s="791"/>
      <c r="AFG16" s="791"/>
      <c r="AFH16" s="791"/>
      <c r="AFI16" s="791"/>
      <c r="AFJ16" s="791"/>
      <c r="AFK16" s="791"/>
      <c r="AFL16" s="791"/>
      <c r="AFM16" s="791"/>
      <c r="AFN16" s="791"/>
      <c r="AFO16" s="791"/>
      <c r="AFP16" s="791"/>
      <c r="AFQ16" s="791"/>
      <c r="AFR16" s="791"/>
      <c r="AFS16" s="791"/>
      <c r="AFT16" s="791"/>
      <c r="AFU16" s="791"/>
      <c r="AFV16" s="791"/>
      <c r="AFW16" s="791"/>
      <c r="AFX16" s="791"/>
      <c r="AFY16" s="791"/>
      <c r="AFZ16" s="791"/>
      <c r="AGA16" s="791"/>
      <c r="AGB16" s="791"/>
      <c r="AGC16" s="791"/>
      <c r="AGD16" s="791"/>
      <c r="AGE16" s="791"/>
      <c r="AGF16" s="791"/>
      <c r="AGG16" s="791"/>
      <c r="AGH16" s="791"/>
      <c r="AGI16" s="791"/>
      <c r="AGJ16" s="791"/>
      <c r="AGK16" s="791"/>
      <c r="AGL16" s="791"/>
      <c r="AGM16" s="791"/>
      <c r="AGN16" s="791"/>
      <c r="AGO16" s="791"/>
      <c r="AGP16" s="791"/>
      <c r="AGQ16" s="791"/>
      <c r="AGR16" s="791"/>
      <c r="AGS16" s="791"/>
      <c r="AGT16" s="791"/>
      <c r="AGU16" s="791"/>
      <c r="AGV16" s="791"/>
      <c r="AGW16" s="791"/>
      <c r="AGX16" s="791"/>
      <c r="AGY16" s="791"/>
      <c r="AGZ16" s="791"/>
      <c r="AHA16" s="791"/>
      <c r="AHB16" s="791"/>
      <c r="AHC16" s="791"/>
      <c r="AHD16" s="791"/>
      <c r="AHE16" s="791"/>
      <c r="AHF16" s="791"/>
      <c r="AHG16" s="791"/>
      <c r="AHH16" s="791"/>
      <c r="AHI16" s="791"/>
      <c r="AHJ16" s="791"/>
      <c r="AHK16" s="791"/>
      <c r="AHL16" s="791"/>
      <c r="AHM16" s="791"/>
      <c r="AHN16" s="791"/>
      <c r="AHO16" s="791"/>
      <c r="AHP16" s="791"/>
      <c r="AHQ16" s="791"/>
      <c r="AHR16" s="791"/>
      <c r="AHS16" s="791"/>
      <c r="AHT16" s="791"/>
      <c r="AHU16" s="791"/>
      <c r="AHV16" s="791"/>
      <c r="AHW16" s="791"/>
      <c r="AHX16" s="791"/>
      <c r="AHY16" s="791"/>
      <c r="AHZ16" s="791"/>
      <c r="AIA16" s="791"/>
      <c r="AIB16" s="791"/>
      <c r="AIC16" s="791"/>
      <c r="AID16" s="791"/>
      <c r="AIE16" s="791"/>
      <c r="AIF16" s="791"/>
      <c r="AIG16" s="791"/>
      <c r="AIH16" s="791"/>
      <c r="AII16" s="791"/>
      <c r="AIJ16" s="791"/>
      <c r="AIK16" s="791"/>
      <c r="AIL16" s="791"/>
      <c r="AIM16" s="791"/>
      <c r="AIN16" s="791"/>
      <c r="AIO16" s="791"/>
      <c r="AIP16" s="791"/>
      <c r="AIQ16" s="791"/>
      <c r="AIR16" s="791"/>
      <c r="AIS16" s="791"/>
      <c r="AIT16" s="791"/>
      <c r="AIU16" s="791"/>
      <c r="AIV16" s="791"/>
      <c r="AIW16" s="791"/>
      <c r="AIX16" s="791"/>
      <c r="AIY16" s="791"/>
      <c r="AIZ16" s="791"/>
      <c r="AJA16" s="791"/>
      <c r="AJB16" s="791"/>
      <c r="AJC16" s="791"/>
      <c r="AJD16" s="791"/>
      <c r="AJE16" s="791"/>
      <c r="AJF16" s="791"/>
      <c r="AJG16" s="791"/>
      <c r="AJH16" s="791"/>
      <c r="AJI16" s="791"/>
      <c r="AJJ16" s="791"/>
      <c r="AJK16" s="791"/>
      <c r="AJL16" s="791"/>
      <c r="AJM16" s="791"/>
      <c r="AJN16" s="791"/>
      <c r="AJO16" s="791"/>
      <c r="AJP16" s="791"/>
      <c r="AJQ16" s="791"/>
      <c r="AJR16" s="791"/>
      <c r="AJS16" s="791"/>
      <c r="AJT16" s="791"/>
      <c r="AJU16" s="791"/>
      <c r="AJV16" s="791"/>
      <c r="AJW16" s="791"/>
      <c r="AJX16" s="791"/>
      <c r="AJY16" s="791"/>
      <c r="AJZ16" s="791"/>
      <c r="AKA16" s="791"/>
      <c r="AKB16" s="791"/>
      <c r="AKC16" s="791"/>
      <c r="AKD16" s="791"/>
      <c r="AKE16" s="791"/>
      <c r="AKF16" s="791"/>
      <c r="AKG16" s="791"/>
      <c r="AKH16" s="791"/>
      <c r="AKI16" s="791"/>
      <c r="AKJ16" s="791"/>
      <c r="AKK16" s="791"/>
      <c r="AKL16" s="791"/>
      <c r="AKM16" s="791"/>
      <c r="AKN16" s="791"/>
      <c r="AKO16" s="791"/>
      <c r="AKP16" s="791"/>
      <c r="AKQ16" s="791"/>
      <c r="AKR16" s="791"/>
      <c r="AKS16" s="791"/>
      <c r="AKT16" s="791"/>
      <c r="AKU16" s="791"/>
      <c r="AKV16" s="791"/>
      <c r="AKW16" s="791"/>
      <c r="AKX16" s="791"/>
      <c r="AKY16" s="791"/>
      <c r="AKZ16" s="791"/>
      <c r="ALA16" s="791"/>
      <c r="ALB16" s="791"/>
      <c r="ALC16" s="791"/>
      <c r="ALD16" s="791"/>
      <c r="ALE16" s="791"/>
      <c r="ALF16" s="791"/>
      <c r="ALG16" s="791"/>
      <c r="ALH16" s="791"/>
      <c r="ALI16" s="791"/>
      <c r="ALJ16" s="791"/>
      <c r="ALK16" s="791"/>
      <c r="ALL16" s="791"/>
      <c r="ALM16" s="791"/>
      <c r="ALN16" s="791"/>
      <c r="ALO16" s="791"/>
      <c r="ALP16" s="791"/>
      <c r="ALQ16" s="791"/>
      <c r="ALR16" s="791"/>
      <c r="ALS16" s="791"/>
      <c r="ALT16" s="791"/>
      <c r="ALU16" s="791"/>
      <c r="ALV16" s="791"/>
      <c r="ALW16" s="791"/>
      <c r="ALX16" s="791"/>
      <c r="ALY16" s="791"/>
      <c r="ALZ16" s="791"/>
      <c r="AMA16" s="791"/>
      <c r="AMB16" s="791"/>
      <c r="AMC16" s="791"/>
      <c r="AMD16" s="791"/>
      <c r="AME16" s="791"/>
      <c r="AMF16" s="791"/>
      <c r="AMG16" s="791"/>
      <c r="AMH16" s="791"/>
      <c r="AMI16" s="791"/>
      <c r="AMJ16" s="791"/>
      <c r="AMK16" s="791"/>
    </row>
    <row r="17" spans="1:1025" ht="30.75" customHeight="1" thickTop="1" thickBot="1">
      <c r="A17" s="630" t="s">
        <v>695</v>
      </c>
      <c r="B17" s="621"/>
      <c r="C17" s="631" t="s">
        <v>665</v>
      </c>
      <c r="D17" s="621"/>
      <c r="E17" s="621"/>
      <c r="F17" s="632" t="s">
        <v>666</v>
      </c>
      <c r="G17" s="617"/>
      <c r="H17" s="616"/>
      <c r="I17" s="365"/>
      <c r="J17" s="365"/>
      <c r="K17" s="365"/>
      <c r="L17" s="365"/>
      <c r="M17" s="365"/>
      <c r="N17" s="365"/>
      <c r="O17" s="365"/>
      <c r="P17" s="1446"/>
      <c r="R17" s="257"/>
      <c r="S17" s="296"/>
      <c r="T17" s="297"/>
      <c r="U17" s="1518"/>
      <c r="V17" s="283"/>
      <c r="W17" s="284"/>
      <c r="X17" s="284"/>
      <c r="Y17" s="271"/>
      <c r="Z17" s="272"/>
      <c r="AA17" s="273"/>
      <c r="AB17" s="260"/>
      <c r="AC17" s="300"/>
      <c r="AD17" s="1494"/>
      <c r="AE17" s="1494"/>
      <c r="AF17" s="1494"/>
      <c r="AG17" s="1494"/>
      <c r="AH17" s="1494"/>
      <c r="AI17" s="1494"/>
      <c r="AJ17" s="1475"/>
      <c r="AK17" s="1493"/>
      <c r="AL17" s="1475"/>
      <c r="AM17" s="289"/>
      <c r="AN17" s="260"/>
      <c r="AO17" s="260"/>
    </row>
    <row r="18" spans="1:1025" s="697" customFormat="1" ht="30.75" customHeight="1" thickBot="1">
      <c r="A18" s="1355" t="str">
        <f>G106</f>
        <v>FASIL N.</v>
      </c>
      <c r="B18" s="718"/>
      <c r="C18" s="719" t="s">
        <v>699</v>
      </c>
      <c r="D18" s="720"/>
      <c r="E18" s="721"/>
      <c r="F18" s="722" t="str">
        <f>G110</f>
        <v>AMARE M.</v>
      </c>
      <c r="G18" s="1529"/>
      <c r="H18" s="1529"/>
      <c r="I18" s="1529"/>
      <c r="J18" s="1529"/>
      <c r="K18" s="1529"/>
      <c r="L18" s="1529"/>
      <c r="M18" s="1529"/>
      <c r="N18" s="1529"/>
      <c r="O18" s="1529"/>
      <c r="P18" s="724"/>
      <c r="Q18" s="725"/>
      <c r="R18" s="726"/>
      <c r="S18" s="727"/>
      <c r="T18" s="728"/>
      <c r="U18" s="1528"/>
      <c r="V18" s="730"/>
      <c r="W18" s="731"/>
      <c r="X18" s="731"/>
      <c r="Y18" s="732"/>
      <c r="Z18" s="733"/>
      <c r="AA18" s="717"/>
      <c r="AB18" s="734"/>
      <c r="AC18" s="735"/>
      <c r="AD18" s="1527"/>
      <c r="AE18" s="1527"/>
      <c r="AF18" s="1527"/>
      <c r="AG18" s="1527"/>
      <c r="AH18" s="1527"/>
      <c r="AI18" s="1527"/>
      <c r="AJ18" s="1525"/>
      <c r="AK18" s="1526"/>
      <c r="AL18" s="1525"/>
      <c r="AM18" s="739"/>
      <c r="AN18" s="734"/>
      <c r="AO18" s="734"/>
      <c r="AP18" s="740"/>
      <c r="AQ18" s="740"/>
      <c r="AR18" s="740"/>
      <c r="AS18" s="740"/>
      <c r="AT18" s="740"/>
      <c r="AU18" s="725"/>
      <c r="AV18" s="725"/>
      <c r="AW18" s="725"/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  <c r="BM18" s="725"/>
      <c r="BN18" s="725"/>
      <c r="BO18" s="725"/>
      <c r="BP18" s="725"/>
      <c r="BQ18" s="725"/>
      <c r="BR18" s="725"/>
      <c r="BS18" s="725"/>
      <c r="BT18" s="725"/>
      <c r="BU18" s="725"/>
      <c r="BV18" s="725"/>
      <c r="BW18" s="725"/>
      <c r="BX18" s="725"/>
      <c r="BY18" s="725"/>
      <c r="BZ18" s="725"/>
      <c r="CA18" s="725"/>
      <c r="CB18" s="725"/>
      <c r="CC18" s="725"/>
      <c r="CD18" s="725"/>
      <c r="CE18" s="725"/>
      <c r="CF18" s="725"/>
      <c r="CG18" s="725"/>
      <c r="CH18" s="725"/>
      <c r="CI18" s="725"/>
      <c r="CJ18" s="725"/>
      <c r="CK18" s="725"/>
      <c r="CL18" s="725"/>
      <c r="CM18" s="725"/>
      <c r="CN18" s="725"/>
      <c r="CO18" s="725"/>
      <c r="CP18" s="725"/>
      <c r="CQ18" s="725"/>
      <c r="CR18" s="725"/>
      <c r="CS18" s="725"/>
      <c r="CT18" s="725"/>
      <c r="CU18" s="725"/>
      <c r="CV18" s="725"/>
      <c r="CW18" s="725"/>
      <c r="CX18" s="725"/>
      <c r="CY18" s="725"/>
      <c r="CZ18" s="725"/>
      <c r="DA18" s="725"/>
      <c r="DB18" s="725"/>
      <c r="DC18" s="725"/>
      <c r="DD18" s="725"/>
      <c r="DE18" s="725"/>
      <c r="DF18" s="725"/>
      <c r="DG18" s="725"/>
      <c r="DH18" s="725"/>
      <c r="DI18" s="725"/>
      <c r="DJ18" s="725"/>
      <c r="DK18" s="725"/>
      <c r="DL18" s="725"/>
      <c r="DM18" s="725"/>
      <c r="DN18" s="725"/>
      <c r="DO18" s="725"/>
      <c r="DP18" s="725"/>
      <c r="DQ18" s="725"/>
      <c r="DR18" s="725"/>
      <c r="DS18" s="725"/>
      <c r="DT18" s="725"/>
      <c r="DU18" s="725"/>
      <c r="DV18" s="725"/>
      <c r="DW18" s="725"/>
      <c r="DX18" s="725"/>
      <c r="DY18" s="725"/>
      <c r="DZ18" s="725"/>
      <c r="EA18" s="725"/>
      <c r="EB18" s="725"/>
      <c r="EC18" s="725"/>
      <c r="ED18" s="725"/>
      <c r="EE18" s="725"/>
      <c r="EF18" s="725"/>
      <c r="EG18" s="725"/>
      <c r="EH18" s="725"/>
      <c r="EI18" s="725"/>
      <c r="EJ18" s="725"/>
      <c r="EK18" s="725"/>
      <c r="EL18" s="725"/>
      <c r="EM18" s="725"/>
      <c r="EN18" s="725"/>
      <c r="EO18" s="725"/>
      <c r="EP18" s="725"/>
      <c r="EQ18" s="725"/>
      <c r="ER18" s="725"/>
      <c r="ES18" s="725"/>
      <c r="ET18" s="725"/>
      <c r="EU18" s="725"/>
      <c r="EV18" s="725"/>
      <c r="EW18" s="725"/>
      <c r="EX18" s="725"/>
      <c r="EY18" s="725"/>
      <c r="EZ18" s="725"/>
      <c r="FA18" s="725"/>
      <c r="FB18" s="725"/>
      <c r="FC18" s="725"/>
      <c r="FD18" s="725"/>
      <c r="FE18" s="725"/>
      <c r="FF18" s="725"/>
      <c r="FG18" s="725"/>
      <c r="FH18" s="725"/>
      <c r="FI18" s="725"/>
      <c r="FJ18" s="725"/>
      <c r="FK18" s="725"/>
      <c r="FL18" s="725"/>
      <c r="FM18" s="725"/>
      <c r="FN18" s="725"/>
      <c r="FO18" s="725"/>
      <c r="FP18" s="725"/>
      <c r="FQ18" s="725"/>
      <c r="FR18" s="725"/>
      <c r="FS18" s="725"/>
      <c r="FT18" s="725"/>
      <c r="FU18" s="725"/>
      <c r="FV18" s="725"/>
      <c r="FW18" s="725"/>
      <c r="FX18" s="725"/>
      <c r="FY18" s="725"/>
      <c r="FZ18" s="725"/>
      <c r="GA18" s="725"/>
      <c r="GB18" s="725"/>
      <c r="GC18" s="725"/>
      <c r="GD18" s="725"/>
      <c r="GE18" s="725"/>
      <c r="GF18" s="725"/>
      <c r="GG18" s="725"/>
      <c r="GH18" s="725"/>
      <c r="GI18" s="725"/>
      <c r="GJ18" s="725"/>
      <c r="GK18" s="725"/>
      <c r="GL18" s="725"/>
      <c r="GM18" s="725"/>
      <c r="GN18" s="725"/>
      <c r="GO18" s="725"/>
      <c r="GP18" s="725"/>
      <c r="GQ18" s="725"/>
      <c r="GR18" s="725"/>
      <c r="GS18" s="725"/>
      <c r="GT18" s="725"/>
      <c r="GU18" s="725"/>
      <c r="GV18" s="725"/>
      <c r="GW18" s="725"/>
      <c r="GX18" s="725"/>
      <c r="GY18" s="725"/>
      <c r="GZ18" s="725"/>
      <c r="HA18" s="725"/>
      <c r="HB18" s="725"/>
      <c r="HC18" s="725"/>
      <c r="HD18" s="725"/>
      <c r="HE18" s="725"/>
      <c r="HF18" s="725"/>
      <c r="HG18" s="725"/>
      <c r="HH18" s="725"/>
      <c r="HI18" s="725"/>
      <c r="HJ18" s="725"/>
      <c r="HK18" s="725"/>
      <c r="HL18" s="725"/>
      <c r="HM18" s="725"/>
      <c r="HN18" s="725"/>
      <c r="HO18" s="725"/>
      <c r="HP18" s="725"/>
      <c r="HQ18" s="725"/>
      <c r="HR18" s="725"/>
      <c r="HS18" s="725"/>
      <c r="HT18" s="725"/>
      <c r="HU18" s="725"/>
      <c r="HV18" s="725"/>
      <c r="HW18" s="725"/>
      <c r="HX18" s="725"/>
      <c r="HY18" s="725"/>
      <c r="HZ18" s="725"/>
      <c r="IA18" s="725"/>
      <c r="IB18" s="725"/>
      <c r="IC18" s="725"/>
      <c r="ID18" s="725"/>
      <c r="IE18" s="725"/>
      <c r="IF18" s="725"/>
      <c r="IG18" s="725"/>
      <c r="IH18" s="725"/>
      <c r="II18" s="725"/>
      <c r="IJ18" s="725"/>
      <c r="IK18" s="725"/>
      <c r="IL18" s="725"/>
      <c r="IM18" s="725"/>
      <c r="IN18" s="725"/>
      <c r="IO18" s="725"/>
      <c r="IP18" s="725"/>
      <c r="IQ18" s="725"/>
      <c r="IR18" s="725"/>
      <c r="IS18" s="725"/>
      <c r="IT18" s="725"/>
      <c r="IU18" s="725"/>
      <c r="IV18" s="725"/>
      <c r="IW18" s="725"/>
      <c r="IX18" s="725"/>
      <c r="IY18" s="725"/>
      <c r="IZ18" s="725"/>
      <c r="JA18" s="725"/>
      <c r="JB18" s="725"/>
      <c r="JC18" s="725"/>
      <c r="JD18" s="725"/>
      <c r="JE18" s="725"/>
      <c r="JF18" s="725"/>
      <c r="JG18" s="725"/>
      <c r="JH18" s="725"/>
      <c r="JI18" s="725"/>
      <c r="JJ18" s="725"/>
      <c r="JK18" s="725"/>
      <c r="JL18" s="725"/>
      <c r="JM18" s="725"/>
      <c r="JN18" s="725"/>
      <c r="JO18" s="725"/>
      <c r="JP18" s="725"/>
      <c r="JQ18" s="725"/>
      <c r="JR18" s="725"/>
      <c r="JS18" s="725"/>
      <c r="JT18" s="725"/>
      <c r="JU18" s="725"/>
      <c r="JV18" s="725"/>
      <c r="JW18" s="725"/>
      <c r="JX18" s="725"/>
      <c r="JY18" s="725"/>
      <c r="JZ18" s="725"/>
      <c r="KA18" s="725"/>
      <c r="KB18" s="725"/>
      <c r="KC18" s="725"/>
      <c r="KD18" s="725"/>
      <c r="KE18" s="725"/>
      <c r="KF18" s="725"/>
      <c r="KG18" s="725"/>
      <c r="KH18" s="725"/>
      <c r="KI18" s="725"/>
      <c r="KJ18" s="725"/>
      <c r="KK18" s="725"/>
      <c r="KL18" s="725"/>
      <c r="KM18" s="725"/>
      <c r="KN18" s="725"/>
      <c r="KO18" s="725"/>
      <c r="KP18" s="725"/>
      <c r="KQ18" s="725"/>
      <c r="KR18" s="725"/>
      <c r="KS18" s="725"/>
      <c r="KT18" s="725"/>
      <c r="KU18" s="725"/>
      <c r="KV18" s="725"/>
      <c r="KW18" s="725"/>
      <c r="KX18" s="725"/>
      <c r="KY18" s="725"/>
      <c r="KZ18" s="725"/>
      <c r="LA18" s="725"/>
      <c r="LB18" s="725"/>
      <c r="LC18" s="725"/>
      <c r="LD18" s="725"/>
      <c r="LE18" s="725"/>
      <c r="LF18" s="725"/>
      <c r="LG18" s="725"/>
      <c r="LH18" s="725"/>
      <c r="LI18" s="725"/>
      <c r="LJ18" s="725"/>
      <c r="LK18" s="725"/>
      <c r="LL18" s="725"/>
      <c r="LM18" s="725"/>
      <c r="LN18" s="725"/>
      <c r="LO18" s="725"/>
      <c r="LP18" s="725"/>
      <c r="LQ18" s="725"/>
      <c r="LR18" s="725"/>
      <c r="LS18" s="725"/>
      <c r="LT18" s="725"/>
      <c r="LU18" s="725"/>
      <c r="LV18" s="725"/>
      <c r="LW18" s="725"/>
      <c r="LX18" s="725"/>
      <c r="LY18" s="725"/>
      <c r="LZ18" s="725"/>
      <c r="MA18" s="725"/>
      <c r="MB18" s="725"/>
      <c r="MC18" s="725"/>
      <c r="MD18" s="725"/>
      <c r="ME18" s="725"/>
      <c r="MF18" s="725"/>
      <c r="MG18" s="725"/>
      <c r="MH18" s="725"/>
      <c r="MI18" s="725"/>
      <c r="MJ18" s="725"/>
      <c r="MK18" s="725"/>
      <c r="ML18" s="725"/>
      <c r="MM18" s="725"/>
      <c r="MN18" s="725"/>
      <c r="MO18" s="725"/>
      <c r="MP18" s="725"/>
      <c r="MQ18" s="725"/>
      <c r="MR18" s="725"/>
      <c r="MS18" s="725"/>
      <c r="MT18" s="725"/>
      <c r="MU18" s="725"/>
      <c r="MV18" s="725"/>
      <c r="MW18" s="725"/>
      <c r="MX18" s="725"/>
      <c r="MY18" s="725"/>
      <c r="MZ18" s="725"/>
      <c r="NA18" s="725"/>
      <c r="NB18" s="725"/>
      <c r="NC18" s="725"/>
      <c r="ND18" s="725"/>
      <c r="NE18" s="725"/>
      <c r="NF18" s="725"/>
      <c r="NG18" s="725"/>
      <c r="NH18" s="725"/>
      <c r="NI18" s="725"/>
      <c r="NJ18" s="725"/>
      <c r="NK18" s="725"/>
      <c r="NL18" s="725"/>
      <c r="NM18" s="725"/>
      <c r="NN18" s="725"/>
      <c r="NO18" s="725"/>
      <c r="NP18" s="725"/>
      <c r="NQ18" s="725"/>
      <c r="NR18" s="725"/>
      <c r="NS18" s="725"/>
      <c r="NT18" s="725"/>
      <c r="NU18" s="725"/>
      <c r="NV18" s="725"/>
      <c r="NW18" s="725"/>
      <c r="NX18" s="725"/>
      <c r="NY18" s="725"/>
      <c r="NZ18" s="725"/>
      <c r="OA18" s="725"/>
      <c r="OB18" s="725"/>
      <c r="OC18" s="725"/>
      <c r="OD18" s="725"/>
      <c r="OE18" s="725"/>
      <c r="OF18" s="725"/>
      <c r="OG18" s="725"/>
      <c r="OH18" s="725"/>
      <c r="OI18" s="725"/>
      <c r="OJ18" s="725"/>
      <c r="OK18" s="725"/>
      <c r="OL18" s="725"/>
      <c r="OM18" s="725"/>
      <c r="ON18" s="725"/>
      <c r="OO18" s="725"/>
      <c r="OP18" s="725"/>
      <c r="OQ18" s="725"/>
      <c r="OR18" s="725"/>
      <c r="OS18" s="725"/>
      <c r="OT18" s="725"/>
      <c r="OU18" s="725"/>
      <c r="OV18" s="725"/>
      <c r="OW18" s="725"/>
      <c r="OX18" s="725"/>
      <c r="OY18" s="725"/>
      <c r="OZ18" s="725"/>
      <c r="PA18" s="725"/>
      <c r="PB18" s="725"/>
      <c r="PC18" s="725"/>
      <c r="PD18" s="725"/>
      <c r="PE18" s="725"/>
      <c r="PF18" s="725"/>
      <c r="PG18" s="725"/>
      <c r="PH18" s="725"/>
      <c r="PI18" s="725"/>
      <c r="PJ18" s="725"/>
      <c r="PK18" s="725"/>
      <c r="PL18" s="725"/>
      <c r="PM18" s="725"/>
      <c r="PN18" s="725"/>
      <c r="PO18" s="725"/>
      <c r="PP18" s="725"/>
      <c r="PQ18" s="725"/>
      <c r="PR18" s="725"/>
      <c r="PS18" s="725"/>
      <c r="PT18" s="725"/>
      <c r="PU18" s="725"/>
      <c r="PV18" s="725"/>
      <c r="PW18" s="725"/>
      <c r="PX18" s="725"/>
      <c r="PY18" s="725"/>
      <c r="PZ18" s="725"/>
      <c r="QA18" s="725"/>
      <c r="QB18" s="725"/>
      <c r="QC18" s="725"/>
      <c r="QD18" s="725"/>
      <c r="QE18" s="725"/>
      <c r="QF18" s="725"/>
      <c r="QG18" s="725"/>
      <c r="QH18" s="725"/>
      <c r="QI18" s="725"/>
      <c r="QJ18" s="725"/>
      <c r="QK18" s="725"/>
      <c r="QL18" s="725"/>
      <c r="QM18" s="725"/>
      <c r="QN18" s="725"/>
      <c r="QO18" s="725"/>
      <c r="QP18" s="725"/>
      <c r="QQ18" s="725"/>
      <c r="QR18" s="725"/>
      <c r="QS18" s="725"/>
      <c r="QT18" s="725"/>
      <c r="QU18" s="725"/>
      <c r="QV18" s="725"/>
      <c r="QW18" s="725"/>
      <c r="QX18" s="725"/>
      <c r="QY18" s="725"/>
      <c r="QZ18" s="725"/>
      <c r="RA18" s="725"/>
      <c r="RB18" s="725"/>
      <c r="RC18" s="725"/>
      <c r="RD18" s="725"/>
      <c r="RE18" s="725"/>
      <c r="RF18" s="725"/>
      <c r="RG18" s="725"/>
      <c r="RH18" s="725"/>
      <c r="RI18" s="725"/>
      <c r="RJ18" s="725"/>
      <c r="RK18" s="725"/>
      <c r="RL18" s="725"/>
      <c r="RM18" s="725"/>
      <c r="RN18" s="725"/>
      <c r="RO18" s="725"/>
      <c r="RP18" s="725"/>
      <c r="RQ18" s="725"/>
      <c r="RR18" s="725"/>
      <c r="RS18" s="725"/>
      <c r="RT18" s="725"/>
      <c r="RU18" s="725"/>
      <c r="RV18" s="725"/>
      <c r="RW18" s="725"/>
      <c r="RX18" s="725"/>
      <c r="RY18" s="725"/>
      <c r="RZ18" s="725"/>
      <c r="SA18" s="725"/>
      <c r="SB18" s="725"/>
      <c r="SC18" s="725"/>
      <c r="SD18" s="725"/>
      <c r="SE18" s="725"/>
      <c r="SF18" s="725"/>
      <c r="SG18" s="725"/>
      <c r="SH18" s="725"/>
      <c r="SI18" s="725"/>
      <c r="SJ18" s="725"/>
      <c r="SK18" s="725"/>
      <c r="SL18" s="725"/>
      <c r="SM18" s="725"/>
      <c r="SN18" s="725"/>
      <c r="SO18" s="725"/>
      <c r="SP18" s="725"/>
      <c r="SQ18" s="725"/>
      <c r="SR18" s="725"/>
      <c r="SS18" s="725"/>
      <c r="ST18" s="725"/>
      <c r="SU18" s="725"/>
      <c r="SV18" s="725"/>
      <c r="SW18" s="725"/>
      <c r="SX18" s="725"/>
      <c r="SY18" s="725"/>
      <c r="SZ18" s="725"/>
      <c r="TA18" s="725"/>
      <c r="TB18" s="725"/>
      <c r="TC18" s="725"/>
      <c r="TD18" s="725"/>
      <c r="TE18" s="725"/>
      <c r="TF18" s="725"/>
      <c r="TG18" s="725"/>
      <c r="TH18" s="725"/>
      <c r="TI18" s="725"/>
      <c r="TJ18" s="725"/>
      <c r="TK18" s="725"/>
      <c r="TL18" s="725"/>
      <c r="TM18" s="725"/>
      <c r="TN18" s="725"/>
      <c r="TO18" s="725"/>
      <c r="TP18" s="725"/>
      <c r="TQ18" s="725"/>
      <c r="TR18" s="725"/>
      <c r="TS18" s="725"/>
      <c r="TT18" s="725"/>
      <c r="TU18" s="725"/>
      <c r="TV18" s="725"/>
      <c r="TW18" s="725"/>
      <c r="TX18" s="725"/>
      <c r="TY18" s="725"/>
      <c r="TZ18" s="725"/>
      <c r="UA18" s="725"/>
      <c r="UB18" s="725"/>
      <c r="UC18" s="725"/>
      <c r="UD18" s="725"/>
      <c r="UE18" s="725"/>
      <c r="UF18" s="725"/>
      <c r="UG18" s="725"/>
      <c r="UH18" s="725"/>
      <c r="UI18" s="725"/>
      <c r="UJ18" s="725"/>
      <c r="UK18" s="725"/>
      <c r="UL18" s="725"/>
      <c r="UM18" s="725"/>
      <c r="UN18" s="725"/>
      <c r="UO18" s="725"/>
      <c r="UP18" s="725"/>
      <c r="UQ18" s="725"/>
      <c r="UR18" s="725"/>
      <c r="US18" s="725"/>
      <c r="UT18" s="725"/>
      <c r="UU18" s="725"/>
      <c r="UV18" s="725"/>
      <c r="UW18" s="725"/>
      <c r="UX18" s="725"/>
      <c r="UY18" s="725"/>
      <c r="UZ18" s="725"/>
      <c r="VA18" s="725"/>
      <c r="VB18" s="725"/>
      <c r="VC18" s="725"/>
      <c r="VD18" s="725"/>
      <c r="VE18" s="725"/>
      <c r="VF18" s="725"/>
      <c r="VG18" s="725"/>
      <c r="VH18" s="725"/>
      <c r="VI18" s="725"/>
      <c r="VJ18" s="725"/>
      <c r="VK18" s="725"/>
      <c r="VL18" s="725"/>
      <c r="VM18" s="725"/>
      <c r="VN18" s="725"/>
      <c r="VO18" s="725"/>
      <c r="VP18" s="725"/>
      <c r="VQ18" s="725"/>
      <c r="VR18" s="725"/>
      <c r="VS18" s="725"/>
      <c r="VT18" s="725"/>
      <c r="VU18" s="725"/>
      <c r="VV18" s="725"/>
      <c r="VW18" s="725"/>
      <c r="VX18" s="725"/>
      <c r="VY18" s="725"/>
      <c r="VZ18" s="725"/>
      <c r="WA18" s="725"/>
      <c r="WB18" s="725"/>
      <c r="WC18" s="725"/>
      <c r="WD18" s="725"/>
      <c r="WE18" s="725"/>
      <c r="WF18" s="725"/>
      <c r="WG18" s="725"/>
      <c r="WH18" s="725"/>
      <c r="WI18" s="725"/>
      <c r="WJ18" s="725"/>
      <c r="WK18" s="725"/>
      <c r="WL18" s="725"/>
      <c r="WM18" s="725"/>
      <c r="WN18" s="725"/>
      <c r="WO18" s="725"/>
      <c r="WP18" s="725"/>
      <c r="WQ18" s="725"/>
      <c r="WR18" s="725"/>
      <c r="WS18" s="725"/>
      <c r="WT18" s="725"/>
      <c r="WU18" s="725"/>
      <c r="WV18" s="725"/>
      <c r="WW18" s="725"/>
      <c r="WX18" s="725"/>
      <c r="WY18" s="725"/>
      <c r="WZ18" s="725"/>
      <c r="XA18" s="725"/>
      <c r="XB18" s="725"/>
      <c r="XC18" s="725"/>
      <c r="XD18" s="725"/>
      <c r="XE18" s="725"/>
      <c r="XF18" s="725"/>
      <c r="XG18" s="725"/>
      <c r="XH18" s="725"/>
      <c r="XI18" s="725"/>
      <c r="XJ18" s="725"/>
      <c r="XK18" s="725"/>
      <c r="XL18" s="725"/>
      <c r="XM18" s="725"/>
      <c r="XN18" s="725"/>
      <c r="XO18" s="725"/>
      <c r="XP18" s="725"/>
      <c r="XQ18" s="725"/>
      <c r="XR18" s="725"/>
      <c r="XS18" s="725"/>
      <c r="XT18" s="725"/>
      <c r="XU18" s="725"/>
      <c r="XV18" s="725"/>
      <c r="XW18" s="725"/>
      <c r="XX18" s="725"/>
      <c r="XY18" s="725"/>
      <c r="XZ18" s="725"/>
      <c r="YA18" s="725"/>
      <c r="YB18" s="725"/>
      <c r="YC18" s="725"/>
      <c r="YD18" s="725"/>
      <c r="YE18" s="725"/>
      <c r="YF18" s="725"/>
      <c r="YG18" s="725"/>
      <c r="YH18" s="725"/>
      <c r="YI18" s="725"/>
      <c r="YJ18" s="725"/>
      <c r="YK18" s="725"/>
      <c r="YL18" s="725"/>
      <c r="YM18" s="725"/>
      <c r="YN18" s="725"/>
      <c r="YO18" s="725"/>
      <c r="YP18" s="725"/>
      <c r="YQ18" s="725"/>
      <c r="YR18" s="725"/>
      <c r="YS18" s="725"/>
      <c r="YT18" s="725"/>
      <c r="YU18" s="725"/>
      <c r="YV18" s="725"/>
      <c r="YW18" s="725"/>
      <c r="YX18" s="725"/>
      <c r="YY18" s="725"/>
      <c r="YZ18" s="725"/>
      <c r="ZA18" s="725"/>
      <c r="ZB18" s="725"/>
      <c r="ZC18" s="725"/>
      <c r="ZD18" s="725"/>
      <c r="ZE18" s="725"/>
      <c r="ZF18" s="725"/>
      <c r="ZG18" s="725"/>
      <c r="ZH18" s="725"/>
      <c r="ZI18" s="725"/>
      <c r="ZJ18" s="725"/>
      <c r="ZK18" s="725"/>
      <c r="ZL18" s="725"/>
      <c r="ZM18" s="725"/>
      <c r="ZN18" s="725"/>
      <c r="ZO18" s="725"/>
      <c r="ZP18" s="725"/>
      <c r="ZQ18" s="725"/>
      <c r="ZR18" s="725"/>
      <c r="ZS18" s="725"/>
      <c r="ZT18" s="725"/>
      <c r="ZU18" s="725"/>
      <c r="ZV18" s="725"/>
      <c r="ZW18" s="725"/>
      <c r="ZX18" s="725"/>
      <c r="ZY18" s="725"/>
      <c r="ZZ18" s="725"/>
      <c r="AAA18" s="725"/>
      <c r="AAB18" s="725"/>
      <c r="AAC18" s="725"/>
      <c r="AAD18" s="725"/>
      <c r="AAE18" s="725"/>
      <c r="AAF18" s="725"/>
      <c r="AAG18" s="725"/>
      <c r="AAH18" s="725"/>
      <c r="AAI18" s="725"/>
      <c r="AAJ18" s="725"/>
      <c r="AAK18" s="725"/>
      <c r="AAL18" s="725"/>
      <c r="AAM18" s="725"/>
      <c r="AAN18" s="725"/>
      <c r="AAO18" s="725"/>
      <c r="AAP18" s="725"/>
      <c r="AAQ18" s="725"/>
      <c r="AAR18" s="725"/>
      <c r="AAS18" s="725"/>
      <c r="AAT18" s="725"/>
      <c r="AAU18" s="725"/>
      <c r="AAV18" s="725"/>
      <c r="AAW18" s="725"/>
      <c r="AAX18" s="725"/>
      <c r="AAY18" s="725"/>
      <c r="AAZ18" s="725"/>
      <c r="ABA18" s="725"/>
      <c r="ABB18" s="725"/>
      <c r="ABC18" s="725"/>
      <c r="ABD18" s="725"/>
      <c r="ABE18" s="725"/>
      <c r="ABF18" s="725"/>
      <c r="ABG18" s="725"/>
      <c r="ABH18" s="725"/>
      <c r="ABI18" s="725"/>
      <c r="ABJ18" s="725"/>
      <c r="ABK18" s="725"/>
      <c r="ABL18" s="725"/>
      <c r="ABM18" s="725"/>
      <c r="ABN18" s="725"/>
      <c r="ABO18" s="725"/>
      <c r="ABP18" s="725"/>
      <c r="ABQ18" s="725"/>
      <c r="ABR18" s="725"/>
      <c r="ABS18" s="725"/>
      <c r="ABT18" s="725"/>
      <c r="ABU18" s="725"/>
      <c r="ABV18" s="725"/>
      <c r="ABW18" s="725"/>
      <c r="ABX18" s="725"/>
      <c r="ABY18" s="725"/>
      <c r="ABZ18" s="725"/>
      <c r="ACA18" s="725"/>
      <c r="ACB18" s="725"/>
      <c r="ACC18" s="725"/>
      <c r="ACD18" s="725"/>
      <c r="ACE18" s="725"/>
      <c r="ACF18" s="725"/>
      <c r="ACG18" s="725"/>
      <c r="ACH18" s="725"/>
      <c r="ACI18" s="725"/>
      <c r="ACJ18" s="725"/>
      <c r="ACK18" s="725"/>
      <c r="ACL18" s="725"/>
      <c r="ACM18" s="725"/>
      <c r="ACN18" s="725"/>
      <c r="ACO18" s="725"/>
      <c r="ACP18" s="725"/>
      <c r="ACQ18" s="725"/>
      <c r="ACR18" s="725"/>
      <c r="ACS18" s="725"/>
      <c r="ACT18" s="725"/>
      <c r="ACU18" s="725"/>
      <c r="ACV18" s="725"/>
      <c r="ACW18" s="725"/>
      <c r="ACX18" s="725"/>
      <c r="ACY18" s="725"/>
      <c r="ACZ18" s="725"/>
      <c r="ADA18" s="725"/>
      <c r="ADB18" s="725"/>
      <c r="ADC18" s="725"/>
      <c r="ADD18" s="725"/>
      <c r="ADE18" s="725"/>
      <c r="ADF18" s="725"/>
      <c r="ADG18" s="725"/>
      <c r="ADH18" s="725"/>
      <c r="ADI18" s="725"/>
      <c r="ADJ18" s="725"/>
      <c r="ADK18" s="725"/>
      <c r="ADL18" s="725"/>
      <c r="ADM18" s="725"/>
      <c r="ADN18" s="725"/>
      <c r="ADO18" s="725"/>
      <c r="ADP18" s="725"/>
      <c r="ADQ18" s="725"/>
      <c r="ADR18" s="725"/>
      <c r="ADS18" s="725"/>
      <c r="ADT18" s="725"/>
      <c r="ADU18" s="725"/>
      <c r="ADV18" s="725"/>
      <c r="ADW18" s="725"/>
      <c r="ADX18" s="725"/>
      <c r="ADY18" s="725"/>
      <c r="ADZ18" s="725"/>
      <c r="AEA18" s="725"/>
      <c r="AEB18" s="725"/>
      <c r="AEC18" s="725"/>
      <c r="AED18" s="725"/>
      <c r="AEE18" s="725"/>
      <c r="AEF18" s="725"/>
      <c r="AEG18" s="725"/>
      <c r="AEH18" s="725"/>
      <c r="AEI18" s="725"/>
      <c r="AEJ18" s="725"/>
      <c r="AEK18" s="725"/>
      <c r="AEL18" s="725"/>
      <c r="AEM18" s="725"/>
      <c r="AEN18" s="725"/>
      <c r="AEO18" s="725"/>
      <c r="AEP18" s="725"/>
      <c r="AEQ18" s="725"/>
      <c r="AER18" s="725"/>
      <c r="AES18" s="725"/>
      <c r="AET18" s="725"/>
      <c r="AEU18" s="725"/>
      <c r="AEV18" s="725"/>
      <c r="AEW18" s="725"/>
      <c r="AEX18" s="725"/>
      <c r="AEY18" s="725"/>
      <c r="AEZ18" s="725"/>
      <c r="AFA18" s="725"/>
      <c r="AFB18" s="725"/>
      <c r="AFC18" s="725"/>
      <c r="AFD18" s="725"/>
      <c r="AFE18" s="725"/>
      <c r="AFF18" s="725"/>
      <c r="AFG18" s="725"/>
      <c r="AFH18" s="725"/>
      <c r="AFI18" s="725"/>
      <c r="AFJ18" s="725"/>
      <c r="AFK18" s="725"/>
      <c r="AFL18" s="725"/>
      <c r="AFM18" s="725"/>
      <c r="AFN18" s="725"/>
      <c r="AFO18" s="725"/>
      <c r="AFP18" s="725"/>
      <c r="AFQ18" s="725"/>
      <c r="AFR18" s="725"/>
      <c r="AFS18" s="725"/>
      <c r="AFT18" s="725"/>
      <c r="AFU18" s="725"/>
      <c r="AFV18" s="725"/>
      <c r="AFW18" s="725"/>
      <c r="AFX18" s="725"/>
      <c r="AFY18" s="725"/>
      <c r="AFZ18" s="725"/>
      <c r="AGA18" s="725"/>
      <c r="AGB18" s="725"/>
      <c r="AGC18" s="725"/>
      <c r="AGD18" s="725"/>
      <c r="AGE18" s="725"/>
      <c r="AGF18" s="725"/>
      <c r="AGG18" s="725"/>
      <c r="AGH18" s="725"/>
      <c r="AGI18" s="725"/>
      <c r="AGJ18" s="725"/>
      <c r="AGK18" s="725"/>
      <c r="AGL18" s="725"/>
      <c r="AGM18" s="725"/>
      <c r="AGN18" s="725"/>
      <c r="AGO18" s="725"/>
      <c r="AGP18" s="725"/>
      <c r="AGQ18" s="725"/>
      <c r="AGR18" s="725"/>
      <c r="AGS18" s="725"/>
      <c r="AGT18" s="725"/>
      <c r="AGU18" s="725"/>
      <c r="AGV18" s="725"/>
      <c r="AGW18" s="725"/>
      <c r="AGX18" s="725"/>
      <c r="AGY18" s="725"/>
      <c r="AGZ18" s="725"/>
      <c r="AHA18" s="725"/>
      <c r="AHB18" s="725"/>
      <c r="AHC18" s="725"/>
      <c r="AHD18" s="725"/>
      <c r="AHE18" s="725"/>
      <c r="AHF18" s="725"/>
      <c r="AHG18" s="725"/>
      <c r="AHH18" s="725"/>
      <c r="AHI18" s="725"/>
      <c r="AHJ18" s="725"/>
      <c r="AHK18" s="725"/>
      <c r="AHL18" s="725"/>
      <c r="AHM18" s="725"/>
      <c r="AHN18" s="725"/>
      <c r="AHO18" s="725"/>
      <c r="AHP18" s="725"/>
      <c r="AHQ18" s="725"/>
      <c r="AHR18" s="725"/>
      <c r="AHS18" s="725"/>
      <c r="AHT18" s="725"/>
      <c r="AHU18" s="725"/>
      <c r="AHV18" s="725"/>
      <c r="AHW18" s="725"/>
      <c r="AHX18" s="725"/>
      <c r="AHY18" s="725"/>
      <c r="AHZ18" s="725"/>
      <c r="AIA18" s="725"/>
      <c r="AIB18" s="725"/>
      <c r="AIC18" s="725"/>
      <c r="AID18" s="725"/>
      <c r="AIE18" s="725"/>
      <c r="AIF18" s="725"/>
      <c r="AIG18" s="725"/>
      <c r="AIH18" s="725"/>
      <c r="AII18" s="725"/>
      <c r="AIJ18" s="725"/>
      <c r="AIK18" s="725"/>
      <c r="AIL18" s="725"/>
      <c r="AIM18" s="725"/>
      <c r="AIN18" s="725"/>
      <c r="AIO18" s="725"/>
      <c r="AIP18" s="725"/>
      <c r="AIQ18" s="725"/>
      <c r="AIR18" s="725"/>
      <c r="AIS18" s="725"/>
      <c r="AIT18" s="725"/>
      <c r="AIU18" s="725"/>
      <c r="AIV18" s="725"/>
      <c r="AIW18" s="725"/>
      <c r="AIX18" s="725"/>
      <c r="AIY18" s="725"/>
      <c r="AIZ18" s="725"/>
      <c r="AJA18" s="725"/>
      <c r="AJB18" s="725"/>
      <c r="AJC18" s="725"/>
      <c r="AJD18" s="725"/>
      <c r="AJE18" s="725"/>
      <c r="AJF18" s="725"/>
      <c r="AJG18" s="725"/>
      <c r="AJH18" s="725"/>
      <c r="AJI18" s="725"/>
      <c r="AJJ18" s="725"/>
      <c r="AJK18" s="725"/>
      <c r="AJL18" s="725"/>
      <c r="AJM18" s="725"/>
      <c r="AJN18" s="725"/>
      <c r="AJO18" s="725"/>
      <c r="AJP18" s="725"/>
      <c r="AJQ18" s="725"/>
      <c r="AJR18" s="725"/>
      <c r="AJS18" s="725"/>
      <c r="AJT18" s="725"/>
      <c r="AJU18" s="725"/>
      <c r="AJV18" s="725"/>
      <c r="AJW18" s="725"/>
      <c r="AJX18" s="725"/>
      <c r="AJY18" s="725"/>
      <c r="AJZ18" s="725"/>
      <c r="AKA18" s="725"/>
      <c r="AKB18" s="725"/>
      <c r="AKC18" s="725"/>
      <c r="AKD18" s="725"/>
      <c r="AKE18" s="725"/>
      <c r="AKF18" s="725"/>
      <c r="AKG18" s="725"/>
      <c r="AKH18" s="725"/>
      <c r="AKI18" s="725"/>
      <c r="AKJ18" s="725"/>
      <c r="AKK18" s="725"/>
      <c r="AKL18" s="725"/>
      <c r="AKM18" s="725"/>
      <c r="AKN18" s="725"/>
      <c r="AKO18" s="725"/>
      <c r="AKP18" s="725"/>
      <c r="AKQ18" s="725"/>
      <c r="AKR18" s="725"/>
      <c r="AKS18" s="725"/>
      <c r="AKT18" s="725"/>
      <c r="AKU18" s="725"/>
      <c r="AKV18" s="725"/>
      <c r="AKW18" s="725"/>
      <c r="AKX18" s="725"/>
      <c r="AKY18" s="725"/>
      <c r="AKZ18" s="725"/>
      <c r="ALA18" s="725"/>
      <c r="ALB18" s="725"/>
      <c r="ALC18" s="725"/>
      <c r="ALD18" s="725"/>
      <c r="ALE18" s="725"/>
      <c r="ALF18" s="725"/>
      <c r="ALG18" s="725"/>
      <c r="ALH18" s="725"/>
      <c r="ALI18" s="725"/>
      <c r="ALJ18" s="725"/>
      <c r="ALK18" s="725"/>
      <c r="ALL18" s="725"/>
      <c r="ALM18" s="725"/>
      <c r="ALN18" s="725"/>
      <c r="ALO18" s="725"/>
      <c r="ALP18" s="725"/>
      <c r="ALQ18" s="725"/>
      <c r="ALR18" s="725"/>
      <c r="ALS18" s="725"/>
      <c r="ALT18" s="725"/>
      <c r="ALU18" s="725"/>
      <c r="ALV18" s="725"/>
      <c r="ALW18" s="725"/>
      <c r="ALX18" s="725"/>
      <c r="ALY18" s="725"/>
      <c r="ALZ18" s="725"/>
      <c r="AMA18" s="725"/>
      <c r="AMB18" s="725"/>
      <c r="AMC18" s="725"/>
      <c r="AMD18" s="725"/>
      <c r="AME18" s="725"/>
      <c r="AMF18" s="725"/>
      <c r="AMG18" s="725"/>
      <c r="AMH18" s="725"/>
      <c r="AMI18" s="725"/>
      <c r="AMJ18" s="725"/>
      <c r="AMK18" s="725"/>
    </row>
    <row r="19" spans="1:1025" ht="42.75" customHeight="1" thickBot="1">
      <c r="A19" s="2072" t="str">
        <f>A1</f>
        <v>Cross-land Construction Company</v>
      </c>
      <c r="B19" s="2072"/>
      <c r="C19" s="2072"/>
      <c r="D19" s="2072"/>
      <c r="E19" s="2072"/>
      <c r="F19" s="2072"/>
      <c r="G19" s="2072"/>
      <c r="H19" s="2072"/>
      <c r="I19" s="1524"/>
      <c r="J19" s="589">
        <f>'[11]Spare  '!$F$305</f>
        <v>72661</v>
      </c>
      <c r="K19" s="327"/>
      <c r="L19" s="327"/>
      <c r="M19" s="327"/>
      <c r="N19" s="327"/>
      <c r="O19" s="327"/>
      <c r="P19" s="1446"/>
      <c r="R19" s="257"/>
      <c r="S19" s="296"/>
      <c r="T19" s="297"/>
      <c r="U19" s="1518"/>
      <c r="V19" s="328" t="s">
        <v>326</v>
      </c>
      <c r="W19" s="329">
        <v>46.090299999999999</v>
      </c>
      <c r="X19" s="284">
        <v>7</v>
      </c>
      <c r="Y19" s="271">
        <f t="shared" ref="Y19:Y27" si="1">W19*X19</f>
        <v>322.63209999999998</v>
      </c>
      <c r="Z19" s="272"/>
      <c r="AA19" s="273"/>
      <c r="AB19" s="260"/>
      <c r="AC19" s="300"/>
      <c r="AD19" s="1494"/>
      <c r="AE19" s="1494"/>
      <c r="AF19" s="1494"/>
      <c r="AG19" s="1494"/>
      <c r="AH19" s="1494"/>
      <c r="AI19" s="1494"/>
      <c r="AJ19" s="1475">
        <f>AI19*9.55</f>
        <v>0</v>
      </c>
      <c r="AK19" s="1493"/>
      <c r="AL19" s="1475"/>
      <c r="AM19" s="289"/>
      <c r="AN19" s="1471"/>
      <c r="AO19" s="260"/>
    </row>
    <row r="20" spans="1:1025" ht="31.5" thickBot="1">
      <c r="A20" s="2072" t="str">
        <f>A2</f>
        <v>Project: Haro sebu-Lelo-Qaqe</v>
      </c>
      <c r="B20" s="2072"/>
      <c r="C20" s="2072"/>
      <c r="D20" s="2072"/>
      <c r="E20" s="2072"/>
      <c r="F20" s="2072"/>
      <c r="G20" s="2072"/>
      <c r="H20" s="2072"/>
      <c r="I20" s="1523">
        <f>B16+C16</f>
        <v>20596</v>
      </c>
      <c r="J20" s="332"/>
      <c r="K20" s="332"/>
      <c r="L20" s="332"/>
      <c r="M20" s="332"/>
      <c r="N20" s="333"/>
      <c r="O20" s="333"/>
      <c r="P20" s="1446"/>
      <c r="R20" s="257"/>
      <c r="S20" s="296"/>
      <c r="T20" s="297"/>
      <c r="U20" s="1518"/>
      <c r="V20" s="283" t="s">
        <v>327</v>
      </c>
      <c r="W20" s="284">
        <v>26.265000000000001</v>
      </c>
      <c r="X20" s="284"/>
      <c r="Y20" s="271">
        <f t="shared" si="1"/>
        <v>0</v>
      </c>
      <c r="Z20" s="272"/>
      <c r="AA20" s="273"/>
      <c r="AB20" s="260"/>
      <c r="AC20" s="300"/>
      <c r="AD20" s="1494"/>
      <c r="AE20" s="1494"/>
      <c r="AF20" s="1494"/>
      <c r="AG20" s="1494"/>
      <c r="AH20" s="1494"/>
      <c r="AI20" s="1494"/>
      <c r="AJ20" s="1475">
        <f>AI20*9.55</f>
        <v>0</v>
      </c>
      <c r="AK20" s="1493"/>
      <c r="AL20" s="1475"/>
      <c r="AM20" s="289"/>
      <c r="AN20" s="260"/>
      <c r="AO20" s="260"/>
    </row>
    <row r="21" spans="1:1025" ht="28.5" thickBot="1">
      <c r="A21" s="1523"/>
      <c r="B21" s="1523"/>
      <c r="C21" s="1523"/>
      <c r="D21" s="1523"/>
      <c r="E21" s="1523"/>
      <c r="F21" s="1523"/>
      <c r="G21" s="1523"/>
      <c r="H21" s="1523"/>
      <c r="I21" s="1523">
        <f>B16+C16</f>
        <v>20596</v>
      </c>
      <c r="J21" s="332">
        <f>18.84/0.395</f>
        <v>47.696202531645568</v>
      </c>
      <c r="K21" s="332"/>
      <c r="L21" s="332"/>
      <c r="M21" s="332"/>
      <c r="N21" s="333"/>
      <c r="O21" s="333"/>
      <c r="P21" s="1446">
        <f>5297-2760-65</f>
        <v>2472</v>
      </c>
      <c r="R21" s="257"/>
      <c r="S21" s="296"/>
      <c r="T21" s="297"/>
      <c r="U21" s="1518"/>
      <c r="V21" s="283" t="s">
        <v>328</v>
      </c>
      <c r="W21" s="284">
        <v>24.335000000000001</v>
      </c>
      <c r="X21" s="284"/>
      <c r="Y21" s="271">
        <f t="shared" si="1"/>
        <v>0</v>
      </c>
      <c r="Z21" s="272"/>
      <c r="AA21" s="273"/>
      <c r="AB21" s="260"/>
      <c r="AC21" s="300"/>
      <c r="AD21" s="1494"/>
      <c r="AE21" s="1494"/>
      <c r="AF21" s="1494"/>
      <c r="AG21" s="1494"/>
      <c r="AH21" s="1494"/>
      <c r="AI21" s="1494"/>
      <c r="AJ21" s="1475"/>
      <c r="AK21" s="1493"/>
      <c r="AL21" s="1475"/>
      <c r="AM21" s="289"/>
      <c r="AN21" s="260"/>
      <c r="AO21" s="260"/>
    </row>
    <row r="22" spans="1:1025" ht="57.75" customHeight="1" thickBot="1">
      <c r="A22" s="2072" t="s">
        <v>329</v>
      </c>
      <c r="B22" s="2072"/>
      <c r="C22" s="2072"/>
      <c r="D22" s="2072"/>
      <c r="E22" s="2072"/>
      <c r="F22" s="2072"/>
      <c r="G22" s="2072"/>
      <c r="H22" s="2072"/>
      <c r="I22" s="1447"/>
      <c r="J22" s="897">
        <f>42.68/0.395</f>
        <v>108.0506329113924</v>
      </c>
      <c r="K22" s="272"/>
      <c r="L22" s="272"/>
      <c r="M22" s="272"/>
      <c r="P22" s="1446"/>
      <c r="R22" s="257"/>
      <c r="S22" s="296"/>
      <c r="T22" s="297"/>
      <c r="U22" s="1518"/>
      <c r="V22" s="283" t="s">
        <v>330</v>
      </c>
      <c r="W22" s="284">
        <v>24.335000000000001</v>
      </c>
      <c r="X22" s="284"/>
      <c r="Y22" s="271">
        <f t="shared" si="1"/>
        <v>0</v>
      </c>
      <c r="Z22" s="272"/>
      <c r="AA22" s="273"/>
      <c r="AB22" s="260"/>
      <c r="AC22" s="1500" t="s">
        <v>136</v>
      </c>
      <c r="AD22" s="1485">
        <v>1</v>
      </c>
      <c r="AE22" s="1485">
        <v>8</v>
      </c>
      <c r="AF22" s="1485">
        <v>6</v>
      </c>
      <c r="AG22" s="1485">
        <f t="shared" ref="AG22:AG27" si="2">AD22*AE22*AF22</f>
        <v>48</v>
      </c>
      <c r="AH22" s="1485">
        <v>15</v>
      </c>
      <c r="AI22" s="1485">
        <f t="shared" ref="AI22:AI27" si="3">AG22*AH22</f>
        <v>720</v>
      </c>
      <c r="AJ22" s="1475">
        <f t="shared" ref="AJ22:AJ27" si="4">AI22*9.55</f>
        <v>6876.0000000000009</v>
      </c>
      <c r="AK22" s="1484">
        <v>5</v>
      </c>
      <c r="AL22" s="1483">
        <f t="shared" ref="AL22:AL27" si="5">AG22*AK22</f>
        <v>240</v>
      </c>
      <c r="AM22" s="289"/>
      <c r="AN22" s="260"/>
      <c r="AO22" s="260"/>
    </row>
    <row r="23" spans="1:1025" ht="38.25" thickBot="1">
      <c r="B23" s="339"/>
      <c r="C23" s="1522"/>
      <c r="D23" s="1522"/>
      <c r="E23" s="339"/>
      <c r="F23" s="339"/>
      <c r="G23" s="2073" t="str">
        <f>'Weekly Machinery Ex'!P3</f>
        <v>Week 32  ((23-29)-08-07)</v>
      </c>
      <c r="H23" s="2073"/>
      <c r="I23" s="1447"/>
      <c r="J23" s="341">
        <f>37.45/0.395</f>
        <v>94.810126582278485</v>
      </c>
      <c r="K23" s="341"/>
      <c r="L23" s="341"/>
      <c r="M23" s="341"/>
      <c r="N23" s="2023"/>
      <c r="O23" s="2023"/>
      <c r="P23" s="1446"/>
      <c r="R23" s="256" t="s">
        <v>331</v>
      </c>
      <c r="S23" s="296">
        <v>608.70000000000005</v>
      </c>
      <c r="T23" s="297"/>
      <c r="U23" s="1518">
        <f>+S23*T23</f>
        <v>0</v>
      </c>
      <c r="V23" s="283" t="s">
        <v>332</v>
      </c>
      <c r="W23" s="284">
        <v>10.5</v>
      </c>
      <c r="X23" s="284"/>
      <c r="Y23" s="271">
        <f t="shared" si="1"/>
        <v>0</v>
      </c>
      <c r="Z23" s="272"/>
      <c r="AA23" s="273"/>
      <c r="AB23" s="260"/>
      <c r="AC23" s="300" t="s">
        <v>333</v>
      </c>
      <c r="AD23" s="1494">
        <v>12</v>
      </c>
      <c r="AE23" s="1494">
        <v>8</v>
      </c>
      <c r="AF23" s="1494">
        <v>6</v>
      </c>
      <c r="AG23" s="1494">
        <f t="shared" si="2"/>
        <v>576</v>
      </c>
      <c r="AH23" s="1494">
        <v>10</v>
      </c>
      <c r="AI23" s="1494">
        <f t="shared" si="3"/>
        <v>5760</v>
      </c>
      <c r="AJ23" s="1475">
        <f t="shared" si="4"/>
        <v>55008.000000000007</v>
      </c>
      <c r="AK23" s="1493">
        <f>20000/30/10</f>
        <v>66.666666666666657</v>
      </c>
      <c r="AL23" s="1475">
        <f t="shared" si="5"/>
        <v>38399.999999999993</v>
      </c>
      <c r="AM23" s="289"/>
      <c r="AN23" s="260"/>
      <c r="AO23" s="260"/>
    </row>
    <row r="24" spans="1:1025" ht="39" thickTop="1" thickBot="1">
      <c r="A24" s="803" t="s">
        <v>334</v>
      </c>
      <c r="B24" s="2056" t="s">
        <v>227</v>
      </c>
      <c r="C24" s="2074" t="s">
        <v>335</v>
      </c>
      <c r="D24" s="2074"/>
      <c r="E24" s="2055" t="s">
        <v>227</v>
      </c>
      <c r="F24" s="2056"/>
      <c r="G24" s="2057" t="s">
        <v>336</v>
      </c>
      <c r="H24" s="2058"/>
      <c r="I24" s="342"/>
      <c r="J24" s="2068">
        <f>I25-B16</f>
        <v>0</v>
      </c>
      <c r="K24" s="2023"/>
      <c r="L24" s="2023"/>
      <c r="M24" s="2023"/>
      <c r="N24" s="2054"/>
      <c r="O24" s="2054"/>
      <c r="P24" s="1446"/>
      <c r="R24" s="256" t="s">
        <v>337</v>
      </c>
      <c r="S24" s="296">
        <v>600</v>
      </c>
      <c r="T24" s="297"/>
      <c r="U24" s="1518">
        <f>+S24*T24</f>
        <v>0</v>
      </c>
      <c r="V24" s="283" t="s">
        <v>338</v>
      </c>
      <c r="W24" s="284">
        <f>(27.18+39.63)/2</f>
        <v>33.405000000000001</v>
      </c>
      <c r="X24" s="284"/>
      <c r="Y24" s="271">
        <f t="shared" si="1"/>
        <v>0</v>
      </c>
      <c r="Z24" s="272"/>
      <c r="AA24" s="273"/>
      <c r="AB24" s="260"/>
      <c r="AC24" s="300" t="s">
        <v>157</v>
      </c>
      <c r="AD24" s="1494">
        <v>7</v>
      </c>
      <c r="AE24" s="1494">
        <v>8</v>
      </c>
      <c r="AF24" s="1494">
        <v>6</v>
      </c>
      <c r="AG24" s="1494">
        <f t="shared" si="2"/>
        <v>336</v>
      </c>
      <c r="AH24" s="1494">
        <v>3</v>
      </c>
      <c r="AI24" s="1494">
        <f t="shared" si="3"/>
        <v>1008</v>
      </c>
      <c r="AJ24" s="1475">
        <f t="shared" si="4"/>
        <v>9626.4000000000015</v>
      </c>
      <c r="AK24" s="1493">
        <v>50</v>
      </c>
      <c r="AL24" s="1475">
        <f t="shared" si="5"/>
        <v>16800</v>
      </c>
      <c r="AM24" s="289"/>
      <c r="AN24" s="260"/>
      <c r="AO24" s="260"/>
    </row>
    <row r="25" spans="1:1025" ht="39" thickTop="1" thickBot="1">
      <c r="A25" s="804"/>
      <c r="B25" s="2056"/>
      <c r="C25" s="805" t="s">
        <v>339</v>
      </c>
      <c r="D25" s="805" t="s">
        <v>340</v>
      </c>
      <c r="E25" s="2055"/>
      <c r="F25" s="2056"/>
      <c r="G25" s="806" t="s">
        <v>339</v>
      </c>
      <c r="H25" s="807" t="s">
        <v>340</v>
      </c>
      <c r="I25" s="587">
        <f>SUM(B7:B13)</f>
        <v>15178</v>
      </c>
      <c r="J25" s="588">
        <f>I26-C16</f>
        <v>0</v>
      </c>
      <c r="K25" s="343"/>
      <c r="L25" s="2023"/>
      <c r="M25" s="2023"/>
      <c r="N25" s="2069"/>
      <c r="O25" s="2069"/>
      <c r="P25" s="1446"/>
      <c r="R25" s="256" t="s">
        <v>341</v>
      </c>
      <c r="S25" s="296">
        <v>573.29999999999995</v>
      </c>
      <c r="T25" s="297"/>
      <c r="U25" s="1518">
        <f>+T25*S25</f>
        <v>0</v>
      </c>
      <c r="V25" s="283" t="s">
        <v>342</v>
      </c>
      <c r="W25" s="284">
        <v>41.14</v>
      </c>
      <c r="X25" s="284"/>
      <c r="Y25" s="271">
        <f t="shared" si="1"/>
        <v>0</v>
      </c>
      <c r="Z25" s="272"/>
      <c r="AA25" s="273"/>
      <c r="AB25" s="260"/>
      <c r="AC25" s="300" t="s">
        <v>343</v>
      </c>
      <c r="AD25" s="1494">
        <v>3</v>
      </c>
      <c r="AE25" s="1494">
        <v>8</v>
      </c>
      <c r="AF25" s="1494">
        <v>6</v>
      </c>
      <c r="AG25" s="1494">
        <f t="shared" si="2"/>
        <v>144</v>
      </c>
      <c r="AH25" s="1494">
        <v>10</v>
      </c>
      <c r="AI25" s="1494">
        <f t="shared" si="3"/>
        <v>1440</v>
      </c>
      <c r="AJ25" s="1475">
        <f t="shared" si="4"/>
        <v>13752.000000000002</v>
      </c>
      <c r="AK25" s="1493">
        <v>80</v>
      </c>
      <c r="AL25" s="1475">
        <f t="shared" si="5"/>
        <v>11520</v>
      </c>
      <c r="AM25" s="289"/>
      <c r="AN25" s="260"/>
      <c r="AO25" s="260"/>
    </row>
    <row r="26" spans="1:1025" ht="36" customHeight="1" thickBot="1">
      <c r="A26" s="345"/>
      <c r="B26" s="346" t="s">
        <v>297</v>
      </c>
      <c r="C26" s="347">
        <f>C27+C37</f>
        <v>270596.73389999999</v>
      </c>
      <c r="D26" s="348">
        <f>D27+D37</f>
        <v>265675.57</v>
      </c>
      <c r="E26" s="2059" t="s">
        <v>344</v>
      </c>
      <c r="F26" s="2059"/>
      <c r="G26" s="349">
        <f>'Weekly Progress Report'!N9</f>
        <v>2750</v>
      </c>
      <c r="H26" s="350">
        <f>'Weekly Progress Report'!P9</f>
        <v>2750</v>
      </c>
      <c r="I26" s="1521">
        <f>SUM(C7:C13)</f>
        <v>5418</v>
      </c>
      <c r="J26" s="549">
        <v>244705.08</v>
      </c>
      <c r="K26" s="594">
        <f>+D26-J26</f>
        <v>20970.49000000002</v>
      </c>
      <c r="L26" s="542">
        <v>334180</v>
      </c>
      <c r="M26" s="542">
        <f>+H26-L26</f>
        <v>-331430</v>
      </c>
      <c r="N26" s="2054"/>
      <c r="O26" s="2054"/>
      <c r="P26" s="1446"/>
      <c r="R26" s="256" t="s">
        <v>345</v>
      </c>
      <c r="S26" s="296">
        <v>1100</v>
      </c>
      <c r="T26" s="355"/>
      <c r="U26" s="1520">
        <f>+S26*T26</f>
        <v>0</v>
      </c>
      <c r="V26" s="357" t="s">
        <v>346</v>
      </c>
      <c r="W26" s="284">
        <v>24.335000000000001</v>
      </c>
      <c r="X26" s="312"/>
      <c r="Y26" s="271">
        <f t="shared" si="1"/>
        <v>0</v>
      </c>
      <c r="Z26" s="272"/>
      <c r="AA26" s="273"/>
      <c r="AB26" s="260"/>
      <c r="AC26" s="300" t="s">
        <v>347</v>
      </c>
      <c r="AD26" s="1485">
        <v>7</v>
      </c>
      <c r="AE26" s="1485">
        <v>8</v>
      </c>
      <c r="AF26" s="1485">
        <v>6</v>
      </c>
      <c r="AG26" s="1485">
        <f t="shared" si="2"/>
        <v>336</v>
      </c>
      <c r="AH26" s="1485">
        <v>5</v>
      </c>
      <c r="AI26" s="1485">
        <f t="shared" si="3"/>
        <v>1680</v>
      </c>
      <c r="AJ26" s="1475">
        <f t="shared" si="4"/>
        <v>16044.000000000002</v>
      </c>
      <c r="AK26" s="1484">
        <v>2</v>
      </c>
      <c r="AL26" s="1483">
        <f t="shared" si="5"/>
        <v>672</v>
      </c>
      <c r="AM26" s="289"/>
      <c r="AN26" s="260"/>
      <c r="AO26" s="260"/>
    </row>
    <row r="27" spans="1:1025" ht="29.25" customHeight="1" thickBot="1">
      <c r="A27" s="358">
        <v>2.1</v>
      </c>
      <c r="B27" s="421" t="s">
        <v>348</v>
      </c>
      <c r="C27" s="360">
        <f>SUM(C30:C36)</f>
        <v>166158.24890000001</v>
      </c>
      <c r="D27" s="361">
        <f>D30+D31+D33+D34+D35+D36</f>
        <v>163678.57</v>
      </c>
      <c r="E27" s="2060" t="s">
        <v>349</v>
      </c>
      <c r="F27" s="2060"/>
      <c r="G27" s="362">
        <f>'Weekly Progress Report'!N10</f>
        <v>0</v>
      </c>
      <c r="H27" s="363">
        <f>'Weekly Progress Report'!P10</f>
        <v>0</v>
      </c>
      <c r="I27" s="1516"/>
      <c r="J27" s="1495">
        <v>197309.73</v>
      </c>
      <c r="K27" s="1472"/>
      <c r="L27" s="1495">
        <v>55200</v>
      </c>
      <c r="M27" s="542">
        <f>+H27-L27</f>
        <v>-55200</v>
      </c>
      <c r="N27" s="367">
        <f>SUM(M26:M27)</f>
        <v>-386630</v>
      </c>
      <c r="O27" s="1519"/>
      <c r="P27" s="1446"/>
      <c r="R27" s="256" t="s">
        <v>350</v>
      </c>
      <c r="S27" s="369">
        <v>74.09</v>
      </c>
      <c r="T27" s="355"/>
      <c r="U27" s="1518">
        <f>+S27*T27</f>
        <v>0</v>
      </c>
      <c r="V27" s="283" t="s">
        <v>351</v>
      </c>
      <c r="W27" s="284">
        <v>41.387</v>
      </c>
      <c r="X27" s="312">
        <v>35</v>
      </c>
      <c r="Y27" s="271">
        <f t="shared" si="1"/>
        <v>1448.5450000000001</v>
      </c>
      <c r="Z27" s="272"/>
      <c r="AA27" s="273"/>
      <c r="AB27" s="260"/>
      <c r="AC27" s="370" t="s">
        <v>133</v>
      </c>
      <c r="AD27" s="1494">
        <v>3</v>
      </c>
      <c r="AE27" s="1494">
        <v>8</v>
      </c>
      <c r="AF27" s="1494">
        <v>6</v>
      </c>
      <c r="AG27" s="1494">
        <f t="shared" si="2"/>
        <v>144</v>
      </c>
      <c r="AH27" s="1494">
        <v>2</v>
      </c>
      <c r="AI27" s="1494">
        <f t="shared" si="3"/>
        <v>288</v>
      </c>
      <c r="AJ27" s="1475">
        <f t="shared" si="4"/>
        <v>2750.4</v>
      </c>
      <c r="AK27" s="1493">
        <v>20</v>
      </c>
      <c r="AL27" s="1475">
        <f t="shared" si="5"/>
        <v>2880</v>
      </c>
      <c r="AM27" s="289"/>
      <c r="AN27" s="260"/>
      <c r="AO27" s="260"/>
    </row>
    <row r="28" spans="1:1025" ht="29.25" customHeight="1" thickBot="1">
      <c r="A28" s="358"/>
      <c r="B28" s="359"/>
      <c r="C28" s="360"/>
      <c r="D28" s="361"/>
      <c r="E28" s="2042"/>
      <c r="F28" s="2042"/>
      <c r="G28" s="362"/>
      <c r="H28" s="363"/>
      <c r="I28" s="1516"/>
      <c r="J28" s="1495"/>
      <c r="K28" s="1472"/>
      <c r="L28" s="1495"/>
      <c r="M28" s="542"/>
      <c r="N28" s="367"/>
      <c r="O28" s="1519"/>
      <c r="P28" s="1446"/>
      <c r="R28" s="256"/>
      <c r="S28" s="369"/>
      <c r="T28" s="355"/>
      <c r="U28" s="1518"/>
      <c r="V28" s="283" t="s">
        <v>352</v>
      </c>
      <c r="W28" s="284">
        <v>41.06</v>
      </c>
      <c r="X28" s="312"/>
      <c r="Y28" s="271">
        <f>X28*W28</f>
        <v>0</v>
      </c>
      <c r="Z28" s="272"/>
      <c r="AA28" s="273"/>
      <c r="AB28" s="260"/>
      <c r="AC28" s="370"/>
      <c r="AD28" s="1494"/>
      <c r="AE28" s="1494"/>
      <c r="AF28" s="1494"/>
      <c r="AG28" s="1494"/>
      <c r="AH28" s="1494"/>
      <c r="AI28" s="1494"/>
      <c r="AJ28" s="1475"/>
      <c r="AK28" s="1493"/>
      <c r="AL28" s="1475"/>
      <c r="AM28" s="289"/>
      <c r="AN28" s="260"/>
      <c r="AO28" s="260"/>
    </row>
    <row r="29" spans="1:1025" ht="29.25" customHeight="1" thickBot="1">
      <c r="A29" s="358"/>
      <c r="B29" s="375" t="s">
        <v>354</v>
      </c>
      <c r="C29" s="360"/>
      <c r="D29" s="361"/>
      <c r="E29" s="1554"/>
      <c r="F29" s="1452"/>
      <c r="G29" s="362"/>
      <c r="H29" s="363"/>
      <c r="I29" s="1516">
        <f>C39*4</f>
        <v>165436.54</v>
      </c>
      <c r="J29" s="1495"/>
      <c r="K29" s="1472"/>
      <c r="L29" s="1495"/>
      <c r="M29" s="542"/>
      <c r="N29" s="367"/>
      <c r="O29" s="1519"/>
      <c r="P29" s="1446"/>
      <c r="R29" s="256"/>
      <c r="S29" s="369"/>
      <c r="T29" s="355"/>
      <c r="U29" s="1518"/>
      <c r="V29" s="283">
        <v>454</v>
      </c>
      <c r="W29" s="284">
        <v>60.45</v>
      </c>
      <c r="X29" s="312"/>
      <c r="Y29" s="271">
        <f>W29*X29</f>
        <v>0</v>
      </c>
      <c r="Z29" s="272"/>
      <c r="AA29" s="273"/>
      <c r="AB29" s="260"/>
      <c r="AC29" s="370"/>
      <c r="AD29" s="1494"/>
      <c r="AE29" s="1494"/>
      <c r="AF29" s="1494"/>
      <c r="AG29" s="1494"/>
      <c r="AH29" s="1494"/>
      <c r="AI29" s="1494"/>
      <c r="AJ29" s="1475"/>
      <c r="AK29" s="1493"/>
      <c r="AL29" s="1475"/>
      <c r="AM29" s="289"/>
      <c r="AN29" s="260"/>
      <c r="AO29" s="260"/>
    </row>
    <row r="30" spans="1:1025" ht="34.5" customHeight="1">
      <c r="A30" s="374" t="s">
        <v>353</v>
      </c>
      <c r="B30" s="375" t="s">
        <v>354</v>
      </c>
      <c r="C30" s="376">
        <f>D30*1.01</f>
        <v>71093.142500000002</v>
      </c>
      <c r="D30" s="903">
        <v>70389.25</v>
      </c>
      <c r="E30" s="2051" t="s">
        <v>355</v>
      </c>
      <c r="F30" s="2051"/>
      <c r="G30" s="362">
        <f>'Weekly Progress Report'!N40+'Weekly Progress Report'!M70</f>
        <v>83599.743467276363</v>
      </c>
      <c r="H30" s="379">
        <f>'Weekly Progress Report'!P40+'Weekly Progress Report'!P169</f>
        <v>53558.923880945076</v>
      </c>
      <c r="I30" s="1516">
        <f>I29/7</f>
        <v>23633.791428571429</v>
      </c>
      <c r="J30" s="1495">
        <v>71850</v>
      </c>
      <c r="K30" s="1472"/>
      <c r="L30" s="1495">
        <v>0</v>
      </c>
      <c r="M30" s="542">
        <f t="shared" ref="M30:M35" si="6">+H30-L30</f>
        <v>53558.923880945076</v>
      </c>
      <c r="N30" s="2054"/>
      <c r="O30" s="2054"/>
      <c r="P30" s="1446"/>
      <c r="R30" s="256" t="s">
        <v>350</v>
      </c>
      <c r="S30" s="296">
        <v>48.7</v>
      </c>
      <c r="T30" s="355"/>
      <c r="U30" s="1518">
        <f>+S30*T30</f>
        <v>0</v>
      </c>
      <c r="V30" s="357" t="s">
        <v>356</v>
      </c>
      <c r="W30" s="284">
        <v>16.670000000000002</v>
      </c>
      <c r="X30" s="312"/>
      <c r="Y30" s="271">
        <f>W30*X30</f>
        <v>0</v>
      </c>
      <c r="Z30" s="272"/>
      <c r="AA30" s="273"/>
      <c r="AB30" s="260"/>
      <c r="AC30" s="300" t="s">
        <v>200</v>
      </c>
      <c r="AD30" s="1494">
        <v>3</v>
      </c>
      <c r="AE30" s="1494">
        <v>8</v>
      </c>
      <c r="AF30" s="1494">
        <v>6</v>
      </c>
      <c r="AG30" s="1494">
        <f>AD30*AE30*AF30</f>
        <v>144</v>
      </c>
      <c r="AH30" s="1494">
        <v>10</v>
      </c>
      <c r="AI30" s="1494">
        <f>AG30*AH30</f>
        <v>1440</v>
      </c>
      <c r="AJ30" s="1475">
        <f>AI30*9.55</f>
        <v>13752.000000000002</v>
      </c>
      <c r="AK30" s="1493">
        <v>120</v>
      </c>
      <c r="AL30" s="1475">
        <f>AG30*AK30</f>
        <v>17280</v>
      </c>
      <c r="AM30" s="289"/>
      <c r="AN30" s="260"/>
      <c r="AO30" s="260"/>
    </row>
    <row r="31" spans="1:1025" ht="31.5" customHeight="1" thickBot="1">
      <c r="A31" s="374" t="s">
        <v>357</v>
      </c>
      <c r="B31" s="375" t="s">
        <v>358</v>
      </c>
      <c r="C31" s="376">
        <f>D31</f>
        <v>4500</v>
      </c>
      <c r="D31" s="903">
        <v>4500</v>
      </c>
      <c r="E31" s="2051" t="s">
        <v>359</v>
      </c>
      <c r="F31" s="2051"/>
      <c r="G31" s="362">
        <f>'Weekly Progress Report'!N23-'Weekly Progress Report'!N9-'Weekly Progress Report'!N10</f>
        <v>2085997.1080000002</v>
      </c>
      <c r="H31" s="379">
        <f>'Weekly Progress Report'!P23-'Weekly Progress Report'!P9-'Weekly Progress Report'!P10</f>
        <v>1296414.28</v>
      </c>
      <c r="I31" s="1516"/>
      <c r="J31" s="1495">
        <v>5500</v>
      </c>
      <c r="K31" s="1472"/>
      <c r="L31" s="1495">
        <v>815951.25359226298</v>
      </c>
      <c r="M31" s="542">
        <f t="shared" si="6"/>
        <v>480463.02640773705</v>
      </c>
      <c r="N31" s="380">
        <f>SUM(M31:M37)</f>
        <v>-469236.45306198113</v>
      </c>
      <c r="O31" s="381"/>
      <c r="P31" s="1446"/>
      <c r="R31" s="257"/>
      <c r="S31" s="304" t="s">
        <v>118</v>
      </c>
      <c r="T31" s="382"/>
      <c r="U31" s="1517">
        <f>SUM(U11:U30)</f>
        <v>0</v>
      </c>
      <c r="V31" s="384"/>
      <c r="W31" s="385"/>
      <c r="X31" s="385"/>
      <c r="Y31" s="1517">
        <f>SUM(Y2:Y30)</f>
        <v>3599.8121000000001</v>
      </c>
      <c r="Z31" s="1454"/>
      <c r="AA31" s="1495"/>
      <c r="AB31" s="260"/>
      <c r="AC31" s="386"/>
      <c r="AD31" s="1482"/>
      <c r="AE31" s="1482"/>
      <c r="AF31" s="1482"/>
      <c r="AG31" s="1482"/>
      <c r="AH31" s="1482"/>
      <c r="AI31" s="1482"/>
      <c r="AJ31" s="1480"/>
      <c r="AK31" s="1481"/>
      <c r="AL31" s="1480"/>
      <c r="AM31" s="289"/>
      <c r="AN31" s="260"/>
      <c r="AO31" s="260"/>
    </row>
    <row r="32" spans="1:1025" ht="62.45" customHeight="1">
      <c r="A32" s="374" t="s">
        <v>360</v>
      </c>
      <c r="B32" s="375" t="s">
        <v>361</v>
      </c>
      <c r="C32" s="376">
        <f t="shared" ref="C32:C34" si="7">D32*1.03</f>
        <v>0</v>
      </c>
      <c r="D32" s="903"/>
      <c r="E32" s="2071" t="s">
        <v>362</v>
      </c>
      <c r="F32" s="2071"/>
      <c r="G32" s="390">
        <f>'Weekly Progress Report'!N26</f>
        <v>0</v>
      </c>
      <c r="H32" s="379">
        <f>'Weekly Progress Report'!P26</f>
        <v>0</v>
      </c>
      <c r="I32" s="1516"/>
      <c r="J32" s="1495">
        <v>27815</v>
      </c>
      <c r="K32" s="1472"/>
      <c r="L32" s="1495">
        <v>0</v>
      </c>
      <c r="M32" s="542">
        <f t="shared" si="6"/>
        <v>0</v>
      </c>
      <c r="N32" s="2054"/>
      <c r="O32" s="2054"/>
      <c r="P32" s="1448"/>
      <c r="R32" s="257"/>
      <c r="S32" s="257"/>
      <c r="T32" s="257"/>
      <c r="U32" s="257"/>
      <c r="V32" s="391"/>
      <c r="W32" s="391"/>
      <c r="X32" s="391"/>
      <c r="Y32" s="1495"/>
      <c r="Z32" s="1454"/>
      <c r="AA32" s="1495"/>
      <c r="AB32" s="260"/>
      <c r="AC32" s="386"/>
      <c r="AD32" s="1482"/>
      <c r="AE32" s="1482"/>
      <c r="AF32" s="1482"/>
      <c r="AG32" s="1482"/>
      <c r="AH32" s="1482"/>
      <c r="AI32" s="1482"/>
      <c r="AJ32" s="1480"/>
      <c r="AK32" s="1481"/>
      <c r="AL32" s="1480"/>
      <c r="AM32" s="289"/>
      <c r="AN32" s="260"/>
      <c r="AO32" s="260"/>
    </row>
    <row r="33" spans="1:1025" ht="26.25" customHeight="1">
      <c r="A33" s="374" t="s">
        <v>117</v>
      </c>
      <c r="B33" s="375" t="s">
        <v>363</v>
      </c>
      <c r="C33" s="376">
        <f>D33*1.02</f>
        <v>53442.9</v>
      </c>
      <c r="D33" s="903">
        <v>52395</v>
      </c>
      <c r="E33" s="2051" t="s">
        <v>364</v>
      </c>
      <c r="F33" s="2051"/>
      <c r="G33" s="400">
        <f>'Weekly Progress Report'!N56</f>
        <v>194757.30949888448</v>
      </c>
      <c r="H33" s="379">
        <f>'Weekly Progress Report'!P56+'Weekly Progress Report'!P170+'Weekly Progress Report'!P171</f>
        <v>180434.90949888449</v>
      </c>
      <c r="I33" s="1516"/>
      <c r="J33" s="1495">
        <v>1250</v>
      </c>
      <c r="K33" s="1472"/>
      <c r="L33" s="1495">
        <v>0</v>
      </c>
      <c r="M33" s="542">
        <f t="shared" si="6"/>
        <v>180434.90949888449</v>
      </c>
      <c r="N33" s="1446"/>
      <c r="O33" s="1446"/>
      <c r="P33" s="1448"/>
      <c r="Y33" s="1454"/>
      <c r="Z33" s="1454"/>
      <c r="AA33" s="1495"/>
      <c r="AB33" s="260"/>
      <c r="AC33" s="386"/>
      <c r="AD33" s="1482"/>
      <c r="AE33" s="1482"/>
      <c r="AF33" s="1482"/>
      <c r="AG33" s="1482"/>
      <c r="AH33" s="1482"/>
      <c r="AI33" s="1482"/>
      <c r="AJ33" s="1480">
        <f>AI33*11.3</f>
        <v>0</v>
      </c>
      <c r="AK33" s="1481"/>
      <c r="AL33" s="1480"/>
      <c r="AM33" s="289"/>
      <c r="AN33" s="260"/>
      <c r="AO33" s="260"/>
    </row>
    <row r="34" spans="1:1025" ht="28.5" customHeight="1" thickBot="1">
      <c r="A34" s="374" t="s">
        <v>365</v>
      </c>
      <c r="B34" s="375" t="s">
        <v>366</v>
      </c>
      <c r="C34" s="376">
        <f t="shared" si="7"/>
        <v>0</v>
      </c>
      <c r="D34" s="903"/>
      <c r="E34" s="2051" t="s">
        <v>367</v>
      </c>
      <c r="F34" s="2051"/>
      <c r="G34" s="393">
        <f>'Weekly Progress Report'!N61</f>
        <v>0</v>
      </c>
      <c r="H34" s="379">
        <f>'Weekly Progress Report'!P61</f>
        <v>0</v>
      </c>
      <c r="I34" s="1516"/>
      <c r="J34" s="1498">
        <v>52625</v>
      </c>
      <c r="K34" s="593"/>
      <c r="L34" s="1495">
        <v>0</v>
      </c>
      <c r="M34" s="542">
        <f t="shared" si="6"/>
        <v>0</v>
      </c>
      <c r="N34" s="2054"/>
      <c r="O34" s="2054"/>
      <c r="P34" s="396"/>
      <c r="T34" s="397"/>
      <c r="U34" s="397"/>
      <c r="V34" s="2061" t="s">
        <v>368</v>
      </c>
      <c r="W34" s="2061"/>
      <c r="X34" s="2061"/>
      <c r="Y34" s="2061"/>
      <c r="Z34" s="398"/>
      <c r="AA34" s="399"/>
      <c r="AB34" s="260"/>
      <c r="AC34" s="386"/>
      <c r="AD34" s="1482"/>
      <c r="AE34" s="1482"/>
      <c r="AF34" s="1482"/>
      <c r="AG34" s="1482"/>
      <c r="AH34" s="1482"/>
      <c r="AI34" s="1482"/>
      <c r="AJ34" s="1480"/>
      <c r="AK34" s="1481"/>
      <c r="AL34" s="1480"/>
      <c r="AM34" s="289"/>
      <c r="AN34" s="260"/>
      <c r="AO34" s="260"/>
      <c r="AQ34" s="621"/>
      <c r="AR34" s="621"/>
      <c r="AS34" s="621"/>
      <c r="AT34" s="621"/>
      <c r="AU34" s="621"/>
      <c r="AV34" s="621"/>
      <c r="AW34" s="621"/>
      <c r="AX34" s="621"/>
      <c r="AY34" s="621"/>
      <c r="AZ34" s="621"/>
      <c r="BA34" s="621"/>
      <c r="BB34" s="621"/>
      <c r="BC34" s="621"/>
      <c r="BD34" s="621"/>
      <c r="BE34" s="621"/>
      <c r="BF34" s="621"/>
      <c r="BG34" s="621"/>
      <c r="BH34" s="621"/>
      <c r="BI34" s="621"/>
      <c r="BJ34" s="621"/>
      <c r="BK34" s="621"/>
      <c r="BL34" s="621"/>
      <c r="BM34" s="621"/>
      <c r="BN34" s="621"/>
      <c r="BO34" s="621"/>
      <c r="BP34" s="621"/>
      <c r="BQ34" s="621"/>
      <c r="BR34" s="621"/>
      <c r="BS34" s="621"/>
      <c r="BT34" s="621"/>
      <c r="BU34" s="621"/>
      <c r="BV34" s="621"/>
      <c r="BW34" s="621"/>
      <c r="BX34" s="621"/>
      <c r="BY34" s="621"/>
      <c r="BZ34" s="621"/>
      <c r="CA34" s="621"/>
      <c r="CB34" s="621"/>
      <c r="CC34" s="621"/>
      <c r="CD34" s="621"/>
      <c r="CE34" s="621"/>
      <c r="CF34" s="621"/>
      <c r="CG34" s="621"/>
      <c r="CH34" s="621"/>
      <c r="CI34" s="621"/>
      <c r="CJ34" s="621"/>
      <c r="CK34" s="621"/>
      <c r="CL34" s="621"/>
      <c r="CM34" s="621"/>
      <c r="CN34" s="621"/>
      <c r="CO34" s="621"/>
      <c r="CP34" s="621"/>
      <c r="CQ34" s="621"/>
      <c r="CR34" s="621"/>
      <c r="CS34" s="621"/>
      <c r="CT34" s="621"/>
      <c r="CU34" s="621"/>
      <c r="CV34" s="621"/>
      <c r="CW34" s="621"/>
      <c r="CX34" s="621"/>
      <c r="CY34" s="621"/>
      <c r="CZ34" s="621"/>
      <c r="DA34" s="621"/>
      <c r="DB34" s="621"/>
      <c r="DC34" s="621"/>
      <c r="DD34" s="621"/>
      <c r="DE34" s="621"/>
      <c r="DF34" s="621"/>
      <c r="DG34" s="621"/>
      <c r="DH34" s="621"/>
      <c r="DI34" s="621"/>
      <c r="DJ34" s="621"/>
      <c r="DK34" s="621"/>
      <c r="DL34" s="621"/>
      <c r="DM34" s="621"/>
      <c r="DN34" s="621"/>
      <c r="DO34" s="621"/>
      <c r="DP34" s="621"/>
      <c r="DQ34" s="621"/>
      <c r="DR34" s="621"/>
      <c r="DS34" s="621"/>
      <c r="DT34" s="621"/>
      <c r="DU34" s="621"/>
      <c r="DV34" s="621"/>
      <c r="DW34" s="621"/>
      <c r="DX34" s="621"/>
      <c r="DY34" s="621"/>
      <c r="DZ34" s="621"/>
      <c r="EA34" s="621"/>
      <c r="EB34" s="621"/>
      <c r="EC34" s="621"/>
      <c r="ED34" s="621"/>
      <c r="EE34" s="621"/>
      <c r="EF34" s="621"/>
      <c r="EG34" s="621"/>
      <c r="EH34" s="621"/>
      <c r="EI34" s="621"/>
      <c r="EJ34" s="621"/>
      <c r="EK34" s="621"/>
      <c r="EL34" s="621"/>
      <c r="EM34" s="621"/>
      <c r="EN34" s="621"/>
      <c r="EO34" s="621"/>
      <c r="EP34" s="621"/>
      <c r="EQ34" s="621"/>
      <c r="ER34" s="621"/>
      <c r="ES34" s="621"/>
      <c r="ET34" s="621"/>
      <c r="EU34" s="621"/>
      <c r="EV34" s="621"/>
      <c r="EW34" s="621"/>
      <c r="EX34" s="621"/>
      <c r="EY34" s="621"/>
      <c r="EZ34" s="621"/>
      <c r="FA34" s="621"/>
      <c r="FB34" s="621"/>
      <c r="FC34" s="621"/>
      <c r="FD34" s="621"/>
      <c r="FE34" s="621"/>
      <c r="FF34" s="621"/>
      <c r="FG34" s="621"/>
      <c r="FH34" s="621"/>
      <c r="FI34" s="621"/>
      <c r="FJ34" s="621"/>
      <c r="FK34" s="621"/>
      <c r="FL34" s="621"/>
      <c r="FM34" s="621"/>
      <c r="FN34" s="621"/>
      <c r="FO34" s="621"/>
      <c r="FP34" s="621"/>
      <c r="FQ34" s="621"/>
      <c r="FR34" s="621"/>
      <c r="FS34" s="621"/>
      <c r="FT34" s="621"/>
      <c r="FU34" s="621"/>
      <c r="FV34" s="621"/>
      <c r="FW34" s="621"/>
      <c r="FX34" s="621"/>
      <c r="FY34" s="621"/>
      <c r="FZ34" s="621"/>
      <c r="GA34" s="621"/>
      <c r="GB34" s="621"/>
      <c r="GC34" s="621"/>
      <c r="GD34" s="621"/>
      <c r="GE34" s="621"/>
      <c r="GF34" s="621"/>
      <c r="GG34" s="621"/>
      <c r="GH34" s="621"/>
      <c r="GI34" s="621"/>
      <c r="GJ34" s="621"/>
      <c r="GK34" s="621"/>
      <c r="GL34" s="621"/>
      <c r="GM34" s="621"/>
      <c r="GN34" s="621"/>
      <c r="GO34" s="621"/>
      <c r="GP34" s="621"/>
      <c r="GQ34" s="621"/>
      <c r="GR34" s="621"/>
      <c r="GS34" s="621"/>
      <c r="GT34" s="621"/>
      <c r="GU34" s="621"/>
      <c r="GV34" s="621"/>
      <c r="GW34" s="621"/>
      <c r="GX34" s="621"/>
      <c r="GY34" s="621"/>
      <c r="GZ34" s="621"/>
      <c r="HA34" s="621"/>
      <c r="HB34" s="621"/>
      <c r="HC34" s="621"/>
      <c r="HD34" s="621"/>
      <c r="HE34" s="621"/>
      <c r="HF34" s="621"/>
      <c r="HG34" s="621"/>
      <c r="HH34" s="621"/>
      <c r="HI34" s="621"/>
      <c r="HJ34" s="621"/>
      <c r="HK34" s="621"/>
      <c r="HL34" s="621"/>
      <c r="HM34" s="621"/>
      <c r="HN34" s="621"/>
      <c r="HO34" s="621"/>
      <c r="HP34" s="621"/>
      <c r="HQ34" s="621"/>
      <c r="HR34" s="621"/>
      <c r="HS34" s="621"/>
      <c r="HT34" s="621"/>
      <c r="HU34" s="621"/>
      <c r="HV34" s="621"/>
      <c r="HW34" s="621"/>
      <c r="HX34" s="621"/>
      <c r="HY34" s="621"/>
      <c r="HZ34" s="621"/>
      <c r="IA34" s="621"/>
      <c r="IB34" s="621"/>
      <c r="IC34" s="621"/>
      <c r="ID34" s="621"/>
      <c r="IE34" s="621"/>
      <c r="IF34" s="621"/>
      <c r="IG34" s="621"/>
      <c r="IH34" s="621"/>
      <c r="II34" s="621"/>
      <c r="IJ34" s="621"/>
      <c r="IK34" s="621"/>
      <c r="IL34" s="621"/>
      <c r="IM34" s="621"/>
      <c r="IN34" s="621"/>
      <c r="IO34" s="621"/>
      <c r="IP34" s="621"/>
      <c r="IQ34" s="621"/>
      <c r="IR34" s="621"/>
      <c r="IS34" s="621"/>
      <c r="IT34" s="621"/>
      <c r="IU34" s="621"/>
      <c r="IV34" s="621"/>
      <c r="IW34" s="621"/>
      <c r="IX34" s="621"/>
      <c r="IY34" s="621"/>
      <c r="IZ34" s="621"/>
      <c r="JA34" s="621"/>
      <c r="JB34" s="621"/>
      <c r="JC34" s="621"/>
      <c r="JD34" s="621"/>
      <c r="JE34" s="621"/>
      <c r="JF34" s="621"/>
      <c r="JG34" s="621"/>
      <c r="JH34" s="621"/>
      <c r="JI34" s="621"/>
      <c r="JJ34" s="621"/>
      <c r="JK34" s="621"/>
      <c r="JL34" s="621"/>
      <c r="JM34" s="621"/>
      <c r="JN34" s="621"/>
      <c r="JO34" s="621"/>
      <c r="JP34" s="621"/>
      <c r="JQ34" s="621"/>
      <c r="JR34" s="621"/>
      <c r="JS34" s="621"/>
      <c r="JT34" s="621"/>
      <c r="JU34" s="621"/>
      <c r="JV34" s="621"/>
      <c r="JW34" s="621"/>
      <c r="JX34" s="621"/>
      <c r="JY34" s="621"/>
      <c r="JZ34" s="621"/>
      <c r="KA34" s="621"/>
      <c r="KB34" s="621"/>
      <c r="KC34" s="621"/>
      <c r="KD34" s="621"/>
      <c r="KE34" s="621"/>
      <c r="KF34" s="621"/>
      <c r="KG34" s="621"/>
      <c r="KH34" s="621"/>
      <c r="KI34" s="621"/>
      <c r="KJ34" s="621"/>
      <c r="KK34" s="621"/>
      <c r="KL34" s="621"/>
      <c r="KM34" s="621"/>
      <c r="KN34" s="621"/>
      <c r="KO34" s="621"/>
      <c r="KP34" s="621"/>
      <c r="KQ34" s="621"/>
      <c r="KR34" s="621"/>
      <c r="KS34" s="621"/>
      <c r="KT34" s="621"/>
      <c r="KU34" s="621"/>
      <c r="KV34" s="621"/>
      <c r="KW34" s="621"/>
      <c r="KX34" s="621"/>
      <c r="KY34" s="621"/>
      <c r="KZ34" s="621"/>
      <c r="LA34" s="621"/>
      <c r="LB34" s="621"/>
      <c r="LC34" s="621"/>
      <c r="LD34" s="621"/>
      <c r="LE34" s="621"/>
      <c r="LF34" s="621"/>
      <c r="LG34" s="621"/>
      <c r="LH34" s="621"/>
      <c r="LI34" s="621"/>
      <c r="LJ34" s="621"/>
      <c r="LK34" s="621"/>
      <c r="LL34" s="621"/>
      <c r="LM34" s="621"/>
      <c r="LN34" s="621"/>
      <c r="LO34" s="621"/>
      <c r="LP34" s="621"/>
      <c r="LQ34" s="621"/>
      <c r="LR34" s="621"/>
      <c r="LS34" s="621"/>
      <c r="LT34" s="621"/>
      <c r="LU34" s="621"/>
      <c r="LV34" s="621"/>
      <c r="LW34" s="621"/>
      <c r="LX34" s="621"/>
      <c r="LY34" s="621"/>
      <c r="LZ34" s="621"/>
      <c r="MA34" s="621"/>
      <c r="MB34" s="621"/>
      <c r="MC34" s="621"/>
      <c r="MD34" s="621"/>
      <c r="ME34" s="621"/>
      <c r="MF34" s="621"/>
      <c r="MG34" s="621"/>
      <c r="MH34" s="621"/>
      <c r="MI34" s="621"/>
      <c r="MJ34" s="621"/>
      <c r="MK34" s="621"/>
      <c r="ML34" s="621"/>
      <c r="MM34" s="621"/>
      <c r="MN34" s="621"/>
      <c r="MO34" s="621"/>
      <c r="MP34" s="621"/>
      <c r="MQ34" s="621"/>
      <c r="MR34" s="621"/>
      <c r="MS34" s="621"/>
      <c r="MT34" s="621"/>
      <c r="MU34" s="621"/>
      <c r="MV34" s="621"/>
      <c r="MW34" s="621"/>
      <c r="MX34" s="621"/>
      <c r="MY34" s="621"/>
      <c r="MZ34" s="621"/>
      <c r="NA34" s="621"/>
      <c r="NB34" s="621"/>
      <c r="NC34" s="621"/>
      <c r="ND34" s="621"/>
      <c r="NE34" s="621"/>
      <c r="NF34" s="621"/>
      <c r="NG34" s="621"/>
      <c r="NH34" s="621"/>
      <c r="NI34" s="621"/>
      <c r="NJ34" s="621"/>
      <c r="NK34" s="621"/>
      <c r="NL34" s="621"/>
      <c r="NM34" s="621"/>
      <c r="NN34" s="621"/>
      <c r="NO34" s="621"/>
      <c r="NP34" s="621"/>
      <c r="NQ34" s="621"/>
      <c r="NR34" s="621"/>
      <c r="NS34" s="621"/>
      <c r="NT34" s="621"/>
      <c r="NU34" s="621"/>
      <c r="NV34" s="621"/>
      <c r="NW34" s="621"/>
      <c r="NX34" s="621"/>
      <c r="NY34" s="621"/>
      <c r="NZ34" s="621"/>
      <c r="OA34" s="621"/>
      <c r="OB34" s="621"/>
      <c r="OC34" s="621"/>
      <c r="OD34" s="621"/>
      <c r="OE34" s="621"/>
      <c r="OF34" s="621"/>
      <c r="OG34" s="621"/>
      <c r="OH34" s="621"/>
      <c r="OI34" s="621"/>
      <c r="OJ34" s="621"/>
      <c r="OK34" s="621"/>
      <c r="OL34" s="621"/>
      <c r="OM34" s="621"/>
      <c r="ON34" s="621"/>
      <c r="OO34" s="621"/>
      <c r="OP34" s="621"/>
      <c r="OQ34" s="621"/>
      <c r="OR34" s="621"/>
      <c r="OS34" s="621"/>
      <c r="OT34" s="621"/>
      <c r="OU34" s="621"/>
      <c r="OV34" s="621"/>
      <c r="OW34" s="621"/>
      <c r="OX34" s="621"/>
      <c r="OY34" s="621"/>
      <c r="OZ34" s="621"/>
      <c r="PA34" s="621"/>
      <c r="PB34" s="621"/>
      <c r="PC34" s="621"/>
      <c r="PD34" s="621"/>
      <c r="PE34" s="621"/>
      <c r="PF34" s="621"/>
      <c r="PG34" s="621"/>
      <c r="PH34" s="621"/>
      <c r="PI34" s="621"/>
      <c r="PJ34" s="621"/>
      <c r="PK34" s="621"/>
      <c r="PL34" s="621"/>
      <c r="PM34" s="621"/>
      <c r="PN34" s="621"/>
      <c r="PO34" s="621"/>
      <c r="PP34" s="621"/>
      <c r="PQ34" s="621"/>
      <c r="PR34" s="621"/>
      <c r="PS34" s="621"/>
      <c r="PT34" s="621"/>
      <c r="PU34" s="621"/>
      <c r="PV34" s="621"/>
      <c r="PW34" s="621"/>
      <c r="PX34" s="621"/>
      <c r="PY34" s="621"/>
      <c r="PZ34" s="621"/>
      <c r="QA34" s="621"/>
      <c r="QB34" s="621"/>
      <c r="QC34" s="621"/>
      <c r="QD34" s="621"/>
      <c r="QE34" s="621"/>
      <c r="QF34" s="621"/>
      <c r="QG34" s="621"/>
      <c r="QH34" s="621"/>
      <c r="QI34" s="621"/>
      <c r="QJ34" s="621"/>
      <c r="QK34" s="621"/>
      <c r="QL34" s="621"/>
      <c r="QM34" s="621"/>
      <c r="QN34" s="621"/>
      <c r="QO34" s="621"/>
      <c r="QP34" s="621"/>
      <c r="QQ34" s="621"/>
      <c r="QR34" s="621"/>
      <c r="QS34" s="621"/>
      <c r="QT34" s="621"/>
      <c r="QU34" s="621"/>
      <c r="QV34" s="621"/>
      <c r="QW34" s="621"/>
      <c r="QX34" s="621"/>
      <c r="QY34" s="621"/>
      <c r="QZ34" s="621"/>
      <c r="RA34" s="621"/>
      <c r="RB34" s="621"/>
      <c r="RC34" s="621"/>
      <c r="RD34" s="621"/>
      <c r="RE34" s="621"/>
      <c r="RF34" s="621"/>
      <c r="RG34" s="621"/>
      <c r="RH34" s="621"/>
      <c r="RI34" s="621"/>
      <c r="RJ34" s="621"/>
      <c r="RK34" s="621"/>
      <c r="RL34" s="621"/>
      <c r="RM34" s="621"/>
      <c r="RN34" s="621"/>
      <c r="RO34" s="621"/>
      <c r="RP34" s="621"/>
      <c r="RQ34" s="621"/>
      <c r="RR34" s="621"/>
      <c r="RS34" s="621"/>
      <c r="RT34" s="621"/>
      <c r="RU34" s="621"/>
      <c r="RV34" s="621"/>
      <c r="RW34" s="621"/>
      <c r="RX34" s="621"/>
      <c r="RY34" s="621"/>
      <c r="RZ34" s="621"/>
      <c r="SA34" s="621"/>
      <c r="SB34" s="621"/>
      <c r="SC34" s="621"/>
      <c r="SD34" s="621"/>
      <c r="SE34" s="621"/>
      <c r="SF34" s="621"/>
      <c r="SG34" s="621"/>
      <c r="SH34" s="621"/>
      <c r="SI34" s="621"/>
      <c r="SJ34" s="621"/>
      <c r="SK34" s="621"/>
      <c r="SL34" s="621"/>
      <c r="SM34" s="621"/>
      <c r="SN34" s="621"/>
      <c r="SO34" s="621"/>
      <c r="SP34" s="621"/>
      <c r="SQ34" s="621"/>
      <c r="SR34" s="621"/>
      <c r="SS34" s="621"/>
      <c r="ST34" s="621"/>
      <c r="SU34" s="621"/>
      <c r="SV34" s="621"/>
      <c r="SW34" s="621"/>
      <c r="SX34" s="621"/>
      <c r="SY34" s="621"/>
      <c r="SZ34" s="621"/>
      <c r="TA34" s="621"/>
      <c r="TB34" s="621"/>
      <c r="TC34" s="621"/>
      <c r="TD34" s="621"/>
      <c r="TE34" s="621"/>
      <c r="TF34" s="621"/>
      <c r="TG34" s="621"/>
      <c r="TH34" s="621"/>
      <c r="TI34" s="621"/>
      <c r="TJ34" s="621"/>
      <c r="TK34" s="621"/>
      <c r="TL34" s="621"/>
      <c r="TM34" s="621"/>
      <c r="TN34" s="621"/>
      <c r="TO34" s="621"/>
      <c r="TP34" s="621"/>
      <c r="TQ34" s="621"/>
      <c r="TR34" s="621"/>
      <c r="TS34" s="621"/>
      <c r="TT34" s="621"/>
      <c r="TU34" s="621"/>
      <c r="TV34" s="621"/>
      <c r="TW34" s="621"/>
      <c r="TX34" s="621"/>
      <c r="TY34" s="621"/>
      <c r="TZ34" s="621"/>
      <c r="UA34" s="621"/>
      <c r="UB34" s="621"/>
      <c r="UC34" s="621"/>
      <c r="UD34" s="621"/>
      <c r="UE34" s="621"/>
      <c r="UF34" s="621"/>
      <c r="UG34" s="621"/>
      <c r="UH34" s="621"/>
      <c r="UI34" s="621"/>
      <c r="UJ34" s="621"/>
      <c r="UK34" s="621"/>
      <c r="UL34" s="621"/>
      <c r="UM34" s="621"/>
      <c r="UN34" s="621"/>
      <c r="UO34" s="621"/>
      <c r="UP34" s="621"/>
      <c r="UQ34" s="621"/>
      <c r="UR34" s="621"/>
      <c r="US34" s="621"/>
      <c r="UT34" s="621"/>
      <c r="UU34" s="621"/>
      <c r="UV34" s="621"/>
      <c r="UW34" s="621"/>
      <c r="UX34" s="621"/>
      <c r="UY34" s="621"/>
      <c r="UZ34" s="621"/>
      <c r="VA34" s="621"/>
      <c r="VB34" s="621"/>
      <c r="VC34" s="621"/>
      <c r="VD34" s="621"/>
      <c r="VE34" s="621"/>
      <c r="VF34" s="621"/>
      <c r="VG34" s="621"/>
      <c r="VH34" s="621"/>
      <c r="VI34" s="621"/>
      <c r="VJ34" s="621"/>
      <c r="VK34" s="621"/>
      <c r="VL34" s="621"/>
      <c r="VM34" s="621"/>
      <c r="VN34" s="621"/>
      <c r="VO34" s="621"/>
      <c r="VP34" s="621"/>
      <c r="VQ34" s="621"/>
      <c r="VR34" s="621"/>
      <c r="VS34" s="621"/>
      <c r="VT34" s="621"/>
      <c r="VU34" s="621"/>
      <c r="VV34" s="621"/>
      <c r="VW34" s="621"/>
      <c r="VX34" s="621"/>
      <c r="VY34" s="621"/>
      <c r="VZ34" s="621"/>
      <c r="WA34" s="621"/>
      <c r="WB34" s="621"/>
      <c r="WC34" s="621"/>
      <c r="WD34" s="621"/>
      <c r="WE34" s="621"/>
      <c r="WF34" s="621"/>
      <c r="WG34" s="621"/>
      <c r="WH34" s="621"/>
      <c r="WI34" s="621"/>
      <c r="WJ34" s="621"/>
      <c r="WK34" s="621"/>
      <c r="WL34" s="621"/>
      <c r="WM34" s="621"/>
      <c r="WN34" s="621"/>
      <c r="WO34" s="621"/>
      <c r="WP34" s="621"/>
      <c r="WQ34" s="621"/>
      <c r="WR34" s="621"/>
      <c r="WS34" s="621"/>
      <c r="WT34" s="621"/>
      <c r="WU34" s="621"/>
      <c r="WV34" s="621"/>
      <c r="WW34" s="621"/>
      <c r="WX34" s="621"/>
      <c r="WY34" s="621"/>
      <c r="WZ34" s="621"/>
      <c r="XA34" s="621"/>
      <c r="XB34" s="621"/>
      <c r="XC34" s="621"/>
      <c r="XD34" s="621"/>
      <c r="XE34" s="621"/>
      <c r="XF34" s="621"/>
      <c r="XG34" s="621"/>
      <c r="XH34" s="621"/>
      <c r="XI34" s="621"/>
      <c r="XJ34" s="621"/>
      <c r="XK34" s="621"/>
      <c r="XL34" s="621"/>
      <c r="XM34" s="621"/>
      <c r="XN34" s="621"/>
      <c r="XO34" s="621"/>
      <c r="XP34" s="621"/>
      <c r="XQ34" s="621"/>
      <c r="XR34" s="621"/>
      <c r="XS34" s="621"/>
      <c r="XT34" s="621"/>
      <c r="XU34" s="621"/>
      <c r="XV34" s="621"/>
      <c r="XW34" s="621"/>
      <c r="XX34" s="621"/>
      <c r="XY34" s="621"/>
      <c r="XZ34" s="621"/>
      <c r="YA34" s="621"/>
      <c r="YB34" s="621"/>
      <c r="YC34" s="621"/>
      <c r="YD34" s="621"/>
      <c r="YE34" s="621"/>
      <c r="YF34" s="621"/>
      <c r="YG34" s="621"/>
      <c r="YH34" s="621"/>
      <c r="YI34" s="621"/>
      <c r="YJ34" s="621"/>
      <c r="YK34" s="621"/>
      <c r="YL34" s="621"/>
      <c r="YM34" s="621"/>
      <c r="YN34" s="621"/>
      <c r="YO34" s="621"/>
      <c r="YP34" s="621"/>
      <c r="YQ34" s="621"/>
      <c r="YR34" s="621"/>
      <c r="YS34" s="621"/>
      <c r="YT34" s="621"/>
      <c r="YU34" s="621"/>
      <c r="YV34" s="621"/>
      <c r="YW34" s="621"/>
      <c r="YX34" s="621"/>
      <c r="YY34" s="621"/>
      <c r="YZ34" s="621"/>
      <c r="ZA34" s="621"/>
      <c r="ZB34" s="621"/>
      <c r="ZC34" s="621"/>
      <c r="ZD34" s="621"/>
      <c r="ZE34" s="621"/>
      <c r="ZF34" s="621"/>
      <c r="ZG34" s="621"/>
      <c r="ZH34" s="621"/>
      <c r="ZI34" s="621"/>
      <c r="ZJ34" s="621"/>
      <c r="ZK34" s="621"/>
      <c r="ZL34" s="621"/>
      <c r="ZM34" s="621"/>
      <c r="ZN34" s="621"/>
      <c r="ZO34" s="621"/>
      <c r="ZP34" s="621"/>
      <c r="ZQ34" s="621"/>
      <c r="ZR34" s="621"/>
      <c r="ZS34" s="621"/>
      <c r="ZT34" s="621"/>
      <c r="ZU34" s="621"/>
      <c r="ZV34" s="621"/>
      <c r="ZW34" s="621"/>
      <c r="ZX34" s="621"/>
      <c r="ZY34" s="621"/>
      <c r="ZZ34" s="621"/>
      <c r="AAA34" s="621"/>
      <c r="AAB34" s="621"/>
      <c r="AAC34" s="621"/>
      <c r="AAD34" s="621"/>
      <c r="AAE34" s="621"/>
      <c r="AAF34" s="621"/>
      <c r="AAG34" s="621"/>
      <c r="AAH34" s="621"/>
      <c r="AAI34" s="621"/>
      <c r="AAJ34" s="621"/>
      <c r="AAK34" s="621"/>
      <c r="AAL34" s="621"/>
      <c r="AAM34" s="621"/>
      <c r="AAN34" s="621"/>
      <c r="AAO34" s="621"/>
      <c r="AAP34" s="621"/>
      <c r="AAQ34" s="621"/>
      <c r="AAR34" s="621"/>
      <c r="AAS34" s="621"/>
      <c r="AAT34" s="621"/>
      <c r="AAU34" s="621"/>
      <c r="AAV34" s="621"/>
      <c r="AAW34" s="621"/>
      <c r="AAX34" s="621"/>
      <c r="AAY34" s="621"/>
      <c r="AAZ34" s="621"/>
      <c r="ABA34" s="621"/>
      <c r="ABB34" s="621"/>
      <c r="ABC34" s="621"/>
      <c r="ABD34" s="621"/>
      <c r="ABE34" s="621"/>
      <c r="ABF34" s="621"/>
      <c r="ABG34" s="621"/>
      <c r="ABH34" s="621"/>
      <c r="ABI34" s="621"/>
      <c r="ABJ34" s="621"/>
      <c r="ABK34" s="621"/>
      <c r="ABL34" s="621"/>
      <c r="ABM34" s="621"/>
      <c r="ABN34" s="621"/>
      <c r="ABO34" s="621"/>
      <c r="ABP34" s="621"/>
      <c r="ABQ34" s="621"/>
      <c r="ABR34" s="621"/>
      <c r="ABS34" s="621"/>
      <c r="ABT34" s="621"/>
      <c r="ABU34" s="621"/>
      <c r="ABV34" s="621"/>
      <c r="ABW34" s="621"/>
      <c r="ABX34" s="621"/>
      <c r="ABY34" s="621"/>
      <c r="ABZ34" s="621"/>
      <c r="ACA34" s="621"/>
      <c r="ACB34" s="621"/>
      <c r="ACC34" s="621"/>
      <c r="ACD34" s="621"/>
      <c r="ACE34" s="621"/>
      <c r="ACF34" s="621"/>
      <c r="ACG34" s="621"/>
      <c r="ACH34" s="621"/>
      <c r="ACI34" s="621"/>
      <c r="ACJ34" s="621"/>
      <c r="ACK34" s="621"/>
      <c r="ACL34" s="621"/>
      <c r="ACM34" s="621"/>
      <c r="ACN34" s="621"/>
      <c r="ACO34" s="621"/>
      <c r="ACP34" s="621"/>
      <c r="ACQ34" s="621"/>
      <c r="ACR34" s="621"/>
      <c r="ACS34" s="621"/>
      <c r="ACT34" s="621"/>
      <c r="ACU34" s="621"/>
      <c r="ACV34" s="621"/>
      <c r="ACW34" s="621"/>
      <c r="ACX34" s="621"/>
      <c r="ACY34" s="621"/>
      <c r="ACZ34" s="621"/>
      <c r="ADA34" s="621"/>
      <c r="ADB34" s="621"/>
      <c r="ADC34" s="621"/>
      <c r="ADD34" s="621"/>
      <c r="ADE34" s="621"/>
      <c r="ADF34" s="621"/>
      <c r="ADG34" s="621"/>
      <c r="ADH34" s="621"/>
      <c r="ADI34" s="621"/>
      <c r="ADJ34" s="621"/>
      <c r="ADK34" s="621"/>
      <c r="ADL34" s="621"/>
      <c r="ADM34" s="621"/>
      <c r="ADN34" s="621"/>
      <c r="ADO34" s="621"/>
      <c r="ADP34" s="621"/>
      <c r="ADQ34" s="621"/>
      <c r="ADR34" s="621"/>
      <c r="ADS34" s="621"/>
      <c r="ADT34" s="621"/>
      <c r="ADU34" s="621"/>
      <c r="ADV34" s="621"/>
      <c r="ADW34" s="621"/>
      <c r="ADX34" s="621"/>
      <c r="ADY34" s="621"/>
      <c r="ADZ34" s="621"/>
      <c r="AEA34" s="621"/>
      <c r="AEB34" s="621"/>
      <c r="AEC34" s="621"/>
      <c r="AED34" s="621"/>
      <c r="AEE34" s="621"/>
      <c r="AEF34" s="621"/>
      <c r="AEG34" s="621"/>
      <c r="AEH34" s="621"/>
      <c r="AEI34" s="621"/>
      <c r="AEJ34" s="621"/>
      <c r="AEK34" s="621"/>
      <c r="AEL34" s="621"/>
      <c r="AEM34" s="621"/>
      <c r="AEN34" s="621"/>
      <c r="AEO34" s="621"/>
      <c r="AEP34" s="621"/>
      <c r="AEQ34" s="621"/>
      <c r="AER34" s="621"/>
      <c r="AES34" s="621"/>
      <c r="AET34" s="621"/>
      <c r="AEU34" s="621"/>
      <c r="AEV34" s="621"/>
      <c r="AEW34" s="621"/>
      <c r="AEX34" s="621"/>
      <c r="AEY34" s="621"/>
      <c r="AEZ34" s="621"/>
      <c r="AFA34" s="621"/>
      <c r="AFB34" s="621"/>
      <c r="AFC34" s="621"/>
      <c r="AFD34" s="621"/>
      <c r="AFE34" s="621"/>
      <c r="AFF34" s="621"/>
      <c r="AFG34" s="621"/>
      <c r="AFH34" s="621"/>
      <c r="AFI34" s="621"/>
      <c r="AFJ34" s="621"/>
      <c r="AFK34" s="621"/>
      <c r="AFL34" s="621"/>
      <c r="AFM34" s="621"/>
      <c r="AFN34" s="621"/>
      <c r="AFO34" s="621"/>
      <c r="AFP34" s="621"/>
      <c r="AFQ34" s="621"/>
      <c r="AFR34" s="621"/>
      <c r="AFS34" s="621"/>
      <c r="AFT34" s="621"/>
      <c r="AFU34" s="621"/>
      <c r="AFV34" s="621"/>
      <c r="AFW34" s="621"/>
      <c r="AFX34" s="621"/>
      <c r="AFY34" s="621"/>
      <c r="AFZ34" s="621"/>
      <c r="AGA34" s="621"/>
      <c r="AGB34" s="621"/>
      <c r="AGC34" s="621"/>
      <c r="AGD34" s="621"/>
      <c r="AGE34" s="621"/>
      <c r="AGF34" s="621"/>
      <c r="AGG34" s="621"/>
      <c r="AGH34" s="621"/>
      <c r="AGI34" s="621"/>
      <c r="AGJ34" s="621"/>
      <c r="AGK34" s="621"/>
      <c r="AGL34" s="621"/>
      <c r="AGM34" s="621"/>
      <c r="AGN34" s="621"/>
      <c r="AGO34" s="621"/>
      <c r="AGP34" s="621"/>
      <c r="AGQ34" s="621"/>
      <c r="AGR34" s="621"/>
      <c r="AGS34" s="621"/>
      <c r="AGT34" s="621"/>
      <c r="AGU34" s="621"/>
      <c r="AGV34" s="621"/>
      <c r="AGW34" s="621"/>
      <c r="AGX34" s="621"/>
      <c r="AGY34" s="621"/>
      <c r="AGZ34" s="621"/>
      <c r="AHA34" s="621"/>
      <c r="AHB34" s="621"/>
      <c r="AHC34" s="621"/>
      <c r="AHD34" s="621"/>
      <c r="AHE34" s="621"/>
      <c r="AHF34" s="621"/>
      <c r="AHG34" s="621"/>
      <c r="AHH34" s="621"/>
      <c r="AHI34" s="621"/>
      <c r="AHJ34" s="621"/>
      <c r="AHK34" s="621"/>
      <c r="AHL34" s="621"/>
      <c r="AHM34" s="621"/>
      <c r="AHN34" s="621"/>
      <c r="AHO34" s="621"/>
      <c r="AHP34" s="621"/>
      <c r="AHQ34" s="621"/>
      <c r="AHR34" s="621"/>
      <c r="AHS34" s="621"/>
      <c r="AHT34" s="621"/>
      <c r="AHU34" s="621"/>
      <c r="AHV34" s="621"/>
      <c r="AHW34" s="621"/>
      <c r="AHX34" s="621"/>
      <c r="AHY34" s="621"/>
      <c r="AHZ34" s="621"/>
      <c r="AIA34" s="621"/>
      <c r="AIB34" s="621"/>
      <c r="AIC34" s="621"/>
      <c r="AID34" s="621"/>
      <c r="AIE34" s="621"/>
      <c r="AIF34" s="621"/>
      <c r="AIG34" s="621"/>
      <c r="AIH34" s="621"/>
      <c r="AII34" s="621"/>
      <c r="AIJ34" s="621"/>
      <c r="AIK34" s="621"/>
      <c r="AIL34" s="621"/>
      <c r="AIM34" s="621"/>
      <c r="AIN34" s="621"/>
      <c r="AIO34" s="621"/>
      <c r="AIP34" s="621"/>
      <c r="AIQ34" s="621"/>
      <c r="AIR34" s="621"/>
      <c r="AIS34" s="621"/>
      <c r="AIT34" s="621"/>
      <c r="AIU34" s="621"/>
      <c r="AIV34" s="621"/>
      <c r="AIW34" s="621"/>
      <c r="AIX34" s="621"/>
      <c r="AIY34" s="621"/>
      <c r="AIZ34" s="621"/>
      <c r="AJA34" s="621"/>
      <c r="AJB34" s="621"/>
      <c r="AJC34" s="621"/>
      <c r="AJD34" s="621"/>
      <c r="AJE34" s="621"/>
      <c r="AJF34" s="621"/>
      <c r="AJG34" s="621"/>
      <c r="AJH34" s="621"/>
      <c r="AJI34" s="621"/>
      <c r="AJJ34" s="621"/>
      <c r="AJK34" s="621"/>
      <c r="AJL34" s="621"/>
      <c r="AJM34" s="621"/>
      <c r="AJN34" s="621"/>
      <c r="AJO34" s="621"/>
      <c r="AJP34" s="621"/>
      <c r="AJQ34" s="621"/>
      <c r="AJR34" s="621"/>
      <c r="AJS34" s="621"/>
      <c r="AJT34" s="621"/>
      <c r="AJU34" s="621"/>
      <c r="AJV34" s="621"/>
      <c r="AJW34" s="621"/>
      <c r="AJX34" s="621"/>
      <c r="AJY34" s="621"/>
      <c r="AJZ34" s="621"/>
      <c r="AKA34" s="621"/>
      <c r="AKB34" s="621"/>
      <c r="AKC34" s="621"/>
      <c r="AKD34" s="621"/>
      <c r="AKE34" s="621"/>
      <c r="AKF34" s="621"/>
      <c r="AKG34" s="621"/>
      <c r="AKH34" s="621"/>
      <c r="AKI34" s="621"/>
      <c r="AKJ34" s="621"/>
      <c r="AKK34" s="621"/>
      <c r="AKL34" s="621"/>
      <c r="AKM34" s="621"/>
      <c r="AKN34" s="621"/>
      <c r="AKO34" s="621"/>
      <c r="AKP34" s="621"/>
      <c r="AKQ34" s="621"/>
      <c r="AKR34" s="621"/>
      <c r="AKS34" s="621"/>
      <c r="AKT34" s="621"/>
      <c r="AKU34" s="621"/>
      <c r="AKV34" s="621"/>
      <c r="AKW34" s="621"/>
      <c r="AKX34" s="621"/>
      <c r="AKY34" s="621"/>
      <c r="AKZ34" s="621"/>
      <c r="ALA34" s="621"/>
      <c r="ALB34" s="621"/>
      <c r="ALC34" s="621"/>
      <c r="ALD34" s="621"/>
      <c r="ALE34" s="621"/>
      <c r="ALF34" s="621"/>
      <c r="ALG34" s="621"/>
      <c r="ALH34" s="621"/>
      <c r="ALI34" s="621"/>
      <c r="ALJ34" s="621"/>
      <c r="ALK34" s="621"/>
      <c r="ALL34" s="621"/>
      <c r="ALM34" s="621"/>
      <c r="ALN34" s="621"/>
      <c r="ALO34" s="621"/>
      <c r="ALP34" s="621"/>
      <c r="ALQ34" s="621"/>
      <c r="ALR34" s="621"/>
      <c r="ALS34" s="621"/>
      <c r="ALT34" s="621"/>
      <c r="ALU34" s="621"/>
      <c r="ALV34" s="621"/>
      <c r="ALW34" s="621"/>
      <c r="ALX34" s="621"/>
      <c r="ALY34" s="621"/>
      <c r="ALZ34" s="621"/>
      <c r="AMA34" s="621"/>
      <c r="AMB34" s="621"/>
      <c r="AMC34" s="621"/>
      <c r="AMD34" s="621"/>
      <c r="AME34" s="621"/>
      <c r="AMF34" s="621"/>
      <c r="AMG34" s="621"/>
      <c r="AMH34" s="621"/>
      <c r="AMI34" s="621"/>
      <c r="AMJ34" s="621"/>
      <c r="AMK34" s="621"/>
    </row>
    <row r="35" spans="1:1025" ht="27" customHeight="1">
      <c r="A35" s="374" t="s">
        <v>369</v>
      </c>
      <c r="B35" s="375" t="s">
        <v>370</v>
      </c>
      <c r="C35" s="376">
        <f>D35*1.02</f>
        <v>29224.53</v>
      </c>
      <c r="D35" s="902">
        <v>28651.5</v>
      </c>
      <c r="E35" s="2051" t="s">
        <v>371</v>
      </c>
      <c r="F35" s="2051"/>
      <c r="G35" s="400">
        <f>'Weekly Progress Report'!N119</f>
        <v>58127.115441959868</v>
      </c>
      <c r="H35" s="379">
        <f>'Weekly Progress Report'!P119</f>
        <v>52883.197705874132</v>
      </c>
      <c r="I35" s="1516"/>
      <c r="J35" s="1498">
        <v>38269.730000000003</v>
      </c>
      <c r="K35" s="593"/>
      <c r="L35" s="1495">
        <v>705549.25790867803</v>
      </c>
      <c r="M35" s="542">
        <f t="shared" si="6"/>
        <v>-652666.06020280393</v>
      </c>
      <c r="N35" s="1446"/>
      <c r="O35" s="1446"/>
      <c r="P35" s="396"/>
      <c r="T35" s="397"/>
      <c r="U35" s="397"/>
      <c r="V35" s="401" t="s">
        <v>283</v>
      </c>
      <c r="W35" s="402">
        <v>32.002499999999998</v>
      </c>
      <c r="X35" s="402"/>
      <c r="Y35" s="403">
        <f>W35*X35</f>
        <v>0</v>
      </c>
      <c r="Z35" s="398"/>
      <c r="AA35" s="399"/>
      <c r="AB35" s="260"/>
      <c r="AC35" s="386"/>
      <c r="AD35" s="1482"/>
      <c r="AE35" s="1482"/>
      <c r="AF35" s="1482"/>
      <c r="AG35" s="1482"/>
      <c r="AH35" s="1482"/>
      <c r="AI35" s="1482"/>
      <c r="AJ35" s="1480"/>
      <c r="AK35" s="1481"/>
      <c r="AL35" s="1480"/>
      <c r="AM35" s="289"/>
      <c r="AN35" s="260"/>
      <c r="AO35" s="260"/>
      <c r="AQ35" s="621"/>
      <c r="AR35" s="621"/>
      <c r="AS35" s="621"/>
      <c r="AT35" s="621"/>
      <c r="AU35" s="621"/>
      <c r="AV35" s="621"/>
      <c r="AW35" s="621"/>
      <c r="AX35" s="621"/>
      <c r="AY35" s="621"/>
      <c r="AZ35" s="621"/>
      <c r="BA35" s="621"/>
      <c r="BB35" s="621"/>
      <c r="BC35" s="621"/>
      <c r="BD35" s="621"/>
      <c r="BE35" s="621"/>
      <c r="BF35" s="621"/>
      <c r="BG35" s="621"/>
      <c r="BH35" s="621"/>
      <c r="BI35" s="621"/>
      <c r="BJ35" s="621"/>
      <c r="BK35" s="621"/>
      <c r="BL35" s="621"/>
      <c r="BM35" s="621"/>
      <c r="BN35" s="621"/>
      <c r="BO35" s="621"/>
      <c r="BP35" s="621"/>
      <c r="BQ35" s="621"/>
      <c r="BR35" s="621"/>
      <c r="BS35" s="621"/>
      <c r="BT35" s="621"/>
      <c r="BU35" s="621"/>
      <c r="BV35" s="621"/>
      <c r="BW35" s="621"/>
      <c r="BX35" s="621"/>
      <c r="BY35" s="621"/>
      <c r="BZ35" s="621"/>
      <c r="CA35" s="621"/>
      <c r="CB35" s="621"/>
      <c r="CC35" s="621"/>
      <c r="CD35" s="621"/>
      <c r="CE35" s="621"/>
      <c r="CF35" s="621"/>
      <c r="CG35" s="621"/>
      <c r="CH35" s="621"/>
      <c r="CI35" s="621"/>
      <c r="CJ35" s="621"/>
      <c r="CK35" s="621"/>
      <c r="CL35" s="621"/>
      <c r="CM35" s="621"/>
      <c r="CN35" s="621"/>
      <c r="CO35" s="621"/>
      <c r="CP35" s="621"/>
      <c r="CQ35" s="621"/>
      <c r="CR35" s="621"/>
      <c r="CS35" s="621"/>
      <c r="CT35" s="621"/>
      <c r="CU35" s="621"/>
      <c r="CV35" s="621"/>
      <c r="CW35" s="621"/>
      <c r="CX35" s="621"/>
      <c r="CY35" s="621"/>
      <c r="CZ35" s="621"/>
      <c r="DA35" s="621"/>
      <c r="DB35" s="621"/>
      <c r="DC35" s="621"/>
      <c r="DD35" s="621"/>
      <c r="DE35" s="621"/>
      <c r="DF35" s="621"/>
      <c r="DG35" s="621"/>
      <c r="DH35" s="621"/>
      <c r="DI35" s="621"/>
      <c r="DJ35" s="621"/>
      <c r="DK35" s="621"/>
      <c r="DL35" s="621"/>
      <c r="DM35" s="621"/>
      <c r="DN35" s="621"/>
      <c r="DO35" s="621"/>
      <c r="DP35" s="621"/>
      <c r="DQ35" s="621"/>
      <c r="DR35" s="621"/>
      <c r="DS35" s="621"/>
      <c r="DT35" s="621"/>
      <c r="DU35" s="621"/>
      <c r="DV35" s="621"/>
      <c r="DW35" s="621"/>
      <c r="DX35" s="621"/>
      <c r="DY35" s="621"/>
      <c r="DZ35" s="621"/>
      <c r="EA35" s="621"/>
      <c r="EB35" s="621"/>
      <c r="EC35" s="621"/>
      <c r="ED35" s="621"/>
      <c r="EE35" s="621"/>
      <c r="EF35" s="621"/>
      <c r="EG35" s="621"/>
      <c r="EH35" s="621"/>
      <c r="EI35" s="621"/>
      <c r="EJ35" s="621"/>
      <c r="EK35" s="621"/>
      <c r="EL35" s="621"/>
      <c r="EM35" s="621"/>
      <c r="EN35" s="621"/>
      <c r="EO35" s="621"/>
      <c r="EP35" s="621"/>
      <c r="EQ35" s="621"/>
      <c r="ER35" s="621"/>
      <c r="ES35" s="621"/>
      <c r="ET35" s="621"/>
      <c r="EU35" s="621"/>
      <c r="EV35" s="621"/>
      <c r="EW35" s="621"/>
      <c r="EX35" s="621"/>
      <c r="EY35" s="621"/>
      <c r="EZ35" s="621"/>
      <c r="FA35" s="621"/>
      <c r="FB35" s="621"/>
      <c r="FC35" s="621"/>
      <c r="FD35" s="621"/>
      <c r="FE35" s="621"/>
      <c r="FF35" s="621"/>
      <c r="FG35" s="621"/>
      <c r="FH35" s="621"/>
      <c r="FI35" s="621"/>
      <c r="FJ35" s="621"/>
      <c r="FK35" s="621"/>
      <c r="FL35" s="621"/>
      <c r="FM35" s="621"/>
      <c r="FN35" s="621"/>
      <c r="FO35" s="621"/>
      <c r="FP35" s="621"/>
      <c r="FQ35" s="621"/>
      <c r="FR35" s="621"/>
      <c r="FS35" s="621"/>
      <c r="FT35" s="621"/>
      <c r="FU35" s="621"/>
      <c r="FV35" s="621"/>
      <c r="FW35" s="621"/>
      <c r="FX35" s="621"/>
      <c r="FY35" s="621"/>
      <c r="FZ35" s="621"/>
      <c r="GA35" s="621"/>
      <c r="GB35" s="621"/>
      <c r="GC35" s="621"/>
      <c r="GD35" s="621"/>
      <c r="GE35" s="621"/>
      <c r="GF35" s="621"/>
      <c r="GG35" s="621"/>
      <c r="GH35" s="621"/>
      <c r="GI35" s="621"/>
      <c r="GJ35" s="621"/>
      <c r="GK35" s="621"/>
      <c r="GL35" s="621"/>
      <c r="GM35" s="621"/>
      <c r="GN35" s="621"/>
      <c r="GO35" s="621"/>
      <c r="GP35" s="621"/>
      <c r="GQ35" s="621"/>
      <c r="GR35" s="621"/>
      <c r="GS35" s="621"/>
      <c r="GT35" s="621"/>
      <c r="GU35" s="621"/>
      <c r="GV35" s="621"/>
      <c r="GW35" s="621"/>
      <c r="GX35" s="621"/>
      <c r="GY35" s="621"/>
      <c r="GZ35" s="621"/>
      <c r="HA35" s="621"/>
      <c r="HB35" s="621"/>
      <c r="HC35" s="621"/>
      <c r="HD35" s="621"/>
      <c r="HE35" s="621"/>
      <c r="HF35" s="621"/>
      <c r="HG35" s="621"/>
      <c r="HH35" s="621"/>
      <c r="HI35" s="621"/>
      <c r="HJ35" s="621"/>
      <c r="HK35" s="621"/>
      <c r="HL35" s="621"/>
      <c r="HM35" s="621"/>
      <c r="HN35" s="621"/>
      <c r="HO35" s="621"/>
      <c r="HP35" s="621"/>
      <c r="HQ35" s="621"/>
      <c r="HR35" s="621"/>
      <c r="HS35" s="621"/>
      <c r="HT35" s="621"/>
      <c r="HU35" s="621"/>
      <c r="HV35" s="621"/>
      <c r="HW35" s="621"/>
      <c r="HX35" s="621"/>
      <c r="HY35" s="621"/>
      <c r="HZ35" s="621"/>
      <c r="IA35" s="621"/>
      <c r="IB35" s="621"/>
      <c r="IC35" s="621"/>
      <c r="ID35" s="621"/>
      <c r="IE35" s="621"/>
      <c r="IF35" s="621"/>
      <c r="IG35" s="621"/>
      <c r="IH35" s="621"/>
      <c r="II35" s="621"/>
      <c r="IJ35" s="621"/>
      <c r="IK35" s="621"/>
      <c r="IL35" s="621"/>
      <c r="IM35" s="621"/>
      <c r="IN35" s="621"/>
      <c r="IO35" s="621"/>
      <c r="IP35" s="621"/>
      <c r="IQ35" s="621"/>
      <c r="IR35" s="621"/>
      <c r="IS35" s="621"/>
      <c r="IT35" s="621"/>
      <c r="IU35" s="621"/>
      <c r="IV35" s="621"/>
      <c r="IW35" s="621"/>
      <c r="IX35" s="621"/>
      <c r="IY35" s="621"/>
      <c r="IZ35" s="621"/>
      <c r="JA35" s="621"/>
      <c r="JB35" s="621"/>
      <c r="JC35" s="621"/>
      <c r="JD35" s="621"/>
      <c r="JE35" s="621"/>
      <c r="JF35" s="621"/>
      <c r="JG35" s="621"/>
      <c r="JH35" s="621"/>
      <c r="JI35" s="621"/>
      <c r="JJ35" s="621"/>
      <c r="JK35" s="621"/>
      <c r="JL35" s="621"/>
      <c r="JM35" s="621"/>
      <c r="JN35" s="621"/>
      <c r="JO35" s="621"/>
      <c r="JP35" s="621"/>
      <c r="JQ35" s="621"/>
      <c r="JR35" s="621"/>
      <c r="JS35" s="621"/>
      <c r="JT35" s="621"/>
      <c r="JU35" s="621"/>
      <c r="JV35" s="621"/>
      <c r="JW35" s="621"/>
      <c r="JX35" s="621"/>
      <c r="JY35" s="621"/>
      <c r="JZ35" s="621"/>
      <c r="KA35" s="621"/>
      <c r="KB35" s="621"/>
      <c r="KC35" s="621"/>
      <c r="KD35" s="621"/>
      <c r="KE35" s="621"/>
      <c r="KF35" s="621"/>
      <c r="KG35" s="621"/>
      <c r="KH35" s="621"/>
      <c r="KI35" s="621"/>
      <c r="KJ35" s="621"/>
      <c r="KK35" s="621"/>
      <c r="KL35" s="621"/>
      <c r="KM35" s="621"/>
      <c r="KN35" s="621"/>
      <c r="KO35" s="621"/>
      <c r="KP35" s="621"/>
      <c r="KQ35" s="621"/>
      <c r="KR35" s="621"/>
      <c r="KS35" s="621"/>
      <c r="KT35" s="621"/>
      <c r="KU35" s="621"/>
      <c r="KV35" s="621"/>
      <c r="KW35" s="621"/>
      <c r="KX35" s="621"/>
      <c r="KY35" s="621"/>
      <c r="KZ35" s="621"/>
      <c r="LA35" s="621"/>
      <c r="LB35" s="621"/>
      <c r="LC35" s="621"/>
      <c r="LD35" s="621"/>
      <c r="LE35" s="621"/>
      <c r="LF35" s="621"/>
      <c r="LG35" s="621"/>
      <c r="LH35" s="621"/>
      <c r="LI35" s="621"/>
      <c r="LJ35" s="621"/>
      <c r="LK35" s="621"/>
      <c r="LL35" s="621"/>
      <c r="LM35" s="621"/>
      <c r="LN35" s="621"/>
      <c r="LO35" s="621"/>
      <c r="LP35" s="621"/>
      <c r="LQ35" s="621"/>
      <c r="LR35" s="621"/>
      <c r="LS35" s="621"/>
      <c r="LT35" s="621"/>
      <c r="LU35" s="621"/>
      <c r="LV35" s="621"/>
      <c r="LW35" s="621"/>
      <c r="LX35" s="621"/>
      <c r="LY35" s="621"/>
      <c r="LZ35" s="621"/>
      <c r="MA35" s="621"/>
      <c r="MB35" s="621"/>
      <c r="MC35" s="621"/>
      <c r="MD35" s="621"/>
      <c r="ME35" s="621"/>
      <c r="MF35" s="621"/>
      <c r="MG35" s="621"/>
      <c r="MH35" s="621"/>
      <c r="MI35" s="621"/>
      <c r="MJ35" s="621"/>
      <c r="MK35" s="621"/>
      <c r="ML35" s="621"/>
      <c r="MM35" s="621"/>
      <c r="MN35" s="621"/>
      <c r="MO35" s="621"/>
      <c r="MP35" s="621"/>
      <c r="MQ35" s="621"/>
      <c r="MR35" s="621"/>
      <c r="MS35" s="621"/>
      <c r="MT35" s="621"/>
      <c r="MU35" s="621"/>
      <c r="MV35" s="621"/>
      <c r="MW35" s="621"/>
      <c r="MX35" s="621"/>
      <c r="MY35" s="621"/>
      <c r="MZ35" s="621"/>
      <c r="NA35" s="621"/>
      <c r="NB35" s="621"/>
      <c r="NC35" s="621"/>
      <c r="ND35" s="621"/>
      <c r="NE35" s="621"/>
      <c r="NF35" s="621"/>
      <c r="NG35" s="621"/>
      <c r="NH35" s="621"/>
      <c r="NI35" s="621"/>
      <c r="NJ35" s="621"/>
      <c r="NK35" s="621"/>
      <c r="NL35" s="621"/>
      <c r="NM35" s="621"/>
      <c r="NN35" s="621"/>
      <c r="NO35" s="621"/>
      <c r="NP35" s="621"/>
      <c r="NQ35" s="621"/>
      <c r="NR35" s="621"/>
      <c r="NS35" s="621"/>
      <c r="NT35" s="621"/>
      <c r="NU35" s="621"/>
      <c r="NV35" s="621"/>
      <c r="NW35" s="621"/>
      <c r="NX35" s="621"/>
      <c r="NY35" s="621"/>
      <c r="NZ35" s="621"/>
      <c r="OA35" s="621"/>
      <c r="OB35" s="621"/>
      <c r="OC35" s="621"/>
      <c r="OD35" s="621"/>
      <c r="OE35" s="621"/>
      <c r="OF35" s="621"/>
      <c r="OG35" s="621"/>
      <c r="OH35" s="621"/>
      <c r="OI35" s="621"/>
      <c r="OJ35" s="621"/>
      <c r="OK35" s="621"/>
      <c r="OL35" s="621"/>
      <c r="OM35" s="621"/>
      <c r="ON35" s="621"/>
      <c r="OO35" s="621"/>
      <c r="OP35" s="621"/>
      <c r="OQ35" s="621"/>
      <c r="OR35" s="621"/>
      <c r="OS35" s="621"/>
      <c r="OT35" s="621"/>
      <c r="OU35" s="621"/>
      <c r="OV35" s="621"/>
      <c r="OW35" s="621"/>
      <c r="OX35" s="621"/>
      <c r="OY35" s="621"/>
      <c r="OZ35" s="621"/>
      <c r="PA35" s="621"/>
      <c r="PB35" s="621"/>
      <c r="PC35" s="621"/>
      <c r="PD35" s="621"/>
      <c r="PE35" s="621"/>
      <c r="PF35" s="621"/>
      <c r="PG35" s="621"/>
      <c r="PH35" s="621"/>
      <c r="PI35" s="621"/>
      <c r="PJ35" s="621"/>
      <c r="PK35" s="621"/>
      <c r="PL35" s="621"/>
      <c r="PM35" s="621"/>
      <c r="PN35" s="621"/>
      <c r="PO35" s="621"/>
      <c r="PP35" s="621"/>
      <c r="PQ35" s="621"/>
      <c r="PR35" s="621"/>
      <c r="PS35" s="621"/>
      <c r="PT35" s="621"/>
      <c r="PU35" s="621"/>
      <c r="PV35" s="621"/>
      <c r="PW35" s="621"/>
      <c r="PX35" s="621"/>
      <c r="PY35" s="621"/>
      <c r="PZ35" s="621"/>
      <c r="QA35" s="621"/>
      <c r="QB35" s="621"/>
      <c r="QC35" s="621"/>
      <c r="QD35" s="621"/>
      <c r="QE35" s="621"/>
      <c r="QF35" s="621"/>
      <c r="QG35" s="621"/>
      <c r="QH35" s="621"/>
      <c r="QI35" s="621"/>
      <c r="QJ35" s="621"/>
      <c r="QK35" s="621"/>
      <c r="QL35" s="621"/>
      <c r="QM35" s="621"/>
      <c r="QN35" s="621"/>
      <c r="QO35" s="621"/>
      <c r="QP35" s="621"/>
      <c r="QQ35" s="621"/>
      <c r="QR35" s="621"/>
      <c r="QS35" s="621"/>
      <c r="QT35" s="621"/>
      <c r="QU35" s="621"/>
      <c r="QV35" s="621"/>
      <c r="QW35" s="621"/>
      <c r="QX35" s="621"/>
      <c r="QY35" s="621"/>
      <c r="QZ35" s="621"/>
      <c r="RA35" s="621"/>
      <c r="RB35" s="621"/>
      <c r="RC35" s="621"/>
      <c r="RD35" s="621"/>
      <c r="RE35" s="621"/>
      <c r="RF35" s="621"/>
      <c r="RG35" s="621"/>
      <c r="RH35" s="621"/>
      <c r="RI35" s="621"/>
      <c r="RJ35" s="621"/>
      <c r="RK35" s="621"/>
      <c r="RL35" s="621"/>
      <c r="RM35" s="621"/>
      <c r="RN35" s="621"/>
      <c r="RO35" s="621"/>
      <c r="RP35" s="621"/>
      <c r="RQ35" s="621"/>
      <c r="RR35" s="621"/>
      <c r="RS35" s="621"/>
      <c r="RT35" s="621"/>
      <c r="RU35" s="621"/>
      <c r="RV35" s="621"/>
      <c r="RW35" s="621"/>
      <c r="RX35" s="621"/>
      <c r="RY35" s="621"/>
      <c r="RZ35" s="621"/>
      <c r="SA35" s="621"/>
      <c r="SB35" s="621"/>
      <c r="SC35" s="621"/>
      <c r="SD35" s="621"/>
      <c r="SE35" s="621"/>
      <c r="SF35" s="621"/>
      <c r="SG35" s="621"/>
      <c r="SH35" s="621"/>
      <c r="SI35" s="621"/>
      <c r="SJ35" s="621"/>
      <c r="SK35" s="621"/>
      <c r="SL35" s="621"/>
      <c r="SM35" s="621"/>
      <c r="SN35" s="621"/>
      <c r="SO35" s="621"/>
      <c r="SP35" s="621"/>
      <c r="SQ35" s="621"/>
      <c r="SR35" s="621"/>
      <c r="SS35" s="621"/>
      <c r="ST35" s="621"/>
      <c r="SU35" s="621"/>
      <c r="SV35" s="621"/>
      <c r="SW35" s="621"/>
      <c r="SX35" s="621"/>
      <c r="SY35" s="621"/>
      <c r="SZ35" s="621"/>
      <c r="TA35" s="621"/>
      <c r="TB35" s="621"/>
      <c r="TC35" s="621"/>
      <c r="TD35" s="621"/>
      <c r="TE35" s="621"/>
      <c r="TF35" s="621"/>
      <c r="TG35" s="621"/>
      <c r="TH35" s="621"/>
      <c r="TI35" s="621"/>
      <c r="TJ35" s="621"/>
      <c r="TK35" s="621"/>
      <c r="TL35" s="621"/>
      <c r="TM35" s="621"/>
      <c r="TN35" s="621"/>
      <c r="TO35" s="621"/>
      <c r="TP35" s="621"/>
      <c r="TQ35" s="621"/>
      <c r="TR35" s="621"/>
      <c r="TS35" s="621"/>
      <c r="TT35" s="621"/>
      <c r="TU35" s="621"/>
      <c r="TV35" s="621"/>
      <c r="TW35" s="621"/>
      <c r="TX35" s="621"/>
      <c r="TY35" s="621"/>
      <c r="TZ35" s="621"/>
      <c r="UA35" s="621"/>
      <c r="UB35" s="621"/>
      <c r="UC35" s="621"/>
      <c r="UD35" s="621"/>
      <c r="UE35" s="621"/>
      <c r="UF35" s="621"/>
      <c r="UG35" s="621"/>
      <c r="UH35" s="621"/>
      <c r="UI35" s="621"/>
      <c r="UJ35" s="621"/>
      <c r="UK35" s="621"/>
      <c r="UL35" s="621"/>
      <c r="UM35" s="621"/>
      <c r="UN35" s="621"/>
      <c r="UO35" s="621"/>
      <c r="UP35" s="621"/>
      <c r="UQ35" s="621"/>
      <c r="UR35" s="621"/>
      <c r="US35" s="621"/>
      <c r="UT35" s="621"/>
      <c r="UU35" s="621"/>
      <c r="UV35" s="621"/>
      <c r="UW35" s="621"/>
      <c r="UX35" s="621"/>
      <c r="UY35" s="621"/>
      <c r="UZ35" s="621"/>
      <c r="VA35" s="621"/>
      <c r="VB35" s="621"/>
      <c r="VC35" s="621"/>
      <c r="VD35" s="621"/>
      <c r="VE35" s="621"/>
      <c r="VF35" s="621"/>
      <c r="VG35" s="621"/>
      <c r="VH35" s="621"/>
      <c r="VI35" s="621"/>
      <c r="VJ35" s="621"/>
      <c r="VK35" s="621"/>
      <c r="VL35" s="621"/>
      <c r="VM35" s="621"/>
      <c r="VN35" s="621"/>
      <c r="VO35" s="621"/>
      <c r="VP35" s="621"/>
      <c r="VQ35" s="621"/>
      <c r="VR35" s="621"/>
      <c r="VS35" s="621"/>
      <c r="VT35" s="621"/>
      <c r="VU35" s="621"/>
      <c r="VV35" s="621"/>
      <c r="VW35" s="621"/>
      <c r="VX35" s="621"/>
      <c r="VY35" s="621"/>
      <c r="VZ35" s="621"/>
      <c r="WA35" s="621"/>
      <c r="WB35" s="621"/>
      <c r="WC35" s="621"/>
      <c r="WD35" s="621"/>
      <c r="WE35" s="621"/>
      <c r="WF35" s="621"/>
      <c r="WG35" s="621"/>
      <c r="WH35" s="621"/>
      <c r="WI35" s="621"/>
      <c r="WJ35" s="621"/>
      <c r="WK35" s="621"/>
      <c r="WL35" s="621"/>
      <c r="WM35" s="621"/>
      <c r="WN35" s="621"/>
      <c r="WO35" s="621"/>
      <c r="WP35" s="621"/>
      <c r="WQ35" s="621"/>
      <c r="WR35" s="621"/>
      <c r="WS35" s="621"/>
      <c r="WT35" s="621"/>
      <c r="WU35" s="621"/>
      <c r="WV35" s="621"/>
      <c r="WW35" s="621"/>
      <c r="WX35" s="621"/>
      <c r="WY35" s="621"/>
      <c r="WZ35" s="621"/>
      <c r="XA35" s="621"/>
      <c r="XB35" s="621"/>
      <c r="XC35" s="621"/>
      <c r="XD35" s="621"/>
      <c r="XE35" s="621"/>
      <c r="XF35" s="621"/>
      <c r="XG35" s="621"/>
      <c r="XH35" s="621"/>
      <c r="XI35" s="621"/>
      <c r="XJ35" s="621"/>
      <c r="XK35" s="621"/>
      <c r="XL35" s="621"/>
      <c r="XM35" s="621"/>
      <c r="XN35" s="621"/>
      <c r="XO35" s="621"/>
      <c r="XP35" s="621"/>
      <c r="XQ35" s="621"/>
      <c r="XR35" s="621"/>
      <c r="XS35" s="621"/>
      <c r="XT35" s="621"/>
      <c r="XU35" s="621"/>
      <c r="XV35" s="621"/>
      <c r="XW35" s="621"/>
      <c r="XX35" s="621"/>
      <c r="XY35" s="621"/>
      <c r="XZ35" s="621"/>
      <c r="YA35" s="621"/>
      <c r="YB35" s="621"/>
      <c r="YC35" s="621"/>
      <c r="YD35" s="621"/>
      <c r="YE35" s="621"/>
      <c r="YF35" s="621"/>
      <c r="YG35" s="621"/>
      <c r="YH35" s="621"/>
      <c r="YI35" s="621"/>
      <c r="YJ35" s="621"/>
      <c r="YK35" s="621"/>
      <c r="YL35" s="621"/>
      <c r="YM35" s="621"/>
      <c r="YN35" s="621"/>
      <c r="YO35" s="621"/>
      <c r="YP35" s="621"/>
      <c r="YQ35" s="621"/>
      <c r="YR35" s="621"/>
      <c r="YS35" s="621"/>
      <c r="YT35" s="621"/>
      <c r="YU35" s="621"/>
      <c r="YV35" s="621"/>
      <c r="YW35" s="621"/>
      <c r="YX35" s="621"/>
      <c r="YY35" s="621"/>
      <c r="YZ35" s="621"/>
      <c r="ZA35" s="621"/>
      <c r="ZB35" s="621"/>
      <c r="ZC35" s="621"/>
      <c r="ZD35" s="621"/>
      <c r="ZE35" s="621"/>
      <c r="ZF35" s="621"/>
      <c r="ZG35" s="621"/>
      <c r="ZH35" s="621"/>
      <c r="ZI35" s="621"/>
      <c r="ZJ35" s="621"/>
      <c r="ZK35" s="621"/>
      <c r="ZL35" s="621"/>
      <c r="ZM35" s="621"/>
      <c r="ZN35" s="621"/>
      <c r="ZO35" s="621"/>
      <c r="ZP35" s="621"/>
      <c r="ZQ35" s="621"/>
      <c r="ZR35" s="621"/>
      <c r="ZS35" s="621"/>
      <c r="ZT35" s="621"/>
      <c r="ZU35" s="621"/>
      <c r="ZV35" s="621"/>
      <c r="ZW35" s="621"/>
      <c r="ZX35" s="621"/>
      <c r="ZY35" s="621"/>
      <c r="ZZ35" s="621"/>
      <c r="AAA35" s="621"/>
      <c r="AAB35" s="621"/>
      <c r="AAC35" s="621"/>
      <c r="AAD35" s="621"/>
      <c r="AAE35" s="621"/>
      <c r="AAF35" s="621"/>
      <c r="AAG35" s="621"/>
      <c r="AAH35" s="621"/>
      <c r="AAI35" s="621"/>
      <c r="AAJ35" s="621"/>
      <c r="AAK35" s="621"/>
      <c r="AAL35" s="621"/>
      <c r="AAM35" s="621"/>
      <c r="AAN35" s="621"/>
      <c r="AAO35" s="621"/>
      <c r="AAP35" s="621"/>
      <c r="AAQ35" s="621"/>
      <c r="AAR35" s="621"/>
      <c r="AAS35" s="621"/>
      <c r="AAT35" s="621"/>
      <c r="AAU35" s="621"/>
      <c r="AAV35" s="621"/>
      <c r="AAW35" s="621"/>
      <c r="AAX35" s="621"/>
      <c r="AAY35" s="621"/>
      <c r="AAZ35" s="621"/>
      <c r="ABA35" s="621"/>
      <c r="ABB35" s="621"/>
      <c r="ABC35" s="621"/>
      <c r="ABD35" s="621"/>
      <c r="ABE35" s="621"/>
      <c r="ABF35" s="621"/>
      <c r="ABG35" s="621"/>
      <c r="ABH35" s="621"/>
      <c r="ABI35" s="621"/>
      <c r="ABJ35" s="621"/>
      <c r="ABK35" s="621"/>
      <c r="ABL35" s="621"/>
      <c r="ABM35" s="621"/>
      <c r="ABN35" s="621"/>
      <c r="ABO35" s="621"/>
      <c r="ABP35" s="621"/>
      <c r="ABQ35" s="621"/>
      <c r="ABR35" s="621"/>
      <c r="ABS35" s="621"/>
      <c r="ABT35" s="621"/>
      <c r="ABU35" s="621"/>
      <c r="ABV35" s="621"/>
      <c r="ABW35" s="621"/>
      <c r="ABX35" s="621"/>
      <c r="ABY35" s="621"/>
      <c r="ABZ35" s="621"/>
      <c r="ACA35" s="621"/>
      <c r="ACB35" s="621"/>
      <c r="ACC35" s="621"/>
      <c r="ACD35" s="621"/>
      <c r="ACE35" s="621"/>
      <c r="ACF35" s="621"/>
      <c r="ACG35" s="621"/>
      <c r="ACH35" s="621"/>
      <c r="ACI35" s="621"/>
      <c r="ACJ35" s="621"/>
      <c r="ACK35" s="621"/>
      <c r="ACL35" s="621"/>
      <c r="ACM35" s="621"/>
      <c r="ACN35" s="621"/>
      <c r="ACO35" s="621"/>
      <c r="ACP35" s="621"/>
      <c r="ACQ35" s="621"/>
      <c r="ACR35" s="621"/>
      <c r="ACS35" s="621"/>
      <c r="ACT35" s="621"/>
      <c r="ACU35" s="621"/>
      <c r="ACV35" s="621"/>
      <c r="ACW35" s="621"/>
      <c r="ACX35" s="621"/>
      <c r="ACY35" s="621"/>
      <c r="ACZ35" s="621"/>
      <c r="ADA35" s="621"/>
      <c r="ADB35" s="621"/>
      <c r="ADC35" s="621"/>
      <c r="ADD35" s="621"/>
      <c r="ADE35" s="621"/>
      <c r="ADF35" s="621"/>
      <c r="ADG35" s="621"/>
      <c r="ADH35" s="621"/>
      <c r="ADI35" s="621"/>
      <c r="ADJ35" s="621"/>
      <c r="ADK35" s="621"/>
      <c r="ADL35" s="621"/>
      <c r="ADM35" s="621"/>
      <c r="ADN35" s="621"/>
      <c r="ADO35" s="621"/>
      <c r="ADP35" s="621"/>
      <c r="ADQ35" s="621"/>
      <c r="ADR35" s="621"/>
      <c r="ADS35" s="621"/>
      <c r="ADT35" s="621"/>
      <c r="ADU35" s="621"/>
      <c r="ADV35" s="621"/>
      <c r="ADW35" s="621"/>
      <c r="ADX35" s="621"/>
      <c r="ADY35" s="621"/>
      <c r="ADZ35" s="621"/>
      <c r="AEA35" s="621"/>
      <c r="AEB35" s="621"/>
      <c r="AEC35" s="621"/>
      <c r="AED35" s="621"/>
      <c r="AEE35" s="621"/>
      <c r="AEF35" s="621"/>
      <c r="AEG35" s="621"/>
      <c r="AEH35" s="621"/>
      <c r="AEI35" s="621"/>
      <c r="AEJ35" s="621"/>
      <c r="AEK35" s="621"/>
      <c r="AEL35" s="621"/>
      <c r="AEM35" s="621"/>
      <c r="AEN35" s="621"/>
      <c r="AEO35" s="621"/>
      <c r="AEP35" s="621"/>
      <c r="AEQ35" s="621"/>
      <c r="AER35" s="621"/>
      <c r="AES35" s="621"/>
      <c r="AET35" s="621"/>
      <c r="AEU35" s="621"/>
      <c r="AEV35" s="621"/>
      <c r="AEW35" s="621"/>
      <c r="AEX35" s="621"/>
      <c r="AEY35" s="621"/>
      <c r="AEZ35" s="621"/>
      <c r="AFA35" s="621"/>
      <c r="AFB35" s="621"/>
      <c r="AFC35" s="621"/>
      <c r="AFD35" s="621"/>
      <c r="AFE35" s="621"/>
      <c r="AFF35" s="621"/>
      <c r="AFG35" s="621"/>
      <c r="AFH35" s="621"/>
      <c r="AFI35" s="621"/>
      <c r="AFJ35" s="621"/>
      <c r="AFK35" s="621"/>
      <c r="AFL35" s="621"/>
      <c r="AFM35" s="621"/>
      <c r="AFN35" s="621"/>
      <c r="AFO35" s="621"/>
      <c r="AFP35" s="621"/>
      <c r="AFQ35" s="621"/>
      <c r="AFR35" s="621"/>
      <c r="AFS35" s="621"/>
      <c r="AFT35" s="621"/>
      <c r="AFU35" s="621"/>
      <c r="AFV35" s="621"/>
      <c r="AFW35" s="621"/>
      <c r="AFX35" s="621"/>
      <c r="AFY35" s="621"/>
      <c r="AFZ35" s="621"/>
      <c r="AGA35" s="621"/>
      <c r="AGB35" s="621"/>
      <c r="AGC35" s="621"/>
      <c r="AGD35" s="621"/>
      <c r="AGE35" s="621"/>
      <c r="AGF35" s="621"/>
      <c r="AGG35" s="621"/>
      <c r="AGH35" s="621"/>
      <c r="AGI35" s="621"/>
      <c r="AGJ35" s="621"/>
      <c r="AGK35" s="621"/>
      <c r="AGL35" s="621"/>
      <c r="AGM35" s="621"/>
      <c r="AGN35" s="621"/>
      <c r="AGO35" s="621"/>
      <c r="AGP35" s="621"/>
      <c r="AGQ35" s="621"/>
      <c r="AGR35" s="621"/>
      <c r="AGS35" s="621"/>
      <c r="AGT35" s="621"/>
      <c r="AGU35" s="621"/>
      <c r="AGV35" s="621"/>
      <c r="AGW35" s="621"/>
      <c r="AGX35" s="621"/>
      <c r="AGY35" s="621"/>
      <c r="AGZ35" s="621"/>
      <c r="AHA35" s="621"/>
      <c r="AHB35" s="621"/>
      <c r="AHC35" s="621"/>
      <c r="AHD35" s="621"/>
      <c r="AHE35" s="621"/>
      <c r="AHF35" s="621"/>
      <c r="AHG35" s="621"/>
      <c r="AHH35" s="621"/>
      <c r="AHI35" s="621"/>
      <c r="AHJ35" s="621"/>
      <c r="AHK35" s="621"/>
      <c r="AHL35" s="621"/>
      <c r="AHM35" s="621"/>
      <c r="AHN35" s="621"/>
      <c r="AHO35" s="621"/>
      <c r="AHP35" s="621"/>
      <c r="AHQ35" s="621"/>
      <c r="AHR35" s="621"/>
      <c r="AHS35" s="621"/>
      <c r="AHT35" s="621"/>
      <c r="AHU35" s="621"/>
      <c r="AHV35" s="621"/>
      <c r="AHW35" s="621"/>
      <c r="AHX35" s="621"/>
      <c r="AHY35" s="621"/>
      <c r="AHZ35" s="621"/>
      <c r="AIA35" s="621"/>
      <c r="AIB35" s="621"/>
      <c r="AIC35" s="621"/>
      <c r="AID35" s="621"/>
      <c r="AIE35" s="621"/>
      <c r="AIF35" s="621"/>
      <c r="AIG35" s="621"/>
      <c r="AIH35" s="621"/>
      <c r="AII35" s="621"/>
      <c r="AIJ35" s="621"/>
      <c r="AIK35" s="621"/>
      <c r="AIL35" s="621"/>
      <c r="AIM35" s="621"/>
      <c r="AIN35" s="621"/>
      <c r="AIO35" s="621"/>
      <c r="AIP35" s="621"/>
      <c r="AIQ35" s="621"/>
      <c r="AIR35" s="621"/>
      <c r="AIS35" s="621"/>
      <c r="AIT35" s="621"/>
      <c r="AIU35" s="621"/>
      <c r="AIV35" s="621"/>
      <c r="AIW35" s="621"/>
      <c r="AIX35" s="621"/>
      <c r="AIY35" s="621"/>
      <c r="AIZ35" s="621"/>
      <c r="AJA35" s="621"/>
      <c r="AJB35" s="621"/>
      <c r="AJC35" s="621"/>
      <c r="AJD35" s="621"/>
      <c r="AJE35" s="621"/>
      <c r="AJF35" s="621"/>
      <c r="AJG35" s="621"/>
      <c r="AJH35" s="621"/>
      <c r="AJI35" s="621"/>
      <c r="AJJ35" s="621"/>
      <c r="AJK35" s="621"/>
      <c r="AJL35" s="621"/>
      <c r="AJM35" s="621"/>
      <c r="AJN35" s="621"/>
      <c r="AJO35" s="621"/>
      <c r="AJP35" s="621"/>
      <c r="AJQ35" s="621"/>
      <c r="AJR35" s="621"/>
      <c r="AJS35" s="621"/>
      <c r="AJT35" s="621"/>
      <c r="AJU35" s="621"/>
      <c r="AJV35" s="621"/>
      <c r="AJW35" s="621"/>
      <c r="AJX35" s="621"/>
      <c r="AJY35" s="621"/>
      <c r="AJZ35" s="621"/>
      <c r="AKA35" s="621"/>
      <c r="AKB35" s="621"/>
      <c r="AKC35" s="621"/>
      <c r="AKD35" s="621"/>
      <c r="AKE35" s="621"/>
      <c r="AKF35" s="621"/>
      <c r="AKG35" s="621"/>
      <c r="AKH35" s="621"/>
      <c r="AKI35" s="621"/>
      <c r="AKJ35" s="621"/>
      <c r="AKK35" s="621"/>
      <c r="AKL35" s="621"/>
      <c r="AKM35" s="621"/>
      <c r="AKN35" s="621"/>
      <c r="AKO35" s="621"/>
      <c r="AKP35" s="621"/>
      <c r="AKQ35" s="621"/>
      <c r="AKR35" s="621"/>
      <c r="AKS35" s="621"/>
      <c r="AKT35" s="621"/>
      <c r="AKU35" s="621"/>
      <c r="AKV35" s="621"/>
      <c r="AKW35" s="621"/>
      <c r="AKX35" s="621"/>
      <c r="AKY35" s="621"/>
      <c r="AKZ35" s="621"/>
      <c r="ALA35" s="621"/>
      <c r="ALB35" s="621"/>
      <c r="ALC35" s="621"/>
      <c r="ALD35" s="621"/>
      <c r="ALE35" s="621"/>
      <c r="ALF35" s="621"/>
      <c r="ALG35" s="621"/>
      <c r="ALH35" s="621"/>
      <c r="ALI35" s="621"/>
      <c r="ALJ35" s="621"/>
      <c r="ALK35" s="621"/>
      <c r="ALL35" s="621"/>
      <c r="ALM35" s="621"/>
      <c r="ALN35" s="621"/>
      <c r="ALO35" s="621"/>
      <c r="ALP35" s="621"/>
      <c r="ALQ35" s="621"/>
      <c r="ALR35" s="621"/>
      <c r="ALS35" s="621"/>
      <c r="ALT35" s="621"/>
      <c r="ALU35" s="621"/>
      <c r="ALV35" s="621"/>
      <c r="ALW35" s="621"/>
      <c r="ALX35" s="621"/>
      <c r="ALY35" s="621"/>
      <c r="ALZ35" s="621"/>
      <c r="AMA35" s="621"/>
      <c r="AMB35" s="621"/>
      <c r="AMC35" s="621"/>
      <c r="AMD35" s="621"/>
      <c r="AME35" s="621"/>
      <c r="AMF35" s="621"/>
      <c r="AMG35" s="621"/>
      <c r="AMH35" s="621"/>
      <c r="AMI35" s="621"/>
      <c r="AMJ35" s="621"/>
      <c r="AMK35" s="621"/>
    </row>
    <row r="36" spans="1:1025" ht="27" customHeight="1">
      <c r="A36" s="374" t="s">
        <v>785</v>
      </c>
      <c r="B36" s="375" t="s">
        <v>784</v>
      </c>
      <c r="C36" s="376">
        <f>D36*1.02</f>
        <v>7897.6764000000003</v>
      </c>
      <c r="D36" s="903">
        <v>7742.82</v>
      </c>
      <c r="E36" s="404"/>
      <c r="F36" s="1451"/>
      <c r="G36" s="400"/>
      <c r="H36" s="379"/>
      <c r="I36" s="1516"/>
      <c r="J36" s="1498"/>
      <c r="K36" s="593"/>
      <c r="L36" s="1495"/>
      <c r="M36" s="542"/>
      <c r="N36" s="1446"/>
      <c r="O36" s="1446"/>
      <c r="P36" s="396"/>
      <c r="T36" s="397"/>
      <c r="U36" s="397"/>
      <c r="V36" s="405"/>
      <c r="W36" s="406"/>
      <c r="X36" s="406"/>
      <c r="Y36" s="407"/>
      <c r="Z36" s="398"/>
      <c r="AA36" s="399"/>
      <c r="AB36" s="260"/>
      <c r="AC36" s="386"/>
      <c r="AD36" s="1482"/>
      <c r="AE36" s="1482"/>
      <c r="AF36" s="1482"/>
      <c r="AG36" s="1482"/>
      <c r="AH36" s="1482"/>
      <c r="AI36" s="1482"/>
      <c r="AJ36" s="1480"/>
      <c r="AK36" s="1481"/>
      <c r="AL36" s="1480"/>
      <c r="AM36" s="289"/>
      <c r="AN36" s="260"/>
      <c r="AO36" s="260"/>
      <c r="AQ36" s="621"/>
      <c r="AR36" s="621"/>
      <c r="AS36" s="621"/>
      <c r="AT36" s="621"/>
      <c r="AU36" s="621"/>
      <c r="AV36" s="621"/>
      <c r="AW36" s="621"/>
      <c r="AX36" s="621"/>
      <c r="AY36" s="621"/>
      <c r="AZ36" s="621"/>
      <c r="BA36" s="621"/>
      <c r="BB36" s="621"/>
      <c r="BC36" s="621"/>
      <c r="BD36" s="621"/>
      <c r="BE36" s="621"/>
      <c r="BF36" s="621"/>
      <c r="BG36" s="621"/>
      <c r="BH36" s="621"/>
      <c r="BI36" s="621"/>
      <c r="BJ36" s="621"/>
      <c r="BK36" s="621"/>
      <c r="BL36" s="621"/>
      <c r="BM36" s="621"/>
      <c r="BN36" s="621"/>
      <c r="BO36" s="621"/>
      <c r="BP36" s="621"/>
      <c r="BQ36" s="621"/>
      <c r="BR36" s="621"/>
      <c r="BS36" s="621"/>
      <c r="BT36" s="621"/>
      <c r="BU36" s="621"/>
      <c r="BV36" s="621"/>
      <c r="BW36" s="621"/>
      <c r="BX36" s="621"/>
      <c r="BY36" s="621"/>
      <c r="BZ36" s="621"/>
      <c r="CA36" s="621"/>
      <c r="CB36" s="621"/>
      <c r="CC36" s="621"/>
      <c r="CD36" s="621"/>
      <c r="CE36" s="621"/>
      <c r="CF36" s="621"/>
      <c r="CG36" s="621"/>
      <c r="CH36" s="621"/>
      <c r="CI36" s="621"/>
      <c r="CJ36" s="621"/>
      <c r="CK36" s="621"/>
      <c r="CL36" s="621"/>
      <c r="CM36" s="621"/>
      <c r="CN36" s="621"/>
      <c r="CO36" s="621"/>
      <c r="CP36" s="621"/>
      <c r="CQ36" s="621"/>
      <c r="CR36" s="621"/>
      <c r="CS36" s="621"/>
      <c r="CT36" s="621"/>
      <c r="CU36" s="621"/>
      <c r="CV36" s="621"/>
      <c r="CW36" s="621"/>
      <c r="CX36" s="621"/>
      <c r="CY36" s="621"/>
      <c r="CZ36" s="621"/>
      <c r="DA36" s="621"/>
      <c r="DB36" s="621"/>
      <c r="DC36" s="621"/>
      <c r="DD36" s="621"/>
      <c r="DE36" s="621"/>
      <c r="DF36" s="621"/>
      <c r="DG36" s="621"/>
      <c r="DH36" s="621"/>
      <c r="DI36" s="621"/>
      <c r="DJ36" s="621"/>
      <c r="DK36" s="621"/>
      <c r="DL36" s="621"/>
      <c r="DM36" s="621"/>
      <c r="DN36" s="621"/>
      <c r="DO36" s="621"/>
      <c r="DP36" s="621"/>
      <c r="DQ36" s="621"/>
      <c r="DR36" s="621"/>
      <c r="DS36" s="621"/>
      <c r="DT36" s="621"/>
      <c r="DU36" s="621"/>
      <c r="DV36" s="621"/>
      <c r="DW36" s="621"/>
      <c r="DX36" s="621"/>
      <c r="DY36" s="621"/>
      <c r="DZ36" s="621"/>
      <c r="EA36" s="621"/>
      <c r="EB36" s="621"/>
      <c r="EC36" s="621"/>
      <c r="ED36" s="621"/>
      <c r="EE36" s="621"/>
      <c r="EF36" s="621"/>
      <c r="EG36" s="621"/>
      <c r="EH36" s="621"/>
      <c r="EI36" s="621"/>
      <c r="EJ36" s="621"/>
      <c r="EK36" s="621"/>
      <c r="EL36" s="621"/>
      <c r="EM36" s="621"/>
      <c r="EN36" s="621"/>
      <c r="EO36" s="621"/>
      <c r="EP36" s="621"/>
      <c r="EQ36" s="621"/>
      <c r="ER36" s="621"/>
      <c r="ES36" s="621"/>
      <c r="ET36" s="621"/>
      <c r="EU36" s="621"/>
      <c r="EV36" s="621"/>
      <c r="EW36" s="621"/>
      <c r="EX36" s="621"/>
      <c r="EY36" s="621"/>
      <c r="EZ36" s="621"/>
      <c r="FA36" s="621"/>
      <c r="FB36" s="621"/>
      <c r="FC36" s="621"/>
      <c r="FD36" s="621"/>
      <c r="FE36" s="621"/>
      <c r="FF36" s="621"/>
      <c r="FG36" s="621"/>
      <c r="FH36" s="621"/>
      <c r="FI36" s="621"/>
      <c r="FJ36" s="621"/>
      <c r="FK36" s="621"/>
      <c r="FL36" s="621"/>
      <c r="FM36" s="621"/>
      <c r="FN36" s="621"/>
      <c r="FO36" s="621"/>
      <c r="FP36" s="621"/>
      <c r="FQ36" s="621"/>
      <c r="FR36" s="621"/>
      <c r="FS36" s="621"/>
      <c r="FT36" s="621"/>
      <c r="FU36" s="621"/>
      <c r="FV36" s="621"/>
      <c r="FW36" s="621"/>
      <c r="FX36" s="621"/>
      <c r="FY36" s="621"/>
      <c r="FZ36" s="621"/>
      <c r="GA36" s="621"/>
      <c r="GB36" s="621"/>
      <c r="GC36" s="621"/>
      <c r="GD36" s="621"/>
      <c r="GE36" s="621"/>
      <c r="GF36" s="621"/>
      <c r="GG36" s="621"/>
      <c r="GH36" s="621"/>
      <c r="GI36" s="621"/>
      <c r="GJ36" s="621"/>
      <c r="GK36" s="621"/>
      <c r="GL36" s="621"/>
      <c r="GM36" s="621"/>
      <c r="GN36" s="621"/>
      <c r="GO36" s="621"/>
      <c r="GP36" s="621"/>
      <c r="GQ36" s="621"/>
      <c r="GR36" s="621"/>
      <c r="GS36" s="621"/>
      <c r="GT36" s="621"/>
      <c r="GU36" s="621"/>
      <c r="GV36" s="621"/>
      <c r="GW36" s="621"/>
      <c r="GX36" s="621"/>
      <c r="GY36" s="621"/>
      <c r="GZ36" s="621"/>
      <c r="HA36" s="621"/>
      <c r="HB36" s="621"/>
      <c r="HC36" s="621"/>
      <c r="HD36" s="621"/>
      <c r="HE36" s="621"/>
      <c r="HF36" s="621"/>
      <c r="HG36" s="621"/>
      <c r="HH36" s="621"/>
      <c r="HI36" s="621"/>
      <c r="HJ36" s="621"/>
      <c r="HK36" s="621"/>
      <c r="HL36" s="621"/>
      <c r="HM36" s="621"/>
      <c r="HN36" s="621"/>
      <c r="HO36" s="621"/>
      <c r="HP36" s="621"/>
      <c r="HQ36" s="621"/>
      <c r="HR36" s="621"/>
      <c r="HS36" s="621"/>
      <c r="HT36" s="621"/>
      <c r="HU36" s="621"/>
      <c r="HV36" s="621"/>
      <c r="HW36" s="621"/>
      <c r="HX36" s="621"/>
      <c r="HY36" s="621"/>
      <c r="HZ36" s="621"/>
      <c r="IA36" s="621"/>
      <c r="IB36" s="621"/>
      <c r="IC36" s="621"/>
      <c r="ID36" s="621"/>
      <c r="IE36" s="621"/>
      <c r="IF36" s="621"/>
      <c r="IG36" s="621"/>
      <c r="IH36" s="621"/>
      <c r="II36" s="621"/>
      <c r="IJ36" s="621"/>
      <c r="IK36" s="621"/>
      <c r="IL36" s="621"/>
      <c r="IM36" s="621"/>
      <c r="IN36" s="621"/>
      <c r="IO36" s="621"/>
      <c r="IP36" s="621"/>
      <c r="IQ36" s="621"/>
      <c r="IR36" s="621"/>
      <c r="IS36" s="621"/>
      <c r="IT36" s="621"/>
      <c r="IU36" s="621"/>
      <c r="IV36" s="621"/>
      <c r="IW36" s="621"/>
      <c r="IX36" s="621"/>
      <c r="IY36" s="621"/>
      <c r="IZ36" s="621"/>
      <c r="JA36" s="621"/>
      <c r="JB36" s="621"/>
      <c r="JC36" s="621"/>
      <c r="JD36" s="621"/>
      <c r="JE36" s="621"/>
      <c r="JF36" s="621"/>
      <c r="JG36" s="621"/>
      <c r="JH36" s="621"/>
      <c r="JI36" s="621"/>
      <c r="JJ36" s="621"/>
      <c r="JK36" s="621"/>
      <c r="JL36" s="621"/>
      <c r="JM36" s="621"/>
      <c r="JN36" s="621"/>
      <c r="JO36" s="621"/>
      <c r="JP36" s="621"/>
      <c r="JQ36" s="621"/>
      <c r="JR36" s="621"/>
      <c r="JS36" s="621"/>
      <c r="JT36" s="621"/>
      <c r="JU36" s="621"/>
      <c r="JV36" s="621"/>
      <c r="JW36" s="621"/>
      <c r="JX36" s="621"/>
      <c r="JY36" s="621"/>
      <c r="JZ36" s="621"/>
      <c r="KA36" s="621"/>
      <c r="KB36" s="621"/>
      <c r="KC36" s="621"/>
      <c r="KD36" s="621"/>
      <c r="KE36" s="621"/>
      <c r="KF36" s="621"/>
      <c r="KG36" s="621"/>
      <c r="KH36" s="621"/>
      <c r="KI36" s="621"/>
      <c r="KJ36" s="621"/>
      <c r="KK36" s="621"/>
      <c r="KL36" s="621"/>
      <c r="KM36" s="621"/>
      <c r="KN36" s="621"/>
      <c r="KO36" s="621"/>
      <c r="KP36" s="621"/>
      <c r="KQ36" s="621"/>
      <c r="KR36" s="621"/>
      <c r="KS36" s="621"/>
      <c r="KT36" s="621"/>
      <c r="KU36" s="621"/>
      <c r="KV36" s="621"/>
      <c r="KW36" s="621"/>
      <c r="KX36" s="621"/>
      <c r="KY36" s="621"/>
      <c r="KZ36" s="621"/>
      <c r="LA36" s="621"/>
      <c r="LB36" s="621"/>
      <c r="LC36" s="621"/>
      <c r="LD36" s="621"/>
      <c r="LE36" s="621"/>
      <c r="LF36" s="621"/>
      <c r="LG36" s="621"/>
      <c r="LH36" s="621"/>
      <c r="LI36" s="621"/>
      <c r="LJ36" s="621"/>
      <c r="LK36" s="621"/>
      <c r="LL36" s="621"/>
      <c r="LM36" s="621"/>
      <c r="LN36" s="621"/>
      <c r="LO36" s="621"/>
      <c r="LP36" s="621"/>
      <c r="LQ36" s="621"/>
      <c r="LR36" s="621"/>
      <c r="LS36" s="621"/>
      <c r="LT36" s="621"/>
      <c r="LU36" s="621"/>
      <c r="LV36" s="621"/>
      <c r="LW36" s="621"/>
      <c r="LX36" s="621"/>
      <c r="LY36" s="621"/>
      <c r="LZ36" s="621"/>
      <c r="MA36" s="621"/>
      <c r="MB36" s="621"/>
      <c r="MC36" s="621"/>
      <c r="MD36" s="621"/>
      <c r="ME36" s="621"/>
      <c r="MF36" s="621"/>
      <c r="MG36" s="621"/>
      <c r="MH36" s="621"/>
      <c r="MI36" s="621"/>
      <c r="MJ36" s="621"/>
      <c r="MK36" s="621"/>
      <c r="ML36" s="621"/>
      <c r="MM36" s="621"/>
      <c r="MN36" s="621"/>
      <c r="MO36" s="621"/>
      <c r="MP36" s="621"/>
      <c r="MQ36" s="621"/>
      <c r="MR36" s="621"/>
      <c r="MS36" s="621"/>
      <c r="MT36" s="621"/>
      <c r="MU36" s="621"/>
      <c r="MV36" s="621"/>
      <c r="MW36" s="621"/>
      <c r="MX36" s="621"/>
      <c r="MY36" s="621"/>
      <c r="MZ36" s="621"/>
      <c r="NA36" s="621"/>
      <c r="NB36" s="621"/>
      <c r="NC36" s="621"/>
      <c r="ND36" s="621"/>
      <c r="NE36" s="621"/>
      <c r="NF36" s="621"/>
      <c r="NG36" s="621"/>
      <c r="NH36" s="621"/>
      <c r="NI36" s="621"/>
      <c r="NJ36" s="621"/>
      <c r="NK36" s="621"/>
      <c r="NL36" s="621"/>
      <c r="NM36" s="621"/>
      <c r="NN36" s="621"/>
      <c r="NO36" s="621"/>
      <c r="NP36" s="621"/>
      <c r="NQ36" s="621"/>
      <c r="NR36" s="621"/>
      <c r="NS36" s="621"/>
      <c r="NT36" s="621"/>
      <c r="NU36" s="621"/>
      <c r="NV36" s="621"/>
      <c r="NW36" s="621"/>
      <c r="NX36" s="621"/>
      <c r="NY36" s="621"/>
      <c r="NZ36" s="621"/>
      <c r="OA36" s="621"/>
      <c r="OB36" s="621"/>
      <c r="OC36" s="621"/>
      <c r="OD36" s="621"/>
      <c r="OE36" s="621"/>
      <c r="OF36" s="621"/>
      <c r="OG36" s="621"/>
      <c r="OH36" s="621"/>
      <c r="OI36" s="621"/>
      <c r="OJ36" s="621"/>
      <c r="OK36" s="621"/>
      <c r="OL36" s="621"/>
      <c r="OM36" s="621"/>
      <c r="ON36" s="621"/>
      <c r="OO36" s="621"/>
      <c r="OP36" s="621"/>
      <c r="OQ36" s="621"/>
      <c r="OR36" s="621"/>
      <c r="OS36" s="621"/>
      <c r="OT36" s="621"/>
      <c r="OU36" s="621"/>
      <c r="OV36" s="621"/>
      <c r="OW36" s="621"/>
      <c r="OX36" s="621"/>
      <c r="OY36" s="621"/>
      <c r="OZ36" s="621"/>
      <c r="PA36" s="621"/>
      <c r="PB36" s="621"/>
      <c r="PC36" s="621"/>
      <c r="PD36" s="621"/>
      <c r="PE36" s="621"/>
      <c r="PF36" s="621"/>
      <c r="PG36" s="621"/>
      <c r="PH36" s="621"/>
      <c r="PI36" s="621"/>
      <c r="PJ36" s="621"/>
      <c r="PK36" s="621"/>
      <c r="PL36" s="621"/>
      <c r="PM36" s="621"/>
      <c r="PN36" s="621"/>
      <c r="PO36" s="621"/>
      <c r="PP36" s="621"/>
      <c r="PQ36" s="621"/>
      <c r="PR36" s="621"/>
      <c r="PS36" s="621"/>
      <c r="PT36" s="621"/>
      <c r="PU36" s="621"/>
      <c r="PV36" s="621"/>
      <c r="PW36" s="621"/>
      <c r="PX36" s="621"/>
      <c r="PY36" s="621"/>
      <c r="PZ36" s="621"/>
      <c r="QA36" s="621"/>
      <c r="QB36" s="621"/>
      <c r="QC36" s="621"/>
      <c r="QD36" s="621"/>
      <c r="QE36" s="621"/>
      <c r="QF36" s="621"/>
      <c r="QG36" s="621"/>
      <c r="QH36" s="621"/>
      <c r="QI36" s="621"/>
      <c r="QJ36" s="621"/>
      <c r="QK36" s="621"/>
      <c r="QL36" s="621"/>
      <c r="QM36" s="621"/>
      <c r="QN36" s="621"/>
      <c r="QO36" s="621"/>
      <c r="QP36" s="621"/>
      <c r="QQ36" s="621"/>
      <c r="QR36" s="621"/>
      <c r="QS36" s="621"/>
      <c r="QT36" s="621"/>
      <c r="QU36" s="621"/>
      <c r="QV36" s="621"/>
      <c r="QW36" s="621"/>
      <c r="QX36" s="621"/>
      <c r="QY36" s="621"/>
      <c r="QZ36" s="621"/>
      <c r="RA36" s="621"/>
      <c r="RB36" s="621"/>
      <c r="RC36" s="621"/>
      <c r="RD36" s="621"/>
      <c r="RE36" s="621"/>
      <c r="RF36" s="621"/>
      <c r="RG36" s="621"/>
      <c r="RH36" s="621"/>
      <c r="RI36" s="621"/>
      <c r="RJ36" s="621"/>
      <c r="RK36" s="621"/>
      <c r="RL36" s="621"/>
      <c r="RM36" s="621"/>
      <c r="RN36" s="621"/>
      <c r="RO36" s="621"/>
      <c r="RP36" s="621"/>
      <c r="RQ36" s="621"/>
      <c r="RR36" s="621"/>
      <c r="RS36" s="621"/>
      <c r="RT36" s="621"/>
      <c r="RU36" s="621"/>
      <c r="RV36" s="621"/>
      <c r="RW36" s="621"/>
      <c r="RX36" s="621"/>
      <c r="RY36" s="621"/>
      <c r="RZ36" s="621"/>
      <c r="SA36" s="621"/>
      <c r="SB36" s="621"/>
      <c r="SC36" s="621"/>
      <c r="SD36" s="621"/>
      <c r="SE36" s="621"/>
      <c r="SF36" s="621"/>
      <c r="SG36" s="621"/>
      <c r="SH36" s="621"/>
      <c r="SI36" s="621"/>
      <c r="SJ36" s="621"/>
      <c r="SK36" s="621"/>
      <c r="SL36" s="621"/>
      <c r="SM36" s="621"/>
      <c r="SN36" s="621"/>
      <c r="SO36" s="621"/>
      <c r="SP36" s="621"/>
      <c r="SQ36" s="621"/>
      <c r="SR36" s="621"/>
      <c r="SS36" s="621"/>
      <c r="ST36" s="621"/>
      <c r="SU36" s="621"/>
      <c r="SV36" s="621"/>
      <c r="SW36" s="621"/>
      <c r="SX36" s="621"/>
      <c r="SY36" s="621"/>
      <c r="SZ36" s="621"/>
      <c r="TA36" s="621"/>
      <c r="TB36" s="621"/>
      <c r="TC36" s="621"/>
      <c r="TD36" s="621"/>
      <c r="TE36" s="621"/>
      <c r="TF36" s="621"/>
      <c r="TG36" s="621"/>
      <c r="TH36" s="621"/>
      <c r="TI36" s="621"/>
      <c r="TJ36" s="621"/>
      <c r="TK36" s="621"/>
      <c r="TL36" s="621"/>
      <c r="TM36" s="621"/>
      <c r="TN36" s="621"/>
      <c r="TO36" s="621"/>
      <c r="TP36" s="621"/>
      <c r="TQ36" s="621"/>
      <c r="TR36" s="621"/>
      <c r="TS36" s="621"/>
      <c r="TT36" s="621"/>
      <c r="TU36" s="621"/>
      <c r="TV36" s="621"/>
      <c r="TW36" s="621"/>
      <c r="TX36" s="621"/>
      <c r="TY36" s="621"/>
      <c r="TZ36" s="621"/>
      <c r="UA36" s="621"/>
      <c r="UB36" s="621"/>
      <c r="UC36" s="621"/>
      <c r="UD36" s="621"/>
      <c r="UE36" s="621"/>
      <c r="UF36" s="621"/>
      <c r="UG36" s="621"/>
      <c r="UH36" s="621"/>
      <c r="UI36" s="621"/>
      <c r="UJ36" s="621"/>
      <c r="UK36" s="621"/>
      <c r="UL36" s="621"/>
      <c r="UM36" s="621"/>
      <c r="UN36" s="621"/>
      <c r="UO36" s="621"/>
      <c r="UP36" s="621"/>
      <c r="UQ36" s="621"/>
      <c r="UR36" s="621"/>
      <c r="US36" s="621"/>
      <c r="UT36" s="621"/>
      <c r="UU36" s="621"/>
      <c r="UV36" s="621"/>
      <c r="UW36" s="621"/>
      <c r="UX36" s="621"/>
      <c r="UY36" s="621"/>
      <c r="UZ36" s="621"/>
      <c r="VA36" s="621"/>
      <c r="VB36" s="621"/>
      <c r="VC36" s="621"/>
      <c r="VD36" s="621"/>
      <c r="VE36" s="621"/>
      <c r="VF36" s="621"/>
      <c r="VG36" s="621"/>
      <c r="VH36" s="621"/>
      <c r="VI36" s="621"/>
      <c r="VJ36" s="621"/>
      <c r="VK36" s="621"/>
      <c r="VL36" s="621"/>
      <c r="VM36" s="621"/>
      <c r="VN36" s="621"/>
      <c r="VO36" s="621"/>
      <c r="VP36" s="621"/>
      <c r="VQ36" s="621"/>
      <c r="VR36" s="621"/>
      <c r="VS36" s="621"/>
      <c r="VT36" s="621"/>
      <c r="VU36" s="621"/>
      <c r="VV36" s="621"/>
      <c r="VW36" s="621"/>
      <c r="VX36" s="621"/>
      <c r="VY36" s="621"/>
      <c r="VZ36" s="621"/>
      <c r="WA36" s="621"/>
      <c r="WB36" s="621"/>
      <c r="WC36" s="621"/>
      <c r="WD36" s="621"/>
      <c r="WE36" s="621"/>
      <c r="WF36" s="621"/>
      <c r="WG36" s="621"/>
      <c r="WH36" s="621"/>
      <c r="WI36" s="621"/>
      <c r="WJ36" s="621"/>
      <c r="WK36" s="621"/>
      <c r="WL36" s="621"/>
      <c r="WM36" s="621"/>
      <c r="WN36" s="621"/>
      <c r="WO36" s="621"/>
      <c r="WP36" s="621"/>
      <c r="WQ36" s="621"/>
      <c r="WR36" s="621"/>
      <c r="WS36" s="621"/>
      <c r="WT36" s="621"/>
      <c r="WU36" s="621"/>
      <c r="WV36" s="621"/>
      <c r="WW36" s="621"/>
      <c r="WX36" s="621"/>
      <c r="WY36" s="621"/>
      <c r="WZ36" s="621"/>
      <c r="XA36" s="621"/>
      <c r="XB36" s="621"/>
      <c r="XC36" s="621"/>
      <c r="XD36" s="621"/>
      <c r="XE36" s="621"/>
      <c r="XF36" s="621"/>
      <c r="XG36" s="621"/>
      <c r="XH36" s="621"/>
      <c r="XI36" s="621"/>
      <c r="XJ36" s="621"/>
      <c r="XK36" s="621"/>
      <c r="XL36" s="621"/>
      <c r="XM36" s="621"/>
      <c r="XN36" s="621"/>
      <c r="XO36" s="621"/>
      <c r="XP36" s="621"/>
      <c r="XQ36" s="621"/>
      <c r="XR36" s="621"/>
      <c r="XS36" s="621"/>
      <c r="XT36" s="621"/>
      <c r="XU36" s="621"/>
      <c r="XV36" s="621"/>
      <c r="XW36" s="621"/>
      <c r="XX36" s="621"/>
      <c r="XY36" s="621"/>
      <c r="XZ36" s="621"/>
      <c r="YA36" s="621"/>
      <c r="YB36" s="621"/>
      <c r="YC36" s="621"/>
      <c r="YD36" s="621"/>
      <c r="YE36" s="621"/>
      <c r="YF36" s="621"/>
      <c r="YG36" s="621"/>
      <c r="YH36" s="621"/>
      <c r="YI36" s="621"/>
      <c r="YJ36" s="621"/>
      <c r="YK36" s="621"/>
      <c r="YL36" s="621"/>
      <c r="YM36" s="621"/>
      <c r="YN36" s="621"/>
      <c r="YO36" s="621"/>
      <c r="YP36" s="621"/>
      <c r="YQ36" s="621"/>
      <c r="YR36" s="621"/>
      <c r="YS36" s="621"/>
      <c r="YT36" s="621"/>
      <c r="YU36" s="621"/>
      <c r="YV36" s="621"/>
      <c r="YW36" s="621"/>
      <c r="YX36" s="621"/>
      <c r="YY36" s="621"/>
      <c r="YZ36" s="621"/>
      <c r="ZA36" s="621"/>
      <c r="ZB36" s="621"/>
      <c r="ZC36" s="621"/>
      <c r="ZD36" s="621"/>
      <c r="ZE36" s="621"/>
      <c r="ZF36" s="621"/>
      <c r="ZG36" s="621"/>
      <c r="ZH36" s="621"/>
      <c r="ZI36" s="621"/>
      <c r="ZJ36" s="621"/>
      <c r="ZK36" s="621"/>
      <c r="ZL36" s="621"/>
      <c r="ZM36" s="621"/>
      <c r="ZN36" s="621"/>
      <c r="ZO36" s="621"/>
      <c r="ZP36" s="621"/>
      <c r="ZQ36" s="621"/>
      <c r="ZR36" s="621"/>
      <c r="ZS36" s="621"/>
      <c r="ZT36" s="621"/>
      <c r="ZU36" s="621"/>
      <c r="ZV36" s="621"/>
      <c r="ZW36" s="621"/>
      <c r="ZX36" s="621"/>
      <c r="ZY36" s="621"/>
      <c r="ZZ36" s="621"/>
      <c r="AAA36" s="621"/>
      <c r="AAB36" s="621"/>
      <c r="AAC36" s="621"/>
      <c r="AAD36" s="621"/>
      <c r="AAE36" s="621"/>
      <c r="AAF36" s="621"/>
      <c r="AAG36" s="621"/>
      <c r="AAH36" s="621"/>
      <c r="AAI36" s="621"/>
      <c r="AAJ36" s="621"/>
      <c r="AAK36" s="621"/>
      <c r="AAL36" s="621"/>
      <c r="AAM36" s="621"/>
      <c r="AAN36" s="621"/>
      <c r="AAO36" s="621"/>
      <c r="AAP36" s="621"/>
      <c r="AAQ36" s="621"/>
      <c r="AAR36" s="621"/>
      <c r="AAS36" s="621"/>
      <c r="AAT36" s="621"/>
      <c r="AAU36" s="621"/>
      <c r="AAV36" s="621"/>
      <c r="AAW36" s="621"/>
      <c r="AAX36" s="621"/>
      <c r="AAY36" s="621"/>
      <c r="AAZ36" s="621"/>
      <c r="ABA36" s="621"/>
      <c r="ABB36" s="621"/>
      <c r="ABC36" s="621"/>
      <c r="ABD36" s="621"/>
      <c r="ABE36" s="621"/>
      <c r="ABF36" s="621"/>
      <c r="ABG36" s="621"/>
      <c r="ABH36" s="621"/>
      <c r="ABI36" s="621"/>
      <c r="ABJ36" s="621"/>
      <c r="ABK36" s="621"/>
      <c r="ABL36" s="621"/>
      <c r="ABM36" s="621"/>
      <c r="ABN36" s="621"/>
      <c r="ABO36" s="621"/>
      <c r="ABP36" s="621"/>
      <c r="ABQ36" s="621"/>
      <c r="ABR36" s="621"/>
      <c r="ABS36" s="621"/>
      <c r="ABT36" s="621"/>
      <c r="ABU36" s="621"/>
      <c r="ABV36" s="621"/>
      <c r="ABW36" s="621"/>
      <c r="ABX36" s="621"/>
      <c r="ABY36" s="621"/>
      <c r="ABZ36" s="621"/>
      <c r="ACA36" s="621"/>
      <c r="ACB36" s="621"/>
      <c r="ACC36" s="621"/>
      <c r="ACD36" s="621"/>
      <c r="ACE36" s="621"/>
      <c r="ACF36" s="621"/>
      <c r="ACG36" s="621"/>
      <c r="ACH36" s="621"/>
      <c r="ACI36" s="621"/>
      <c r="ACJ36" s="621"/>
      <c r="ACK36" s="621"/>
      <c r="ACL36" s="621"/>
      <c r="ACM36" s="621"/>
      <c r="ACN36" s="621"/>
      <c r="ACO36" s="621"/>
      <c r="ACP36" s="621"/>
      <c r="ACQ36" s="621"/>
      <c r="ACR36" s="621"/>
      <c r="ACS36" s="621"/>
      <c r="ACT36" s="621"/>
      <c r="ACU36" s="621"/>
      <c r="ACV36" s="621"/>
      <c r="ACW36" s="621"/>
      <c r="ACX36" s="621"/>
      <c r="ACY36" s="621"/>
      <c r="ACZ36" s="621"/>
      <c r="ADA36" s="621"/>
      <c r="ADB36" s="621"/>
      <c r="ADC36" s="621"/>
      <c r="ADD36" s="621"/>
      <c r="ADE36" s="621"/>
      <c r="ADF36" s="621"/>
      <c r="ADG36" s="621"/>
      <c r="ADH36" s="621"/>
      <c r="ADI36" s="621"/>
      <c r="ADJ36" s="621"/>
      <c r="ADK36" s="621"/>
      <c r="ADL36" s="621"/>
      <c r="ADM36" s="621"/>
      <c r="ADN36" s="621"/>
      <c r="ADO36" s="621"/>
      <c r="ADP36" s="621"/>
      <c r="ADQ36" s="621"/>
      <c r="ADR36" s="621"/>
      <c r="ADS36" s="621"/>
      <c r="ADT36" s="621"/>
      <c r="ADU36" s="621"/>
      <c r="ADV36" s="621"/>
      <c r="ADW36" s="621"/>
      <c r="ADX36" s="621"/>
      <c r="ADY36" s="621"/>
      <c r="ADZ36" s="621"/>
      <c r="AEA36" s="621"/>
      <c r="AEB36" s="621"/>
      <c r="AEC36" s="621"/>
      <c r="AED36" s="621"/>
      <c r="AEE36" s="621"/>
      <c r="AEF36" s="621"/>
      <c r="AEG36" s="621"/>
      <c r="AEH36" s="621"/>
      <c r="AEI36" s="621"/>
      <c r="AEJ36" s="621"/>
      <c r="AEK36" s="621"/>
      <c r="AEL36" s="621"/>
      <c r="AEM36" s="621"/>
      <c r="AEN36" s="621"/>
      <c r="AEO36" s="621"/>
      <c r="AEP36" s="621"/>
      <c r="AEQ36" s="621"/>
      <c r="AER36" s="621"/>
      <c r="AES36" s="621"/>
      <c r="AET36" s="621"/>
      <c r="AEU36" s="621"/>
      <c r="AEV36" s="621"/>
      <c r="AEW36" s="621"/>
      <c r="AEX36" s="621"/>
      <c r="AEY36" s="621"/>
      <c r="AEZ36" s="621"/>
      <c r="AFA36" s="621"/>
      <c r="AFB36" s="621"/>
      <c r="AFC36" s="621"/>
      <c r="AFD36" s="621"/>
      <c r="AFE36" s="621"/>
      <c r="AFF36" s="621"/>
      <c r="AFG36" s="621"/>
      <c r="AFH36" s="621"/>
      <c r="AFI36" s="621"/>
      <c r="AFJ36" s="621"/>
      <c r="AFK36" s="621"/>
      <c r="AFL36" s="621"/>
      <c r="AFM36" s="621"/>
      <c r="AFN36" s="621"/>
      <c r="AFO36" s="621"/>
      <c r="AFP36" s="621"/>
      <c r="AFQ36" s="621"/>
      <c r="AFR36" s="621"/>
      <c r="AFS36" s="621"/>
      <c r="AFT36" s="621"/>
      <c r="AFU36" s="621"/>
      <c r="AFV36" s="621"/>
      <c r="AFW36" s="621"/>
      <c r="AFX36" s="621"/>
      <c r="AFY36" s="621"/>
      <c r="AFZ36" s="621"/>
      <c r="AGA36" s="621"/>
      <c r="AGB36" s="621"/>
      <c r="AGC36" s="621"/>
      <c r="AGD36" s="621"/>
      <c r="AGE36" s="621"/>
      <c r="AGF36" s="621"/>
      <c r="AGG36" s="621"/>
      <c r="AGH36" s="621"/>
      <c r="AGI36" s="621"/>
      <c r="AGJ36" s="621"/>
      <c r="AGK36" s="621"/>
      <c r="AGL36" s="621"/>
      <c r="AGM36" s="621"/>
      <c r="AGN36" s="621"/>
      <c r="AGO36" s="621"/>
      <c r="AGP36" s="621"/>
      <c r="AGQ36" s="621"/>
      <c r="AGR36" s="621"/>
      <c r="AGS36" s="621"/>
      <c r="AGT36" s="621"/>
      <c r="AGU36" s="621"/>
      <c r="AGV36" s="621"/>
      <c r="AGW36" s="621"/>
      <c r="AGX36" s="621"/>
      <c r="AGY36" s="621"/>
      <c r="AGZ36" s="621"/>
      <c r="AHA36" s="621"/>
      <c r="AHB36" s="621"/>
      <c r="AHC36" s="621"/>
      <c r="AHD36" s="621"/>
      <c r="AHE36" s="621"/>
      <c r="AHF36" s="621"/>
      <c r="AHG36" s="621"/>
      <c r="AHH36" s="621"/>
      <c r="AHI36" s="621"/>
      <c r="AHJ36" s="621"/>
      <c r="AHK36" s="621"/>
      <c r="AHL36" s="621"/>
      <c r="AHM36" s="621"/>
      <c r="AHN36" s="621"/>
      <c r="AHO36" s="621"/>
      <c r="AHP36" s="621"/>
      <c r="AHQ36" s="621"/>
      <c r="AHR36" s="621"/>
      <c r="AHS36" s="621"/>
      <c r="AHT36" s="621"/>
      <c r="AHU36" s="621"/>
      <c r="AHV36" s="621"/>
      <c r="AHW36" s="621"/>
      <c r="AHX36" s="621"/>
      <c r="AHY36" s="621"/>
      <c r="AHZ36" s="621"/>
      <c r="AIA36" s="621"/>
      <c r="AIB36" s="621"/>
      <c r="AIC36" s="621"/>
      <c r="AID36" s="621"/>
      <c r="AIE36" s="621"/>
      <c r="AIF36" s="621"/>
      <c r="AIG36" s="621"/>
      <c r="AIH36" s="621"/>
      <c r="AII36" s="621"/>
      <c r="AIJ36" s="621"/>
      <c r="AIK36" s="621"/>
      <c r="AIL36" s="621"/>
      <c r="AIM36" s="621"/>
      <c r="AIN36" s="621"/>
      <c r="AIO36" s="621"/>
      <c r="AIP36" s="621"/>
      <c r="AIQ36" s="621"/>
      <c r="AIR36" s="621"/>
      <c r="AIS36" s="621"/>
      <c r="AIT36" s="621"/>
      <c r="AIU36" s="621"/>
      <c r="AIV36" s="621"/>
      <c r="AIW36" s="621"/>
      <c r="AIX36" s="621"/>
      <c r="AIY36" s="621"/>
      <c r="AIZ36" s="621"/>
      <c r="AJA36" s="621"/>
      <c r="AJB36" s="621"/>
      <c r="AJC36" s="621"/>
      <c r="AJD36" s="621"/>
      <c r="AJE36" s="621"/>
      <c r="AJF36" s="621"/>
      <c r="AJG36" s="621"/>
      <c r="AJH36" s="621"/>
      <c r="AJI36" s="621"/>
      <c r="AJJ36" s="621"/>
      <c r="AJK36" s="621"/>
      <c r="AJL36" s="621"/>
      <c r="AJM36" s="621"/>
      <c r="AJN36" s="621"/>
      <c r="AJO36" s="621"/>
      <c r="AJP36" s="621"/>
      <c r="AJQ36" s="621"/>
      <c r="AJR36" s="621"/>
      <c r="AJS36" s="621"/>
      <c r="AJT36" s="621"/>
      <c r="AJU36" s="621"/>
      <c r="AJV36" s="621"/>
      <c r="AJW36" s="621"/>
      <c r="AJX36" s="621"/>
      <c r="AJY36" s="621"/>
      <c r="AJZ36" s="621"/>
      <c r="AKA36" s="621"/>
      <c r="AKB36" s="621"/>
      <c r="AKC36" s="621"/>
      <c r="AKD36" s="621"/>
      <c r="AKE36" s="621"/>
      <c r="AKF36" s="621"/>
      <c r="AKG36" s="621"/>
      <c r="AKH36" s="621"/>
      <c r="AKI36" s="621"/>
      <c r="AKJ36" s="621"/>
      <c r="AKK36" s="621"/>
      <c r="AKL36" s="621"/>
      <c r="AKM36" s="621"/>
      <c r="AKN36" s="621"/>
      <c r="AKO36" s="621"/>
      <c r="AKP36" s="621"/>
      <c r="AKQ36" s="621"/>
      <c r="AKR36" s="621"/>
      <c r="AKS36" s="621"/>
      <c r="AKT36" s="621"/>
      <c r="AKU36" s="621"/>
      <c r="AKV36" s="621"/>
      <c r="AKW36" s="621"/>
      <c r="AKX36" s="621"/>
      <c r="AKY36" s="621"/>
      <c r="AKZ36" s="621"/>
      <c r="ALA36" s="621"/>
      <c r="ALB36" s="621"/>
      <c r="ALC36" s="621"/>
      <c r="ALD36" s="621"/>
      <c r="ALE36" s="621"/>
      <c r="ALF36" s="621"/>
      <c r="ALG36" s="621"/>
      <c r="ALH36" s="621"/>
      <c r="ALI36" s="621"/>
      <c r="ALJ36" s="621"/>
      <c r="ALK36" s="621"/>
      <c r="ALL36" s="621"/>
      <c r="ALM36" s="621"/>
      <c r="ALN36" s="621"/>
      <c r="ALO36" s="621"/>
      <c r="ALP36" s="621"/>
      <c r="ALQ36" s="621"/>
      <c r="ALR36" s="621"/>
      <c r="ALS36" s="621"/>
      <c r="ALT36" s="621"/>
      <c r="ALU36" s="621"/>
      <c r="ALV36" s="621"/>
      <c r="ALW36" s="621"/>
      <c r="ALX36" s="621"/>
      <c r="ALY36" s="621"/>
      <c r="ALZ36" s="621"/>
      <c r="AMA36" s="621"/>
      <c r="AMB36" s="621"/>
      <c r="AMC36" s="621"/>
      <c r="AMD36" s="621"/>
      <c r="AME36" s="621"/>
      <c r="AMF36" s="621"/>
      <c r="AMG36" s="621"/>
      <c r="AMH36" s="621"/>
      <c r="AMI36" s="621"/>
      <c r="AMJ36" s="621"/>
      <c r="AMK36" s="621"/>
    </row>
    <row r="37" spans="1:1025" ht="38.25" customHeight="1">
      <c r="A37" s="374" t="s">
        <v>372</v>
      </c>
      <c r="B37" s="421" t="s">
        <v>373</v>
      </c>
      <c r="C37" s="408">
        <f>SUM(C38:C39)</f>
        <v>104438.485</v>
      </c>
      <c r="D37" s="904">
        <f>D38+D39</f>
        <v>101997</v>
      </c>
      <c r="E37" s="2051" t="s">
        <v>374</v>
      </c>
      <c r="F37" s="2051"/>
      <c r="G37" s="400">
        <f>'Weekly Progress Report'!N167</f>
        <v>89077.91944193824</v>
      </c>
      <c r="H37" s="379">
        <f>'Weekly Progress Report'!P167</f>
        <v>83079.401441938244</v>
      </c>
      <c r="I37" s="1516"/>
      <c r="J37" s="1498">
        <v>47395.35</v>
      </c>
      <c r="K37" s="594"/>
      <c r="L37" s="1495">
        <v>560547.73020773695</v>
      </c>
      <c r="M37" s="542">
        <f>+H37-L37</f>
        <v>-477468.32876579871</v>
      </c>
      <c r="N37" s="1446"/>
      <c r="O37" s="1446"/>
      <c r="P37" s="396"/>
      <c r="T37" s="397"/>
      <c r="U37" s="397"/>
      <c r="V37" s="328" t="s">
        <v>289</v>
      </c>
      <c r="W37" s="410">
        <v>1453.2</v>
      </c>
      <c r="X37" s="410"/>
      <c r="Y37" s="411">
        <f t="shared" ref="Y37:Y44" si="8">W37*X37</f>
        <v>0</v>
      </c>
      <c r="Z37" s="398"/>
      <c r="AA37" s="399"/>
      <c r="AB37" s="260"/>
      <c r="AC37" s="386"/>
      <c r="AD37" s="1482"/>
      <c r="AE37" s="1482"/>
      <c r="AF37" s="1482"/>
      <c r="AG37" s="1482"/>
      <c r="AH37" s="1482"/>
      <c r="AI37" s="1482"/>
      <c r="AJ37" s="1480"/>
      <c r="AK37" s="1481"/>
      <c r="AL37" s="1480"/>
      <c r="AM37" s="289"/>
      <c r="AN37" s="260"/>
      <c r="AO37" s="260"/>
      <c r="AQ37" s="621"/>
      <c r="AR37" s="621"/>
      <c r="AS37" s="621"/>
      <c r="AT37" s="621"/>
      <c r="AU37" s="621"/>
      <c r="AV37" s="621"/>
      <c r="AW37" s="621"/>
      <c r="AX37" s="621"/>
      <c r="AY37" s="621"/>
      <c r="AZ37" s="621"/>
      <c r="BA37" s="621"/>
      <c r="BB37" s="621"/>
      <c r="BC37" s="621"/>
      <c r="BD37" s="621"/>
      <c r="BE37" s="621"/>
      <c r="BF37" s="621"/>
      <c r="BG37" s="621"/>
      <c r="BH37" s="621"/>
      <c r="BI37" s="621"/>
      <c r="BJ37" s="621"/>
      <c r="BK37" s="621"/>
      <c r="BL37" s="621"/>
      <c r="BM37" s="621"/>
      <c r="BN37" s="621"/>
      <c r="BO37" s="621"/>
      <c r="BP37" s="621"/>
      <c r="BQ37" s="621"/>
      <c r="BR37" s="621"/>
      <c r="BS37" s="621"/>
      <c r="BT37" s="621"/>
      <c r="BU37" s="621"/>
      <c r="BV37" s="621"/>
      <c r="BW37" s="621"/>
      <c r="BX37" s="621"/>
      <c r="BY37" s="621"/>
      <c r="BZ37" s="621"/>
      <c r="CA37" s="621"/>
      <c r="CB37" s="621"/>
      <c r="CC37" s="621"/>
      <c r="CD37" s="621"/>
      <c r="CE37" s="621"/>
      <c r="CF37" s="621"/>
      <c r="CG37" s="621"/>
      <c r="CH37" s="621"/>
      <c r="CI37" s="621"/>
      <c r="CJ37" s="621"/>
      <c r="CK37" s="621"/>
      <c r="CL37" s="621"/>
      <c r="CM37" s="621"/>
      <c r="CN37" s="621"/>
      <c r="CO37" s="621"/>
      <c r="CP37" s="621"/>
      <c r="CQ37" s="621"/>
      <c r="CR37" s="621"/>
      <c r="CS37" s="621"/>
      <c r="CT37" s="621"/>
      <c r="CU37" s="621"/>
      <c r="CV37" s="621"/>
      <c r="CW37" s="621"/>
      <c r="CX37" s="621"/>
      <c r="CY37" s="621"/>
      <c r="CZ37" s="621"/>
      <c r="DA37" s="621"/>
      <c r="DB37" s="621"/>
      <c r="DC37" s="621"/>
      <c r="DD37" s="621"/>
      <c r="DE37" s="621"/>
      <c r="DF37" s="621"/>
      <c r="DG37" s="621"/>
      <c r="DH37" s="621"/>
      <c r="DI37" s="621"/>
      <c r="DJ37" s="621"/>
      <c r="DK37" s="621"/>
      <c r="DL37" s="621"/>
      <c r="DM37" s="621"/>
      <c r="DN37" s="621"/>
      <c r="DO37" s="621"/>
      <c r="DP37" s="621"/>
      <c r="DQ37" s="621"/>
      <c r="DR37" s="621"/>
      <c r="DS37" s="621"/>
      <c r="DT37" s="621"/>
      <c r="DU37" s="621"/>
      <c r="DV37" s="621"/>
      <c r="DW37" s="621"/>
      <c r="DX37" s="621"/>
      <c r="DY37" s="621"/>
      <c r="DZ37" s="621"/>
      <c r="EA37" s="621"/>
      <c r="EB37" s="621"/>
      <c r="EC37" s="621"/>
      <c r="ED37" s="621"/>
      <c r="EE37" s="621"/>
      <c r="EF37" s="621"/>
      <c r="EG37" s="621"/>
      <c r="EH37" s="621"/>
      <c r="EI37" s="621"/>
      <c r="EJ37" s="621"/>
      <c r="EK37" s="621"/>
      <c r="EL37" s="621"/>
      <c r="EM37" s="621"/>
      <c r="EN37" s="621"/>
      <c r="EO37" s="621"/>
      <c r="EP37" s="621"/>
      <c r="EQ37" s="621"/>
      <c r="ER37" s="621"/>
      <c r="ES37" s="621"/>
      <c r="ET37" s="621"/>
      <c r="EU37" s="621"/>
      <c r="EV37" s="621"/>
      <c r="EW37" s="621"/>
      <c r="EX37" s="621"/>
      <c r="EY37" s="621"/>
      <c r="EZ37" s="621"/>
      <c r="FA37" s="621"/>
      <c r="FB37" s="621"/>
      <c r="FC37" s="621"/>
      <c r="FD37" s="621"/>
      <c r="FE37" s="621"/>
      <c r="FF37" s="621"/>
      <c r="FG37" s="621"/>
      <c r="FH37" s="621"/>
      <c r="FI37" s="621"/>
      <c r="FJ37" s="621"/>
      <c r="FK37" s="621"/>
      <c r="FL37" s="621"/>
      <c r="FM37" s="621"/>
      <c r="FN37" s="621"/>
      <c r="FO37" s="621"/>
      <c r="FP37" s="621"/>
      <c r="FQ37" s="621"/>
      <c r="FR37" s="621"/>
      <c r="FS37" s="621"/>
      <c r="FT37" s="621"/>
      <c r="FU37" s="621"/>
      <c r="FV37" s="621"/>
      <c r="FW37" s="621"/>
      <c r="FX37" s="621"/>
      <c r="FY37" s="621"/>
      <c r="FZ37" s="621"/>
      <c r="GA37" s="621"/>
      <c r="GB37" s="621"/>
      <c r="GC37" s="621"/>
      <c r="GD37" s="621"/>
      <c r="GE37" s="621"/>
      <c r="GF37" s="621"/>
      <c r="GG37" s="621"/>
      <c r="GH37" s="621"/>
      <c r="GI37" s="621"/>
      <c r="GJ37" s="621"/>
      <c r="GK37" s="621"/>
      <c r="GL37" s="621"/>
      <c r="GM37" s="621"/>
      <c r="GN37" s="621"/>
      <c r="GO37" s="621"/>
      <c r="GP37" s="621"/>
      <c r="GQ37" s="621"/>
      <c r="GR37" s="621"/>
      <c r="GS37" s="621"/>
      <c r="GT37" s="621"/>
      <c r="GU37" s="621"/>
      <c r="GV37" s="621"/>
      <c r="GW37" s="621"/>
      <c r="GX37" s="621"/>
      <c r="GY37" s="621"/>
      <c r="GZ37" s="621"/>
      <c r="HA37" s="621"/>
      <c r="HB37" s="621"/>
      <c r="HC37" s="621"/>
      <c r="HD37" s="621"/>
      <c r="HE37" s="621"/>
      <c r="HF37" s="621"/>
      <c r="HG37" s="621"/>
      <c r="HH37" s="621"/>
      <c r="HI37" s="621"/>
      <c r="HJ37" s="621"/>
      <c r="HK37" s="621"/>
      <c r="HL37" s="621"/>
      <c r="HM37" s="621"/>
      <c r="HN37" s="621"/>
      <c r="HO37" s="621"/>
      <c r="HP37" s="621"/>
      <c r="HQ37" s="621"/>
      <c r="HR37" s="621"/>
      <c r="HS37" s="621"/>
      <c r="HT37" s="621"/>
      <c r="HU37" s="621"/>
      <c r="HV37" s="621"/>
      <c r="HW37" s="621"/>
      <c r="HX37" s="621"/>
      <c r="HY37" s="621"/>
      <c r="HZ37" s="621"/>
      <c r="IA37" s="621"/>
      <c r="IB37" s="621"/>
      <c r="IC37" s="621"/>
      <c r="ID37" s="621"/>
      <c r="IE37" s="621"/>
      <c r="IF37" s="621"/>
      <c r="IG37" s="621"/>
      <c r="IH37" s="621"/>
      <c r="II37" s="621"/>
      <c r="IJ37" s="621"/>
      <c r="IK37" s="621"/>
      <c r="IL37" s="621"/>
      <c r="IM37" s="621"/>
      <c r="IN37" s="621"/>
      <c r="IO37" s="621"/>
      <c r="IP37" s="621"/>
      <c r="IQ37" s="621"/>
      <c r="IR37" s="621"/>
      <c r="IS37" s="621"/>
      <c r="IT37" s="621"/>
      <c r="IU37" s="621"/>
      <c r="IV37" s="621"/>
      <c r="IW37" s="621"/>
      <c r="IX37" s="621"/>
      <c r="IY37" s="621"/>
      <c r="IZ37" s="621"/>
      <c r="JA37" s="621"/>
      <c r="JB37" s="621"/>
      <c r="JC37" s="621"/>
      <c r="JD37" s="621"/>
      <c r="JE37" s="621"/>
      <c r="JF37" s="621"/>
      <c r="JG37" s="621"/>
      <c r="JH37" s="621"/>
      <c r="JI37" s="621"/>
      <c r="JJ37" s="621"/>
      <c r="JK37" s="621"/>
      <c r="JL37" s="621"/>
      <c r="JM37" s="621"/>
      <c r="JN37" s="621"/>
      <c r="JO37" s="621"/>
      <c r="JP37" s="621"/>
      <c r="JQ37" s="621"/>
      <c r="JR37" s="621"/>
      <c r="JS37" s="621"/>
      <c r="JT37" s="621"/>
      <c r="JU37" s="621"/>
      <c r="JV37" s="621"/>
      <c r="JW37" s="621"/>
      <c r="JX37" s="621"/>
      <c r="JY37" s="621"/>
      <c r="JZ37" s="621"/>
      <c r="KA37" s="621"/>
      <c r="KB37" s="621"/>
      <c r="KC37" s="621"/>
      <c r="KD37" s="621"/>
      <c r="KE37" s="621"/>
      <c r="KF37" s="621"/>
      <c r="KG37" s="621"/>
      <c r="KH37" s="621"/>
      <c r="KI37" s="621"/>
      <c r="KJ37" s="621"/>
      <c r="KK37" s="621"/>
      <c r="KL37" s="621"/>
      <c r="KM37" s="621"/>
      <c r="KN37" s="621"/>
      <c r="KO37" s="621"/>
      <c r="KP37" s="621"/>
      <c r="KQ37" s="621"/>
      <c r="KR37" s="621"/>
      <c r="KS37" s="621"/>
      <c r="KT37" s="621"/>
      <c r="KU37" s="621"/>
      <c r="KV37" s="621"/>
      <c r="KW37" s="621"/>
      <c r="KX37" s="621"/>
      <c r="KY37" s="621"/>
      <c r="KZ37" s="621"/>
      <c r="LA37" s="621"/>
      <c r="LB37" s="621"/>
      <c r="LC37" s="621"/>
      <c r="LD37" s="621"/>
      <c r="LE37" s="621"/>
      <c r="LF37" s="621"/>
      <c r="LG37" s="621"/>
      <c r="LH37" s="621"/>
      <c r="LI37" s="621"/>
      <c r="LJ37" s="621"/>
      <c r="LK37" s="621"/>
      <c r="LL37" s="621"/>
      <c r="LM37" s="621"/>
      <c r="LN37" s="621"/>
      <c r="LO37" s="621"/>
      <c r="LP37" s="621"/>
      <c r="LQ37" s="621"/>
      <c r="LR37" s="621"/>
      <c r="LS37" s="621"/>
      <c r="LT37" s="621"/>
      <c r="LU37" s="621"/>
      <c r="LV37" s="621"/>
      <c r="LW37" s="621"/>
      <c r="LX37" s="621"/>
      <c r="LY37" s="621"/>
      <c r="LZ37" s="621"/>
      <c r="MA37" s="621"/>
      <c r="MB37" s="621"/>
      <c r="MC37" s="621"/>
      <c r="MD37" s="621"/>
      <c r="ME37" s="621"/>
      <c r="MF37" s="621"/>
      <c r="MG37" s="621"/>
      <c r="MH37" s="621"/>
      <c r="MI37" s="621"/>
      <c r="MJ37" s="621"/>
      <c r="MK37" s="621"/>
      <c r="ML37" s="621"/>
      <c r="MM37" s="621"/>
      <c r="MN37" s="621"/>
      <c r="MO37" s="621"/>
      <c r="MP37" s="621"/>
      <c r="MQ37" s="621"/>
      <c r="MR37" s="621"/>
      <c r="MS37" s="621"/>
      <c r="MT37" s="621"/>
      <c r="MU37" s="621"/>
      <c r="MV37" s="621"/>
      <c r="MW37" s="621"/>
      <c r="MX37" s="621"/>
      <c r="MY37" s="621"/>
      <c r="MZ37" s="621"/>
      <c r="NA37" s="621"/>
      <c r="NB37" s="621"/>
      <c r="NC37" s="621"/>
      <c r="ND37" s="621"/>
      <c r="NE37" s="621"/>
      <c r="NF37" s="621"/>
      <c r="NG37" s="621"/>
      <c r="NH37" s="621"/>
      <c r="NI37" s="621"/>
      <c r="NJ37" s="621"/>
      <c r="NK37" s="621"/>
      <c r="NL37" s="621"/>
      <c r="NM37" s="621"/>
      <c r="NN37" s="621"/>
      <c r="NO37" s="621"/>
      <c r="NP37" s="621"/>
      <c r="NQ37" s="621"/>
      <c r="NR37" s="621"/>
      <c r="NS37" s="621"/>
      <c r="NT37" s="621"/>
      <c r="NU37" s="621"/>
      <c r="NV37" s="621"/>
      <c r="NW37" s="621"/>
      <c r="NX37" s="621"/>
      <c r="NY37" s="621"/>
      <c r="NZ37" s="621"/>
      <c r="OA37" s="621"/>
      <c r="OB37" s="621"/>
      <c r="OC37" s="621"/>
      <c r="OD37" s="621"/>
      <c r="OE37" s="621"/>
      <c r="OF37" s="621"/>
      <c r="OG37" s="621"/>
      <c r="OH37" s="621"/>
      <c r="OI37" s="621"/>
      <c r="OJ37" s="621"/>
      <c r="OK37" s="621"/>
      <c r="OL37" s="621"/>
      <c r="OM37" s="621"/>
      <c r="ON37" s="621"/>
      <c r="OO37" s="621"/>
      <c r="OP37" s="621"/>
      <c r="OQ37" s="621"/>
      <c r="OR37" s="621"/>
      <c r="OS37" s="621"/>
      <c r="OT37" s="621"/>
      <c r="OU37" s="621"/>
      <c r="OV37" s="621"/>
      <c r="OW37" s="621"/>
      <c r="OX37" s="621"/>
      <c r="OY37" s="621"/>
      <c r="OZ37" s="621"/>
      <c r="PA37" s="621"/>
      <c r="PB37" s="621"/>
      <c r="PC37" s="621"/>
      <c r="PD37" s="621"/>
      <c r="PE37" s="621"/>
      <c r="PF37" s="621"/>
      <c r="PG37" s="621"/>
      <c r="PH37" s="621"/>
      <c r="PI37" s="621"/>
      <c r="PJ37" s="621"/>
      <c r="PK37" s="621"/>
      <c r="PL37" s="621"/>
      <c r="PM37" s="621"/>
      <c r="PN37" s="621"/>
      <c r="PO37" s="621"/>
      <c r="PP37" s="621"/>
      <c r="PQ37" s="621"/>
      <c r="PR37" s="621"/>
      <c r="PS37" s="621"/>
      <c r="PT37" s="621"/>
      <c r="PU37" s="621"/>
      <c r="PV37" s="621"/>
      <c r="PW37" s="621"/>
      <c r="PX37" s="621"/>
      <c r="PY37" s="621"/>
      <c r="PZ37" s="621"/>
      <c r="QA37" s="621"/>
      <c r="QB37" s="621"/>
      <c r="QC37" s="621"/>
      <c r="QD37" s="621"/>
      <c r="QE37" s="621"/>
      <c r="QF37" s="621"/>
      <c r="QG37" s="621"/>
      <c r="QH37" s="621"/>
      <c r="QI37" s="621"/>
      <c r="QJ37" s="621"/>
      <c r="QK37" s="621"/>
      <c r="QL37" s="621"/>
      <c r="QM37" s="621"/>
      <c r="QN37" s="621"/>
      <c r="QO37" s="621"/>
      <c r="QP37" s="621"/>
      <c r="QQ37" s="621"/>
      <c r="QR37" s="621"/>
      <c r="QS37" s="621"/>
      <c r="QT37" s="621"/>
      <c r="QU37" s="621"/>
      <c r="QV37" s="621"/>
      <c r="QW37" s="621"/>
      <c r="QX37" s="621"/>
      <c r="QY37" s="621"/>
      <c r="QZ37" s="621"/>
      <c r="RA37" s="621"/>
      <c r="RB37" s="621"/>
      <c r="RC37" s="621"/>
      <c r="RD37" s="621"/>
      <c r="RE37" s="621"/>
      <c r="RF37" s="621"/>
      <c r="RG37" s="621"/>
      <c r="RH37" s="621"/>
      <c r="RI37" s="621"/>
      <c r="RJ37" s="621"/>
      <c r="RK37" s="621"/>
      <c r="RL37" s="621"/>
      <c r="RM37" s="621"/>
      <c r="RN37" s="621"/>
      <c r="RO37" s="621"/>
      <c r="RP37" s="621"/>
      <c r="RQ37" s="621"/>
      <c r="RR37" s="621"/>
      <c r="RS37" s="621"/>
      <c r="RT37" s="621"/>
      <c r="RU37" s="621"/>
      <c r="RV37" s="621"/>
      <c r="RW37" s="621"/>
      <c r="RX37" s="621"/>
      <c r="RY37" s="621"/>
      <c r="RZ37" s="621"/>
      <c r="SA37" s="621"/>
      <c r="SB37" s="621"/>
      <c r="SC37" s="621"/>
      <c r="SD37" s="621"/>
      <c r="SE37" s="621"/>
      <c r="SF37" s="621"/>
      <c r="SG37" s="621"/>
      <c r="SH37" s="621"/>
      <c r="SI37" s="621"/>
      <c r="SJ37" s="621"/>
      <c r="SK37" s="621"/>
      <c r="SL37" s="621"/>
      <c r="SM37" s="621"/>
      <c r="SN37" s="621"/>
      <c r="SO37" s="621"/>
      <c r="SP37" s="621"/>
      <c r="SQ37" s="621"/>
      <c r="SR37" s="621"/>
      <c r="SS37" s="621"/>
      <c r="ST37" s="621"/>
      <c r="SU37" s="621"/>
      <c r="SV37" s="621"/>
      <c r="SW37" s="621"/>
      <c r="SX37" s="621"/>
      <c r="SY37" s="621"/>
      <c r="SZ37" s="621"/>
      <c r="TA37" s="621"/>
      <c r="TB37" s="621"/>
      <c r="TC37" s="621"/>
      <c r="TD37" s="621"/>
      <c r="TE37" s="621"/>
      <c r="TF37" s="621"/>
      <c r="TG37" s="621"/>
      <c r="TH37" s="621"/>
      <c r="TI37" s="621"/>
      <c r="TJ37" s="621"/>
      <c r="TK37" s="621"/>
      <c r="TL37" s="621"/>
      <c r="TM37" s="621"/>
      <c r="TN37" s="621"/>
      <c r="TO37" s="621"/>
      <c r="TP37" s="621"/>
      <c r="TQ37" s="621"/>
      <c r="TR37" s="621"/>
      <c r="TS37" s="621"/>
      <c r="TT37" s="621"/>
      <c r="TU37" s="621"/>
      <c r="TV37" s="621"/>
      <c r="TW37" s="621"/>
      <c r="TX37" s="621"/>
      <c r="TY37" s="621"/>
      <c r="TZ37" s="621"/>
      <c r="UA37" s="621"/>
      <c r="UB37" s="621"/>
      <c r="UC37" s="621"/>
      <c r="UD37" s="621"/>
      <c r="UE37" s="621"/>
      <c r="UF37" s="621"/>
      <c r="UG37" s="621"/>
      <c r="UH37" s="621"/>
      <c r="UI37" s="621"/>
      <c r="UJ37" s="621"/>
      <c r="UK37" s="621"/>
      <c r="UL37" s="621"/>
      <c r="UM37" s="621"/>
      <c r="UN37" s="621"/>
      <c r="UO37" s="621"/>
      <c r="UP37" s="621"/>
      <c r="UQ37" s="621"/>
      <c r="UR37" s="621"/>
      <c r="US37" s="621"/>
      <c r="UT37" s="621"/>
      <c r="UU37" s="621"/>
      <c r="UV37" s="621"/>
      <c r="UW37" s="621"/>
      <c r="UX37" s="621"/>
      <c r="UY37" s="621"/>
      <c r="UZ37" s="621"/>
      <c r="VA37" s="621"/>
      <c r="VB37" s="621"/>
      <c r="VC37" s="621"/>
      <c r="VD37" s="621"/>
      <c r="VE37" s="621"/>
      <c r="VF37" s="621"/>
      <c r="VG37" s="621"/>
      <c r="VH37" s="621"/>
      <c r="VI37" s="621"/>
      <c r="VJ37" s="621"/>
      <c r="VK37" s="621"/>
      <c r="VL37" s="621"/>
      <c r="VM37" s="621"/>
      <c r="VN37" s="621"/>
      <c r="VO37" s="621"/>
      <c r="VP37" s="621"/>
      <c r="VQ37" s="621"/>
      <c r="VR37" s="621"/>
      <c r="VS37" s="621"/>
      <c r="VT37" s="621"/>
      <c r="VU37" s="621"/>
      <c r="VV37" s="621"/>
      <c r="VW37" s="621"/>
      <c r="VX37" s="621"/>
      <c r="VY37" s="621"/>
      <c r="VZ37" s="621"/>
      <c r="WA37" s="621"/>
      <c r="WB37" s="621"/>
      <c r="WC37" s="621"/>
      <c r="WD37" s="621"/>
      <c r="WE37" s="621"/>
      <c r="WF37" s="621"/>
      <c r="WG37" s="621"/>
      <c r="WH37" s="621"/>
      <c r="WI37" s="621"/>
      <c r="WJ37" s="621"/>
      <c r="WK37" s="621"/>
      <c r="WL37" s="621"/>
      <c r="WM37" s="621"/>
      <c r="WN37" s="621"/>
      <c r="WO37" s="621"/>
      <c r="WP37" s="621"/>
      <c r="WQ37" s="621"/>
      <c r="WR37" s="621"/>
      <c r="WS37" s="621"/>
      <c r="WT37" s="621"/>
      <c r="WU37" s="621"/>
      <c r="WV37" s="621"/>
      <c r="WW37" s="621"/>
      <c r="WX37" s="621"/>
      <c r="WY37" s="621"/>
      <c r="WZ37" s="621"/>
      <c r="XA37" s="621"/>
      <c r="XB37" s="621"/>
      <c r="XC37" s="621"/>
      <c r="XD37" s="621"/>
      <c r="XE37" s="621"/>
      <c r="XF37" s="621"/>
      <c r="XG37" s="621"/>
      <c r="XH37" s="621"/>
      <c r="XI37" s="621"/>
      <c r="XJ37" s="621"/>
      <c r="XK37" s="621"/>
      <c r="XL37" s="621"/>
      <c r="XM37" s="621"/>
      <c r="XN37" s="621"/>
      <c r="XO37" s="621"/>
      <c r="XP37" s="621"/>
      <c r="XQ37" s="621"/>
      <c r="XR37" s="621"/>
      <c r="XS37" s="621"/>
      <c r="XT37" s="621"/>
      <c r="XU37" s="621"/>
      <c r="XV37" s="621"/>
      <c r="XW37" s="621"/>
      <c r="XX37" s="621"/>
      <c r="XY37" s="621"/>
      <c r="XZ37" s="621"/>
      <c r="YA37" s="621"/>
      <c r="YB37" s="621"/>
      <c r="YC37" s="621"/>
      <c r="YD37" s="621"/>
      <c r="YE37" s="621"/>
      <c r="YF37" s="621"/>
      <c r="YG37" s="621"/>
      <c r="YH37" s="621"/>
      <c r="YI37" s="621"/>
      <c r="YJ37" s="621"/>
      <c r="YK37" s="621"/>
      <c r="YL37" s="621"/>
      <c r="YM37" s="621"/>
      <c r="YN37" s="621"/>
      <c r="YO37" s="621"/>
      <c r="YP37" s="621"/>
      <c r="YQ37" s="621"/>
      <c r="YR37" s="621"/>
      <c r="YS37" s="621"/>
      <c r="YT37" s="621"/>
      <c r="YU37" s="621"/>
      <c r="YV37" s="621"/>
      <c r="YW37" s="621"/>
      <c r="YX37" s="621"/>
      <c r="YY37" s="621"/>
      <c r="YZ37" s="621"/>
      <c r="ZA37" s="621"/>
      <c r="ZB37" s="621"/>
      <c r="ZC37" s="621"/>
      <c r="ZD37" s="621"/>
      <c r="ZE37" s="621"/>
      <c r="ZF37" s="621"/>
      <c r="ZG37" s="621"/>
      <c r="ZH37" s="621"/>
      <c r="ZI37" s="621"/>
      <c r="ZJ37" s="621"/>
      <c r="ZK37" s="621"/>
      <c r="ZL37" s="621"/>
      <c r="ZM37" s="621"/>
      <c r="ZN37" s="621"/>
      <c r="ZO37" s="621"/>
      <c r="ZP37" s="621"/>
      <c r="ZQ37" s="621"/>
      <c r="ZR37" s="621"/>
      <c r="ZS37" s="621"/>
      <c r="ZT37" s="621"/>
      <c r="ZU37" s="621"/>
      <c r="ZV37" s="621"/>
      <c r="ZW37" s="621"/>
      <c r="ZX37" s="621"/>
      <c r="ZY37" s="621"/>
      <c r="ZZ37" s="621"/>
      <c r="AAA37" s="621"/>
      <c r="AAB37" s="621"/>
      <c r="AAC37" s="621"/>
      <c r="AAD37" s="621"/>
      <c r="AAE37" s="621"/>
      <c r="AAF37" s="621"/>
      <c r="AAG37" s="621"/>
      <c r="AAH37" s="621"/>
      <c r="AAI37" s="621"/>
      <c r="AAJ37" s="621"/>
      <c r="AAK37" s="621"/>
      <c r="AAL37" s="621"/>
      <c r="AAM37" s="621"/>
      <c r="AAN37" s="621"/>
      <c r="AAO37" s="621"/>
      <c r="AAP37" s="621"/>
      <c r="AAQ37" s="621"/>
      <c r="AAR37" s="621"/>
      <c r="AAS37" s="621"/>
      <c r="AAT37" s="621"/>
      <c r="AAU37" s="621"/>
      <c r="AAV37" s="621"/>
      <c r="AAW37" s="621"/>
      <c r="AAX37" s="621"/>
      <c r="AAY37" s="621"/>
      <c r="AAZ37" s="621"/>
      <c r="ABA37" s="621"/>
      <c r="ABB37" s="621"/>
      <c r="ABC37" s="621"/>
      <c r="ABD37" s="621"/>
      <c r="ABE37" s="621"/>
      <c r="ABF37" s="621"/>
      <c r="ABG37" s="621"/>
      <c r="ABH37" s="621"/>
      <c r="ABI37" s="621"/>
      <c r="ABJ37" s="621"/>
      <c r="ABK37" s="621"/>
      <c r="ABL37" s="621"/>
      <c r="ABM37" s="621"/>
      <c r="ABN37" s="621"/>
      <c r="ABO37" s="621"/>
      <c r="ABP37" s="621"/>
      <c r="ABQ37" s="621"/>
      <c r="ABR37" s="621"/>
      <c r="ABS37" s="621"/>
      <c r="ABT37" s="621"/>
      <c r="ABU37" s="621"/>
      <c r="ABV37" s="621"/>
      <c r="ABW37" s="621"/>
      <c r="ABX37" s="621"/>
      <c r="ABY37" s="621"/>
      <c r="ABZ37" s="621"/>
      <c r="ACA37" s="621"/>
      <c r="ACB37" s="621"/>
      <c r="ACC37" s="621"/>
      <c r="ACD37" s="621"/>
      <c r="ACE37" s="621"/>
      <c r="ACF37" s="621"/>
      <c r="ACG37" s="621"/>
      <c r="ACH37" s="621"/>
      <c r="ACI37" s="621"/>
      <c r="ACJ37" s="621"/>
      <c r="ACK37" s="621"/>
      <c r="ACL37" s="621"/>
      <c r="ACM37" s="621"/>
      <c r="ACN37" s="621"/>
      <c r="ACO37" s="621"/>
      <c r="ACP37" s="621"/>
      <c r="ACQ37" s="621"/>
      <c r="ACR37" s="621"/>
      <c r="ACS37" s="621"/>
      <c r="ACT37" s="621"/>
      <c r="ACU37" s="621"/>
      <c r="ACV37" s="621"/>
      <c r="ACW37" s="621"/>
      <c r="ACX37" s="621"/>
      <c r="ACY37" s="621"/>
      <c r="ACZ37" s="621"/>
      <c r="ADA37" s="621"/>
      <c r="ADB37" s="621"/>
      <c r="ADC37" s="621"/>
      <c r="ADD37" s="621"/>
      <c r="ADE37" s="621"/>
      <c r="ADF37" s="621"/>
      <c r="ADG37" s="621"/>
      <c r="ADH37" s="621"/>
      <c r="ADI37" s="621"/>
      <c r="ADJ37" s="621"/>
      <c r="ADK37" s="621"/>
      <c r="ADL37" s="621"/>
      <c r="ADM37" s="621"/>
      <c r="ADN37" s="621"/>
      <c r="ADO37" s="621"/>
      <c r="ADP37" s="621"/>
      <c r="ADQ37" s="621"/>
      <c r="ADR37" s="621"/>
      <c r="ADS37" s="621"/>
      <c r="ADT37" s="621"/>
      <c r="ADU37" s="621"/>
      <c r="ADV37" s="621"/>
      <c r="ADW37" s="621"/>
      <c r="ADX37" s="621"/>
      <c r="ADY37" s="621"/>
      <c r="ADZ37" s="621"/>
      <c r="AEA37" s="621"/>
      <c r="AEB37" s="621"/>
      <c r="AEC37" s="621"/>
      <c r="AED37" s="621"/>
      <c r="AEE37" s="621"/>
      <c r="AEF37" s="621"/>
      <c r="AEG37" s="621"/>
      <c r="AEH37" s="621"/>
      <c r="AEI37" s="621"/>
      <c r="AEJ37" s="621"/>
      <c r="AEK37" s="621"/>
      <c r="AEL37" s="621"/>
      <c r="AEM37" s="621"/>
      <c r="AEN37" s="621"/>
      <c r="AEO37" s="621"/>
      <c r="AEP37" s="621"/>
      <c r="AEQ37" s="621"/>
      <c r="AER37" s="621"/>
      <c r="AES37" s="621"/>
      <c r="AET37" s="621"/>
      <c r="AEU37" s="621"/>
      <c r="AEV37" s="621"/>
      <c r="AEW37" s="621"/>
      <c r="AEX37" s="621"/>
      <c r="AEY37" s="621"/>
      <c r="AEZ37" s="621"/>
      <c r="AFA37" s="621"/>
      <c r="AFB37" s="621"/>
      <c r="AFC37" s="621"/>
      <c r="AFD37" s="621"/>
      <c r="AFE37" s="621"/>
      <c r="AFF37" s="621"/>
      <c r="AFG37" s="621"/>
      <c r="AFH37" s="621"/>
      <c r="AFI37" s="621"/>
      <c r="AFJ37" s="621"/>
      <c r="AFK37" s="621"/>
      <c r="AFL37" s="621"/>
      <c r="AFM37" s="621"/>
      <c r="AFN37" s="621"/>
      <c r="AFO37" s="621"/>
      <c r="AFP37" s="621"/>
      <c r="AFQ37" s="621"/>
      <c r="AFR37" s="621"/>
      <c r="AFS37" s="621"/>
      <c r="AFT37" s="621"/>
      <c r="AFU37" s="621"/>
      <c r="AFV37" s="621"/>
      <c r="AFW37" s="621"/>
      <c r="AFX37" s="621"/>
      <c r="AFY37" s="621"/>
      <c r="AFZ37" s="621"/>
      <c r="AGA37" s="621"/>
      <c r="AGB37" s="621"/>
      <c r="AGC37" s="621"/>
      <c r="AGD37" s="621"/>
      <c r="AGE37" s="621"/>
      <c r="AGF37" s="621"/>
      <c r="AGG37" s="621"/>
      <c r="AGH37" s="621"/>
      <c r="AGI37" s="621"/>
      <c r="AGJ37" s="621"/>
      <c r="AGK37" s="621"/>
      <c r="AGL37" s="621"/>
      <c r="AGM37" s="621"/>
      <c r="AGN37" s="621"/>
      <c r="AGO37" s="621"/>
      <c r="AGP37" s="621"/>
      <c r="AGQ37" s="621"/>
      <c r="AGR37" s="621"/>
      <c r="AGS37" s="621"/>
      <c r="AGT37" s="621"/>
      <c r="AGU37" s="621"/>
      <c r="AGV37" s="621"/>
      <c r="AGW37" s="621"/>
      <c r="AGX37" s="621"/>
      <c r="AGY37" s="621"/>
      <c r="AGZ37" s="621"/>
      <c r="AHA37" s="621"/>
      <c r="AHB37" s="621"/>
      <c r="AHC37" s="621"/>
      <c r="AHD37" s="621"/>
      <c r="AHE37" s="621"/>
      <c r="AHF37" s="621"/>
      <c r="AHG37" s="621"/>
      <c r="AHH37" s="621"/>
      <c r="AHI37" s="621"/>
      <c r="AHJ37" s="621"/>
      <c r="AHK37" s="621"/>
      <c r="AHL37" s="621"/>
      <c r="AHM37" s="621"/>
      <c r="AHN37" s="621"/>
      <c r="AHO37" s="621"/>
      <c r="AHP37" s="621"/>
      <c r="AHQ37" s="621"/>
      <c r="AHR37" s="621"/>
      <c r="AHS37" s="621"/>
      <c r="AHT37" s="621"/>
      <c r="AHU37" s="621"/>
      <c r="AHV37" s="621"/>
      <c r="AHW37" s="621"/>
      <c r="AHX37" s="621"/>
      <c r="AHY37" s="621"/>
      <c r="AHZ37" s="621"/>
      <c r="AIA37" s="621"/>
      <c r="AIB37" s="621"/>
      <c r="AIC37" s="621"/>
      <c r="AID37" s="621"/>
      <c r="AIE37" s="621"/>
      <c r="AIF37" s="621"/>
      <c r="AIG37" s="621"/>
      <c r="AIH37" s="621"/>
      <c r="AII37" s="621"/>
      <c r="AIJ37" s="621"/>
      <c r="AIK37" s="621"/>
      <c r="AIL37" s="621"/>
      <c r="AIM37" s="621"/>
      <c r="AIN37" s="621"/>
      <c r="AIO37" s="621"/>
      <c r="AIP37" s="621"/>
      <c r="AIQ37" s="621"/>
      <c r="AIR37" s="621"/>
      <c r="AIS37" s="621"/>
      <c r="AIT37" s="621"/>
      <c r="AIU37" s="621"/>
      <c r="AIV37" s="621"/>
      <c r="AIW37" s="621"/>
      <c r="AIX37" s="621"/>
      <c r="AIY37" s="621"/>
      <c r="AIZ37" s="621"/>
      <c r="AJA37" s="621"/>
      <c r="AJB37" s="621"/>
      <c r="AJC37" s="621"/>
      <c r="AJD37" s="621"/>
      <c r="AJE37" s="621"/>
      <c r="AJF37" s="621"/>
      <c r="AJG37" s="621"/>
      <c r="AJH37" s="621"/>
      <c r="AJI37" s="621"/>
      <c r="AJJ37" s="621"/>
      <c r="AJK37" s="621"/>
      <c r="AJL37" s="621"/>
      <c r="AJM37" s="621"/>
      <c r="AJN37" s="621"/>
      <c r="AJO37" s="621"/>
      <c r="AJP37" s="621"/>
      <c r="AJQ37" s="621"/>
      <c r="AJR37" s="621"/>
      <c r="AJS37" s="621"/>
      <c r="AJT37" s="621"/>
      <c r="AJU37" s="621"/>
      <c r="AJV37" s="621"/>
      <c r="AJW37" s="621"/>
      <c r="AJX37" s="621"/>
      <c r="AJY37" s="621"/>
      <c r="AJZ37" s="621"/>
      <c r="AKA37" s="621"/>
      <c r="AKB37" s="621"/>
      <c r="AKC37" s="621"/>
      <c r="AKD37" s="621"/>
      <c r="AKE37" s="621"/>
      <c r="AKF37" s="621"/>
      <c r="AKG37" s="621"/>
      <c r="AKH37" s="621"/>
      <c r="AKI37" s="621"/>
      <c r="AKJ37" s="621"/>
      <c r="AKK37" s="621"/>
      <c r="AKL37" s="621"/>
      <c r="AKM37" s="621"/>
      <c r="AKN37" s="621"/>
      <c r="AKO37" s="621"/>
      <c r="AKP37" s="621"/>
      <c r="AKQ37" s="621"/>
      <c r="AKR37" s="621"/>
      <c r="AKS37" s="621"/>
      <c r="AKT37" s="621"/>
      <c r="AKU37" s="621"/>
      <c r="AKV37" s="621"/>
      <c r="AKW37" s="621"/>
      <c r="AKX37" s="621"/>
      <c r="AKY37" s="621"/>
      <c r="AKZ37" s="621"/>
      <c r="ALA37" s="621"/>
      <c r="ALB37" s="621"/>
      <c r="ALC37" s="621"/>
      <c r="ALD37" s="621"/>
      <c r="ALE37" s="621"/>
      <c r="ALF37" s="621"/>
      <c r="ALG37" s="621"/>
      <c r="ALH37" s="621"/>
      <c r="ALI37" s="621"/>
      <c r="ALJ37" s="621"/>
      <c r="ALK37" s="621"/>
      <c r="ALL37" s="621"/>
      <c r="ALM37" s="621"/>
      <c r="ALN37" s="621"/>
      <c r="ALO37" s="621"/>
      <c r="ALP37" s="621"/>
      <c r="ALQ37" s="621"/>
      <c r="ALR37" s="621"/>
      <c r="ALS37" s="621"/>
      <c r="ALT37" s="621"/>
      <c r="ALU37" s="621"/>
      <c r="ALV37" s="621"/>
      <c r="ALW37" s="621"/>
      <c r="ALX37" s="621"/>
      <c r="ALY37" s="621"/>
      <c r="ALZ37" s="621"/>
      <c r="AMA37" s="621"/>
      <c r="AMB37" s="621"/>
      <c r="AMC37" s="621"/>
      <c r="AMD37" s="621"/>
      <c r="AME37" s="621"/>
      <c r="AMF37" s="621"/>
      <c r="AMG37" s="621"/>
      <c r="AMH37" s="621"/>
      <c r="AMI37" s="621"/>
      <c r="AMJ37" s="621"/>
      <c r="AMK37" s="621"/>
    </row>
    <row r="38" spans="1:1025" ht="26.25" customHeight="1">
      <c r="A38" s="374" t="s">
        <v>353</v>
      </c>
      <c r="B38" s="375" t="s">
        <v>354</v>
      </c>
      <c r="C38" s="376">
        <f>D38*1.02</f>
        <v>63079.35</v>
      </c>
      <c r="D38" s="903">
        <v>61842.5</v>
      </c>
      <c r="E38" s="2051"/>
      <c r="F38" s="2051"/>
      <c r="G38" s="393"/>
      <c r="H38" s="412"/>
      <c r="I38" s="593"/>
      <c r="J38" s="1498">
        <v>28320</v>
      </c>
      <c r="K38" s="593"/>
      <c r="L38" s="413"/>
      <c r="M38" s="542">
        <f>SUM(M26:M37)</f>
        <v>-802307.52918103605</v>
      </c>
      <c r="N38" s="1446"/>
      <c r="O38" s="1446"/>
      <c r="P38" s="396"/>
      <c r="T38" s="397"/>
      <c r="U38" s="397"/>
      <c r="V38" s="328" t="s">
        <v>291</v>
      </c>
      <c r="W38" s="410">
        <v>23.855</v>
      </c>
      <c r="X38" s="410"/>
      <c r="Y38" s="411">
        <f t="shared" si="8"/>
        <v>0</v>
      </c>
      <c r="Z38" s="398"/>
      <c r="AA38" s="399"/>
      <c r="AB38" s="260"/>
      <c r="AC38" s="386"/>
      <c r="AD38" s="1482"/>
      <c r="AE38" s="1482"/>
      <c r="AF38" s="1482"/>
      <c r="AG38" s="1482"/>
      <c r="AH38" s="1482"/>
      <c r="AI38" s="1482"/>
      <c r="AJ38" s="1480"/>
      <c r="AK38" s="1481"/>
      <c r="AL38" s="1480"/>
      <c r="AM38" s="289"/>
      <c r="AN38" s="260"/>
      <c r="AO38" s="260"/>
      <c r="AQ38" s="621"/>
      <c r="AR38" s="621"/>
      <c r="AS38" s="621"/>
      <c r="AT38" s="621"/>
      <c r="AU38" s="621"/>
      <c r="AV38" s="621"/>
      <c r="AW38" s="621"/>
      <c r="AX38" s="621"/>
      <c r="AY38" s="621"/>
      <c r="AZ38" s="621"/>
      <c r="BA38" s="621"/>
      <c r="BB38" s="621"/>
      <c r="BC38" s="621"/>
      <c r="BD38" s="621"/>
      <c r="BE38" s="621"/>
      <c r="BF38" s="621"/>
      <c r="BG38" s="621"/>
      <c r="BH38" s="621"/>
      <c r="BI38" s="621"/>
      <c r="BJ38" s="621"/>
      <c r="BK38" s="621"/>
      <c r="BL38" s="621"/>
      <c r="BM38" s="621"/>
      <c r="BN38" s="621"/>
      <c r="BO38" s="621"/>
      <c r="BP38" s="621"/>
      <c r="BQ38" s="621"/>
      <c r="BR38" s="621"/>
      <c r="BS38" s="621"/>
      <c r="BT38" s="621"/>
      <c r="BU38" s="621"/>
      <c r="BV38" s="621"/>
      <c r="BW38" s="621"/>
      <c r="BX38" s="621"/>
      <c r="BY38" s="621"/>
      <c r="BZ38" s="621"/>
      <c r="CA38" s="621"/>
      <c r="CB38" s="621"/>
      <c r="CC38" s="621"/>
      <c r="CD38" s="621"/>
      <c r="CE38" s="621"/>
      <c r="CF38" s="621"/>
      <c r="CG38" s="621"/>
      <c r="CH38" s="621"/>
      <c r="CI38" s="621"/>
      <c r="CJ38" s="621"/>
      <c r="CK38" s="621"/>
      <c r="CL38" s="621"/>
      <c r="CM38" s="621"/>
      <c r="CN38" s="621"/>
      <c r="CO38" s="621"/>
      <c r="CP38" s="621"/>
      <c r="CQ38" s="621"/>
      <c r="CR38" s="621"/>
      <c r="CS38" s="621"/>
      <c r="CT38" s="621"/>
      <c r="CU38" s="621"/>
      <c r="CV38" s="621"/>
      <c r="CW38" s="621"/>
      <c r="CX38" s="621"/>
      <c r="CY38" s="621"/>
      <c r="CZ38" s="621"/>
      <c r="DA38" s="621"/>
      <c r="DB38" s="621"/>
      <c r="DC38" s="621"/>
      <c r="DD38" s="621"/>
      <c r="DE38" s="621"/>
      <c r="DF38" s="621"/>
      <c r="DG38" s="621"/>
      <c r="DH38" s="621"/>
      <c r="DI38" s="621"/>
      <c r="DJ38" s="621"/>
      <c r="DK38" s="621"/>
      <c r="DL38" s="621"/>
      <c r="DM38" s="621"/>
      <c r="DN38" s="621"/>
      <c r="DO38" s="621"/>
      <c r="DP38" s="621"/>
      <c r="DQ38" s="621"/>
      <c r="DR38" s="621"/>
      <c r="DS38" s="621"/>
      <c r="DT38" s="621"/>
      <c r="DU38" s="621"/>
      <c r="DV38" s="621"/>
      <c r="DW38" s="621"/>
      <c r="DX38" s="621"/>
      <c r="DY38" s="621"/>
      <c r="DZ38" s="621"/>
      <c r="EA38" s="621"/>
      <c r="EB38" s="621"/>
      <c r="EC38" s="621"/>
      <c r="ED38" s="621"/>
      <c r="EE38" s="621"/>
      <c r="EF38" s="621"/>
      <c r="EG38" s="621"/>
      <c r="EH38" s="621"/>
      <c r="EI38" s="621"/>
      <c r="EJ38" s="621"/>
      <c r="EK38" s="621"/>
      <c r="EL38" s="621"/>
      <c r="EM38" s="621"/>
      <c r="EN38" s="621"/>
      <c r="EO38" s="621"/>
      <c r="EP38" s="621"/>
      <c r="EQ38" s="621"/>
      <c r="ER38" s="621"/>
      <c r="ES38" s="621"/>
      <c r="ET38" s="621"/>
      <c r="EU38" s="621"/>
      <c r="EV38" s="621"/>
      <c r="EW38" s="621"/>
      <c r="EX38" s="621"/>
      <c r="EY38" s="621"/>
      <c r="EZ38" s="621"/>
      <c r="FA38" s="621"/>
      <c r="FB38" s="621"/>
      <c r="FC38" s="621"/>
      <c r="FD38" s="621"/>
      <c r="FE38" s="621"/>
      <c r="FF38" s="621"/>
      <c r="FG38" s="621"/>
      <c r="FH38" s="621"/>
      <c r="FI38" s="621"/>
      <c r="FJ38" s="621"/>
      <c r="FK38" s="621"/>
      <c r="FL38" s="621"/>
      <c r="FM38" s="621"/>
      <c r="FN38" s="621"/>
      <c r="FO38" s="621"/>
      <c r="FP38" s="621"/>
      <c r="FQ38" s="621"/>
      <c r="FR38" s="621"/>
      <c r="FS38" s="621"/>
      <c r="FT38" s="621"/>
      <c r="FU38" s="621"/>
      <c r="FV38" s="621"/>
      <c r="FW38" s="621"/>
      <c r="FX38" s="621"/>
      <c r="FY38" s="621"/>
      <c r="FZ38" s="621"/>
      <c r="GA38" s="621"/>
      <c r="GB38" s="621"/>
      <c r="GC38" s="621"/>
      <c r="GD38" s="621"/>
      <c r="GE38" s="621"/>
      <c r="GF38" s="621"/>
      <c r="GG38" s="621"/>
      <c r="GH38" s="621"/>
      <c r="GI38" s="621"/>
      <c r="GJ38" s="621"/>
      <c r="GK38" s="621"/>
      <c r="GL38" s="621"/>
      <c r="GM38" s="621"/>
      <c r="GN38" s="621"/>
      <c r="GO38" s="621"/>
      <c r="GP38" s="621"/>
      <c r="GQ38" s="621"/>
      <c r="GR38" s="621"/>
      <c r="GS38" s="621"/>
      <c r="GT38" s="621"/>
      <c r="GU38" s="621"/>
      <c r="GV38" s="621"/>
      <c r="GW38" s="621"/>
      <c r="GX38" s="621"/>
      <c r="GY38" s="621"/>
      <c r="GZ38" s="621"/>
      <c r="HA38" s="621"/>
      <c r="HB38" s="621"/>
      <c r="HC38" s="621"/>
      <c r="HD38" s="621"/>
      <c r="HE38" s="621"/>
      <c r="HF38" s="621"/>
      <c r="HG38" s="621"/>
      <c r="HH38" s="621"/>
      <c r="HI38" s="621"/>
      <c r="HJ38" s="621"/>
      <c r="HK38" s="621"/>
      <c r="HL38" s="621"/>
      <c r="HM38" s="621"/>
      <c r="HN38" s="621"/>
      <c r="HO38" s="621"/>
      <c r="HP38" s="621"/>
      <c r="HQ38" s="621"/>
      <c r="HR38" s="621"/>
      <c r="HS38" s="621"/>
      <c r="HT38" s="621"/>
      <c r="HU38" s="621"/>
      <c r="HV38" s="621"/>
      <c r="HW38" s="621"/>
      <c r="HX38" s="621"/>
      <c r="HY38" s="621"/>
      <c r="HZ38" s="621"/>
      <c r="IA38" s="621"/>
      <c r="IB38" s="621"/>
      <c r="IC38" s="621"/>
      <c r="ID38" s="621"/>
      <c r="IE38" s="621"/>
      <c r="IF38" s="621"/>
      <c r="IG38" s="621"/>
      <c r="IH38" s="621"/>
      <c r="II38" s="621"/>
      <c r="IJ38" s="621"/>
      <c r="IK38" s="621"/>
      <c r="IL38" s="621"/>
      <c r="IM38" s="621"/>
      <c r="IN38" s="621"/>
      <c r="IO38" s="621"/>
      <c r="IP38" s="621"/>
      <c r="IQ38" s="621"/>
      <c r="IR38" s="621"/>
      <c r="IS38" s="621"/>
      <c r="IT38" s="621"/>
      <c r="IU38" s="621"/>
      <c r="IV38" s="621"/>
      <c r="IW38" s="621"/>
      <c r="IX38" s="621"/>
      <c r="IY38" s="621"/>
      <c r="IZ38" s="621"/>
      <c r="JA38" s="621"/>
      <c r="JB38" s="621"/>
      <c r="JC38" s="621"/>
      <c r="JD38" s="621"/>
      <c r="JE38" s="621"/>
      <c r="JF38" s="621"/>
      <c r="JG38" s="621"/>
      <c r="JH38" s="621"/>
      <c r="JI38" s="621"/>
      <c r="JJ38" s="621"/>
      <c r="JK38" s="621"/>
      <c r="JL38" s="621"/>
      <c r="JM38" s="621"/>
      <c r="JN38" s="621"/>
      <c r="JO38" s="621"/>
      <c r="JP38" s="621"/>
      <c r="JQ38" s="621"/>
      <c r="JR38" s="621"/>
      <c r="JS38" s="621"/>
      <c r="JT38" s="621"/>
      <c r="JU38" s="621"/>
      <c r="JV38" s="621"/>
      <c r="JW38" s="621"/>
      <c r="JX38" s="621"/>
      <c r="JY38" s="621"/>
      <c r="JZ38" s="621"/>
      <c r="KA38" s="621"/>
      <c r="KB38" s="621"/>
      <c r="KC38" s="621"/>
      <c r="KD38" s="621"/>
      <c r="KE38" s="621"/>
      <c r="KF38" s="621"/>
      <c r="KG38" s="621"/>
      <c r="KH38" s="621"/>
      <c r="KI38" s="621"/>
      <c r="KJ38" s="621"/>
      <c r="KK38" s="621"/>
      <c r="KL38" s="621"/>
      <c r="KM38" s="621"/>
      <c r="KN38" s="621"/>
      <c r="KO38" s="621"/>
      <c r="KP38" s="621"/>
      <c r="KQ38" s="621"/>
      <c r="KR38" s="621"/>
      <c r="KS38" s="621"/>
      <c r="KT38" s="621"/>
      <c r="KU38" s="621"/>
      <c r="KV38" s="621"/>
      <c r="KW38" s="621"/>
      <c r="KX38" s="621"/>
      <c r="KY38" s="621"/>
      <c r="KZ38" s="621"/>
      <c r="LA38" s="621"/>
      <c r="LB38" s="621"/>
      <c r="LC38" s="621"/>
      <c r="LD38" s="621"/>
      <c r="LE38" s="621"/>
      <c r="LF38" s="621"/>
      <c r="LG38" s="621"/>
      <c r="LH38" s="621"/>
      <c r="LI38" s="621"/>
      <c r="LJ38" s="621"/>
      <c r="LK38" s="621"/>
      <c r="LL38" s="621"/>
      <c r="LM38" s="621"/>
      <c r="LN38" s="621"/>
      <c r="LO38" s="621"/>
      <c r="LP38" s="621"/>
      <c r="LQ38" s="621"/>
      <c r="LR38" s="621"/>
      <c r="LS38" s="621"/>
      <c r="LT38" s="621"/>
      <c r="LU38" s="621"/>
      <c r="LV38" s="621"/>
      <c r="LW38" s="621"/>
      <c r="LX38" s="621"/>
      <c r="LY38" s="621"/>
      <c r="LZ38" s="621"/>
      <c r="MA38" s="621"/>
      <c r="MB38" s="621"/>
      <c r="MC38" s="621"/>
      <c r="MD38" s="621"/>
      <c r="ME38" s="621"/>
      <c r="MF38" s="621"/>
      <c r="MG38" s="621"/>
      <c r="MH38" s="621"/>
      <c r="MI38" s="621"/>
      <c r="MJ38" s="621"/>
      <c r="MK38" s="621"/>
      <c r="ML38" s="621"/>
      <c r="MM38" s="621"/>
      <c r="MN38" s="621"/>
      <c r="MO38" s="621"/>
      <c r="MP38" s="621"/>
      <c r="MQ38" s="621"/>
      <c r="MR38" s="621"/>
      <c r="MS38" s="621"/>
      <c r="MT38" s="621"/>
      <c r="MU38" s="621"/>
      <c r="MV38" s="621"/>
      <c r="MW38" s="621"/>
      <c r="MX38" s="621"/>
      <c r="MY38" s="621"/>
      <c r="MZ38" s="621"/>
      <c r="NA38" s="621"/>
      <c r="NB38" s="621"/>
      <c r="NC38" s="621"/>
      <c r="ND38" s="621"/>
      <c r="NE38" s="621"/>
      <c r="NF38" s="621"/>
      <c r="NG38" s="621"/>
      <c r="NH38" s="621"/>
      <c r="NI38" s="621"/>
      <c r="NJ38" s="621"/>
      <c r="NK38" s="621"/>
      <c r="NL38" s="621"/>
      <c r="NM38" s="621"/>
      <c r="NN38" s="621"/>
      <c r="NO38" s="621"/>
      <c r="NP38" s="621"/>
      <c r="NQ38" s="621"/>
      <c r="NR38" s="621"/>
      <c r="NS38" s="621"/>
      <c r="NT38" s="621"/>
      <c r="NU38" s="621"/>
      <c r="NV38" s="621"/>
      <c r="NW38" s="621"/>
      <c r="NX38" s="621"/>
      <c r="NY38" s="621"/>
      <c r="NZ38" s="621"/>
      <c r="OA38" s="621"/>
      <c r="OB38" s="621"/>
      <c r="OC38" s="621"/>
      <c r="OD38" s="621"/>
      <c r="OE38" s="621"/>
      <c r="OF38" s="621"/>
      <c r="OG38" s="621"/>
      <c r="OH38" s="621"/>
      <c r="OI38" s="621"/>
      <c r="OJ38" s="621"/>
      <c r="OK38" s="621"/>
      <c r="OL38" s="621"/>
      <c r="OM38" s="621"/>
      <c r="ON38" s="621"/>
      <c r="OO38" s="621"/>
      <c r="OP38" s="621"/>
      <c r="OQ38" s="621"/>
      <c r="OR38" s="621"/>
      <c r="OS38" s="621"/>
      <c r="OT38" s="621"/>
      <c r="OU38" s="621"/>
      <c r="OV38" s="621"/>
      <c r="OW38" s="621"/>
      <c r="OX38" s="621"/>
      <c r="OY38" s="621"/>
      <c r="OZ38" s="621"/>
      <c r="PA38" s="621"/>
      <c r="PB38" s="621"/>
      <c r="PC38" s="621"/>
      <c r="PD38" s="621"/>
      <c r="PE38" s="621"/>
      <c r="PF38" s="621"/>
      <c r="PG38" s="621"/>
      <c r="PH38" s="621"/>
      <c r="PI38" s="621"/>
      <c r="PJ38" s="621"/>
      <c r="PK38" s="621"/>
      <c r="PL38" s="621"/>
      <c r="PM38" s="621"/>
      <c r="PN38" s="621"/>
      <c r="PO38" s="621"/>
      <c r="PP38" s="621"/>
      <c r="PQ38" s="621"/>
      <c r="PR38" s="621"/>
      <c r="PS38" s="621"/>
      <c r="PT38" s="621"/>
      <c r="PU38" s="621"/>
      <c r="PV38" s="621"/>
      <c r="PW38" s="621"/>
      <c r="PX38" s="621"/>
      <c r="PY38" s="621"/>
      <c r="PZ38" s="621"/>
      <c r="QA38" s="621"/>
      <c r="QB38" s="621"/>
      <c r="QC38" s="621"/>
      <c r="QD38" s="621"/>
      <c r="QE38" s="621"/>
      <c r="QF38" s="621"/>
      <c r="QG38" s="621"/>
      <c r="QH38" s="621"/>
      <c r="QI38" s="621"/>
      <c r="QJ38" s="621"/>
      <c r="QK38" s="621"/>
      <c r="QL38" s="621"/>
      <c r="QM38" s="621"/>
      <c r="QN38" s="621"/>
      <c r="QO38" s="621"/>
      <c r="QP38" s="621"/>
      <c r="QQ38" s="621"/>
      <c r="QR38" s="621"/>
      <c r="QS38" s="621"/>
      <c r="QT38" s="621"/>
      <c r="QU38" s="621"/>
      <c r="QV38" s="621"/>
      <c r="QW38" s="621"/>
      <c r="QX38" s="621"/>
      <c r="QY38" s="621"/>
      <c r="QZ38" s="621"/>
      <c r="RA38" s="621"/>
      <c r="RB38" s="621"/>
      <c r="RC38" s="621"/>
      <c r="RD38" s="621"/>
      <c r="RE38" s="621"/>
      <c r="RF38" s="621"/>
      <c r="RG38" s="621"/>
      <c r="RH38" s="621"/>
      <c r="RI38" s="621"/>
      <c r="RJ38" s="621"/>
      <c r="RK38" s="621"/>
      <c r="RL38" s="621"/>
      <c r="RM38" s="621"/>
      <c r="RN38" s="621"/>
      <c r="RO38" s="621"/>
      <c r="RP38" s="621"/>
      <c r="RQ38" s="621"/>
      <c r="RR38" s="621"/>
      <c r="RS38" s="621"/>
      <c r="RT38" s="621"/>
      <c r="RU38" s="621"/>
      <c r="RV38" s="621"/>
      <c r="RW38" s="621"/>
      <c r="RX38" s="621"/>
      <c r="RY38" s="621"/>
      <c r="RZ38" s="621"/>
      <c r="SA38" s="621"/>
      <c r="SB38" s="621"/>
      <c r="SC38" s="621"/>
      <c r="SD38" s="621"/>
      <c r="SE38" s="621"/>
      <c r="SF38" s="621"/>
      <c r="SG38" s="621"/>
      <c r="SH38" s="621"/>
      <c r="SI38" s="621"/>
      <c r="SJ38" s="621"/>
      <c r="SK38" s="621"/>
      <c r="SL38" s="621"/>
      <c r="SM38" s="621"/>
      <c r="SN38" s="621"/>
      <c r="SO38" s="621"/>
      <c r="SP38" s="621"/>
      <c r="SQ38" s="621"/>
      <c r="SR38" s="621"/>
      <c r="SS38" s="621"/>
      <c r="ST38" s="621"/>
      <c r="SU38" s="621"/>
      <c r="SV38" s="621"/>
      <c r="SW38" s="621"/>
      <c r="SX38" s="621"/>
      <c r="SY38" s="621"/>
      <c r="SZ38" s="621"/>
      <c r="TA38" s="621"/>
      <c r="TB38" s="621"/>
      <c r="TC38" s="621"/>
      <c r="TD38" s="621"/>
      <c r="TE38" s="621"/>
      <c r="TF38" s="621"/>
      <c r="TG38" s="621"/>
      <c r="TH38" s="621"/>
      <c r="TI38" s="621"/>
      <c r="TJ38" s="621"/>
      <c r="TK38" s="621"/>
      <c r="TL38" s="621"/>
      <c r="TM38" s="621"/>
      <c r="TN38" s="621"/>
      <c r="TO38" s="621"/>
      <c r="TP38" s="621"/>
      <c r="TQ38" s="621"/>
      <c r="TR38" s="621"/>
      <c r="TS38" s="621"/>
      <c r="TT38" s="621"/>
      <c r="TU38" s="621"/>
      <c r="TV38" s="621"/>
      <c r="TW38" s="621"/>
      <c r="TX38" s="621"/>
      <c r="TY38" s="621"/>
      <c r="TZ38" s="621"/>
      <c r="UA38" s="621"/>
      <c r="UB38" s="621"/>
      <c r="UC38" s="621"/>
      <c r="UD38" s="621"/>
      <c r="UE38" s="621"/>
      <c r="UF38" s="621"/>
      <c r="UG38" s="621"/>
      <c r="UH38" s="621"/>
      <c r="UI38" s="621"/>
      <c r="UJ38" s="621"/>
      <c r="UK38" s="621"/>
      <c r="UL38" s="621"/>
      <c r="UM38" s="621"/>
      <c r="UN38" s="621"/>
      <c r="UO38" s="621"/>
      <c r="UP38" s="621"/>
      <c r="UQ38" s="621"/>
      <c r="UR38" s="621"/>
      <c r="US38" s="621"/>
      <c r="UT38" s="621"/>
      <c r="UU38" s="621"/>
      <c r="UV38" s="621"/>
      <c r="UW38" s="621"/>
      <c r="UX38" s="621"/>
      <c r="UY38" s="621"/>
      <c r="UZ38" s="621"/>
      <c r="VA38" s="621"/>
      <c r="VB38" s="621"/>
      <c r="VC38" s="621"/>
      <c r="VD38" s="621"/>
      <c r="VE38" s="621"/>
      <c r="VF38" s="621"/>
      <c r="VG38" s="621"/>
      <c r="VH38" s="621"/>
      <c r="VI38" s="621"/>
      <c r="VJ38" s="621"/>
      <c r="VK38" s="621"/>
      <c r="VL38" s="621"/>
      <c r="VM38" s="621"/>
      <c r="VN38" s="621"/>
      <c r="VO38" s="621"/>
      <c r="VP38" s="621"/>
      <c r="VQ38" s="621"/>
      <c r="VR38" s="621"/>
      <c r="VS38" s="621"/>
      <c r="VT38" s="621"/>
      <c r="VU38" s="621"/>
      <c r="VV38" s="621"/>
      <c r="VW38" s="621"/>
      <c r="VX38" s="621"/>
      <c r="VY38" s="621"/>
      <c r="VZ38" s="621"/>
      <c r="WA38" s="621"/>
      <c r="WB38" s="621"/>
      <c r="WC38" s="621"/>
      <c r="WD38" s="621"/>
      <c r="WE38" s="621"/>
      <c r="WF38" s="621"/>
      <c r="WG38" s="621"/>
      <c r="WH38" s="621"/>
      <c r="WI38" s="621"/>
      <c r="WJ38" s="621"/>
      <c r="WK38" s="621"/>
      <c r="WL38" s="621"/>
      <c r="WM38" s="621"/>
      <c r="WN38" s="621"/>
      <c r="WO38" s="621"/>
      <c r="WP38" s="621"/>
      <c r="WQ38" s="621"/>
      <c r="WR38" s="621"/>
      <c r="WS38" s="621"/>
      <c r="WT38" s="621"/>
      <c r="WU38" s="621"/>
      <c r="WV38" s="621"/>
      <c r="WW38" s="621"/>
      <c r="WX38" s="621"/>
      <c r="WY38" s="621"/>
      <c r="WZ38" s="621"/>
      <c r="XA38" s="621"/>
      <c r="XB38" s="621"/>
      <c r="XC38" s="621"/>
      <c r="XD38" s="621"/>
      <c r="XE38" s="621"/>
      <c r="XF38" s="621"/>
      <c r="XG38" s="621"/>
      <c r="XH38" s="621"/>
      <c r="XI38" s="621"/>
      <c r="XJ38" s="621"/>
      <c r="XK38" s="621"/>
      <c r="XL38" s="621"/>
      <c r="XM38" s="621"/>
      <c r="XN38" s="621"/>
      <c r="XO38" s="621"/>
      <c r="XP38" s="621"/>
      <c r="XQ38" s="621"/>
      <c r="XR38" s="621"/>
      <c r="XS38" s="621"/>
      <c r="XT38" s="621"/>
      <c r="XU38" s="621"/>
      <c r="XV38" s="621"/>
      <c r="XW38" s="621"/>
      <c r="XX38" s="621"/>
      <c r="XY38" s="621"/>
      <c r="XZ38" s="621"/>
      <c r="YA38" s="621"/>
      <c r="YB38" s="621"/>
      <c r="YC38" s="621"/>
      <c r="YD38" s="621"/>
      <c r="YE38" s="621"/>
      <c r="YF38" s="621"/>
      <c r="YG38" s="621"/>
      <c r="YH38" s="621"/>
      <c r="YI38" s="621"/>
      <c r="YJ38" s="621"/>
      <c r="YK38" s="621"/>
      <c r="YL38" s="621"/>
      <c r="YM38" s="621"/>
      <c r="YN38" s="621"/>
      <c r="YO38" s="621"/>
      <c r="YP38" s="621"/>
      <c r="YQ38" s="621"/>
      <c r="YR38" s="621"/>
      <c r="YS38" s="621"/>
      <c r="YT38" s="621"/>
      <c r="YU38" s="621"/>
      <c r="YV38" s="621"/>
      <c r="YW38" s="621"/>
      <c r="YX38" s="621"/>
      <c r="YY38" s="621"/>
      <c r="YZ38" s="621"/>
      <c r="ZA38" s="621"/>
      <c r="ZB38" s="621"/>
      <c r="ZC38" s="621"/>
      <c r="ZD38" s="621"/>
      <c r="ZE38" s="621"/>
      <c r="ZF38" s="621"/>
      <c r="ZG38" s="621"/>
      <c r="ZH38" s="621"/>
      <c r="ZI38" s="621"/>
      <c r="ZJ38" s="621"/>
      <c r="ZK38" s="621"/>
      <c r="ZL38" s="621"/>
      <c r="ZM38" s="621"/>
      <c r="ZN38" s="621"/>
      <c r="ZO38" s="621"/>
      <c r="ZP38" s="621"/>
      <c r="ZQ38" s="621"/>
      <c r="ZR38" s="621"/>
      <c r="ZS38" s="621"/>
      <c r="ZT38" s="621"/>
      <c r="ZU38" s="621"/>
      <c r="ZV38" s="621"/>
      <c r="ZW38" s="621"/>
      <c r="ZX38" s="621"/>
      <c r="ZY38" s="621"/>
      <c r="ZZ38" s="621"/>
      <c r="AAA38" s="621"/>
      <c r="AAB38" s="621"/>
      <c r="AAC38" s="621"/>
      <c r="AAD38" s="621"/>
      <c r="AAE38" s="621"/>
      <c r="AAF38" s="621"/>
      <c r="AAG38" s="621"/>
      <c r="AAH38" s="621"/>
      <c r="AAI38" s="621"/>
      <c r="AAJ38" s="621"/>
      <c r="AAK38" s="621"/>
      <c r="AAL38" s="621"/>
      <c r="AAM38" s="621"/>
      <c r="AAN38" s="621"/>
      <c r="AAO38" s="621"/>
      <c r="AAP38" s="621"/>
      <c r="AAQ38" s="621"/>
      <c r="AAR38" s="621"/>
      <c r="AAS38" s="621"/>
      <c r="AAT38" s="621"/>
      <c r="AAU38" s="621"/>
      <c r="AAV38" s="621"/>
      <c r="AAW38" s="621"/>
      <c r="AAX38" s="621"/>
      <c r="AAY38" s="621"/>
      <c r="AAZ38" s="621"/>
      <c r="ABA38" s="621"/>
      <c r="ABB38" s="621"/>
      <c r="ABC38" s="621"/>
      <c r="ABD38" s="621"/>
      <c r="ABE38" s="621"/>
      <c r="ABF38" s="621"/>
      <c r="ABG38" s="621"/>
      <c r="ABH38" s="621"/>
      <c r="ABI38" s="621"/>
      <c r="ABJ38" s="621"/>
      <c r="ABK38" s="621"/>
      <c r="ABL38" s="621"/>
      <c r="ABM38" s="621"/>
      <c r="ABN38" s="621"/>
      <c r="ABO38" s="621"/>
      <c r="ABP38" s="621"/>
      <c r="ABQ38" s="621"/>
      <c r="ABR38" s="621"/>
      <c r="ABS38" s="621"/>
      <c r="ABT38" s="621"/>
      <c r="ABU38" s="621"/>
      <c r="ABV38" s="621"/>
      <c r="ABW38" s="621"/>
      <c r="ABX38" s="621"/>
      <c r="ABY38" s="621"/>
      <c r="ABZ38" s="621"/>
      <c r="ACA38" s="621"/>
      <c r="ACB38" s="621"/>
      <c r="ACC38" s="621"/>
      <c r="ACD38" s="621"/>
      <c r="ACE38" s="621"/>
      <c r="ACF38" s="621"/>
      <c r="ACG38" s="621"/>
      <c r="ACH38" s="621"/>
      <c r="ACI38" s="621"/>
      <c r="ACJ38" s="621"/>
      <c r="ACK38" s="621"/>
      <c r="ACL38" s="621"/>
      <c r="ACM38" s="621"/>
      <c r="ACN38" s="621"/>
      <c r="ACO38" s="621"/>
      <c r="ACP38" s="621"/>
      <c r="ACQ38" s="621"/>
      <c r="ACR38" s="621"/>
      <c r="ACS38" s="621"/>
      <c r="ACT38" s="621"/>
      <c r="ACU38" s="621"/>
      <c r="ACV38" s="621"/>
      <c r="ACW38" s="621"/>
      <c r="ACX38" s="621"/>
      <c r="ACY38" s="621"/>
      <c r="ACZ38" s="621"/>
      <c r="ADA38" s="621"/>
      <c r="ADB38" s="621"/>
      <c r="ADC38" s="621"/>
      <c r="ADD38" s="621"/>
      <c r="ADE38" s="621"/>
      <c r="ADF38" s="621"/>
      <c r="ADG38" s="621"/>
      <c r="ADH38" s="621"/>
      <c r="ADI38" s="621"/>
      <c r="ADJ38" s="621"/>
      <c r="ADK38" s="621"/>
      <c r="ADL38" s="621"/>
      <c r="ADM38" s="621"/>
      <c r="ADN38" s="621"/>
      <c r="ADO38" s="621"/>
      <c r="ADP38" s="621"/>
      <c r="ADQ38" s="621"/>
      <c r="ADR38" s="621"/>
      <c r="ADS38" s="621"/>
      <c r="ADT38" s="621"/>
      <c r="ADU38" s="621"/>
      <c r="ADV38" s="621"/>
      <c r="ADW38" s="621"/>
      <c r="ADX38" s="621"/>
      <c r="ADY38" s="621"/>
      <c r="ADZ38" s="621"/>
      <c r="AEA38" s="621"/>
      <c r="AEB38" s="621"/>
      <c r="AEC38" s="621"/>
      <c r="AED38" s="621"/>
      <c r="AEE38" s="621"/>
      <c r="AEF38" s="621"/>
      <c r="AEG38" s="621"/>
      <c r="AEH38" s="621"/>
      <c r="AEI38" s="621"/>
      <c r="AEJ38" s="621"/>
      <c r="AEK38" s="621"/>
      <c r="AEL38" s="621"/>
      <c r="AEM38" s="621"/>
      <c r="AEN38" s="621"/>
      <c r="AEO38" s="621"/>
      <c r="AEP38" s="621"/>
      <c r="AEQ38" s="621"/>
      <c r="AER38" s="621"/>
      <c r="AES38" s="621"/>
      <c r="AET38" s="621"/>
      <c r="AEU38" s="621"/>
      <c r="AEV38" s="621"/>
      <c r="AEW38" s="621"/>
      <c r="AEX38" s="621"/>
      <c r="AEY38" s="621"/>
      <c r="AEZ38" s="621"/>
      <c r="AFA38" s="621"/>
      <c r="AFB38" s="621"/>
      <c r="AFC38" s="621"/>
      <c r="AFD38" s="621"/>
      <c r="AFE38" s="621"/>
      <c r="AFF38" s="621"/>
      <c r="AFG38" s="621"/>
      <c r="AFH38" s="621"/>
      <c r="AFI38" s="621"/>
      <c r="AFJ38" s="621"/>
      <c r="AFK38" s="621"/>
      <c r="AFL38" s="621"/>
      <c r="AFM38" s="621"/>
      <c r="AFN38" s="621"/>
      <c r="AFO38" s="621"/>
      <c r="AFP38" s="621"/>
      <c r="AFQ38" s="621"/>
      <c r="AFR38" s="621"/>
      <c r="AFS38" s="621"/>
      <c r="AFT38" s="621"/>
      <c r="AFU38" s="621"/>
      <c r="AFV38" s="621"/>
      <c r="AFW38" s="621"/>
      <c r="AFX38" s="621"/>
      <c r="AFY38" s="621"/>
      <c r="AFZ38" s="621"/>
      <c r="AGA38" s="621"/>
      <c r="AGB38" s="621"/>
      <c r="AGC38" s="621"/>
      <c r="AGD38" s="621"/>
      <c r="AGE38" s="621"/>
      <c r="AGF38" s="621"/>
      <c r="AGG38" s="621"/>
      <c r="AGH38" s="621"/>
      <c r="AGI38" s="621"/>
      <c r="AGJ38" s="621"/>
      <c r="AGK38" s="621"/>
      <c r="AGL38" s="621"/>
      <c r="AGM38" s="621"/>
      <c r="AGN38" s="621"/>
      <c r="AGO38" s="621"/>
      <c r="AGP38" s="621"/>
      <c r="AGQ38" s="621"/>
      <c r="AGR38" s="621"/>
      <c r="AGS38" s="621"/>
      <c r="AGT38" s="621"/>
      <c r="AGU38" s="621"/>
      <c r="AGV38" s="621"/>
      <c r="AGW38" s="621"/>
      <c r="AGX38" s="621"/>
      <c r="AGY38" s="621"/>
      <c r="AGZ38" s="621"/>
      <c r="AHA38" s="621"/>
      <c r="AHB38" s="621"/>
      <c r="AHC38" s="621"/>
      <c r="AHD38" s="621"/>
      <c r="AHE38" s="621"/>
      <c r="AHF38" s="621"/>
      <c r="AHG38" s="621"/>
      <c r="AHH38" s="621"/>
      <c r="AHI38" s="621"/>
      <c r="AHJ38" s="621"/>
      <c r="AHK38" s="621"/>
      <c r="AHL38" s="621"/>
      <c r="AHM38" s="621"/>
      <c r="AHN38" s="621"/>
      <c r="AHO38" s="621"/>
      <c r="AHP38" s="621"/>
      <c r="AHQ38" s="621"/>
      <c r="AHR38" s="621"/>
      <c r="AHS38" s="621"/>
      <c r="AHT38" s="621"/>
      <c r="AHU38" s="621"/>
      <c r="AHV38" s="621"/>
      <c r="AHW38" s="621"/>
      <c r="AHX38" s="621"/>
      <c r="AHY38" s="621"/>
      <c r="AHZ38" s="621"/>
      <c r="AIA38" s="621"/>
      <c r="AIB38" s="621"/>
      <c r="AIC38" s="621"/>
      <c r="AID38" s="621"/>
      <c r="AIE38" s="621"/>
      <c r="AIF38" s="621"/>
      <c r="AIG38" s="621"/>
      <c r="AIH38" s="621"/>
      <c r="AII38" s="621"/>
      <c r="AIJ38" s="621"/>
      <c r="AIK38" s="621"/>
      <c r="AIL38" s="621"/>
      <c r="AIM38" s="621"/>
      <c r="AIN38" s="621"/>
      <c r="AIO38" s="621"/>
      <c r="AIP38" s="621"/>
      <c r="AIQ38" s="621"/>
      <c r="AIR38" s="621"/>
      <c r="AIS38" s="621"/>
      <c r="AIT38" s="621"/>
      <c r="AIU38" s="621"/>
      <c r="AIV38" s="621"/>
      <c r="AIW38" s="621"/>
      <c r="AIX38" s="621"/>
      <c r="AIY38" s="621"/>
      <c r="AIZ38" s="621"/>
      <c r="AJA38" s="621"/>
      <c r="AJB38" s="621"/>
      <c r="AJC38" s="621"/>
      <c r="AJD38" s="621"/>
      <c r="AJE38" s="621"/>
      <c r="AJF38" s="621"/>
      <c r="AJG38" s="621"/>
      <c r="AJH38" s="621"/>
      <c r="AJI38" s="621"/>
      <c r="AJJ38" s="621"/>
      <c r="AJK38" s="621"/>
      <c r="AJL38" s="621"/>
      <c r="AJM38" s="621"/>
      <c r="AJN38" s="621"/>
      <c r="AJO38" s="621"/>
      <c r="AJP38" s="621"/>
      <c r="AJQ38" s="621"/>
      <c r="AJR38" s="621"/>
      <c r="AJS38" s="621"/>
      <c r="AJT38" s="621"/>
      <c r="AJU38" s="621"/>
      <c r="AJV38" s="621"/>
      <c r="AJW38" s="621"/>
      <c r="AJX38" s="621"/>
      <c r="AJY38" s="621"/>
      <c r="AJZ38" s="621"/>
      <c r="AKA38" s="621"/>
      <c r="AKB38" s="621"/>
      <c r="AKC38" s="621"/>
      <c r="AKD38" s="621"/>
      <c r="AKE38" s="621"/>
      <c r="AKF38" s="621"/>
      <c r="AKG38" s="621"/>
      <c r="AKH38" s="621"/>
      <c r="AKI38" s="621"/>
      <c r="AKJ38" s="621"/>
      <c r="AKK38" s="621"/>
      <c r="AKL38" s="621"/>
      <c r="AKM38" s="621"/>
      <c r="AKN38" s="621"/>
      <c r="AKO38" s="621"/>
      <c r="AKP38" s="621"/>
      <c r="AKQ38" s="621"/>
      <c r="AKR38" s="621"/>
      <c r="AKS38" s="621"/>
      <c r="AKT38" s="621"/>
      <c r="AKU38" s="621"/>
      <c r="AKV38" s="621"/>
      <c r="AKW38" s="621"/>
      <c r="AKX38" s="621"/>
      <c r="AKY38" s="621"/>
      <c r="AKZ38" s="621"/>
      <c r="ALA38" s="621"/>
      <c r="ALB38" s="621"/>
      <c r="ALC38" s="621"/>
      <c r="ALD38" s="621"/>
      <c r="ALE38" s="621"/>
      <c r="ALF38" s="621"/>
      <c r="ALG38" s="621"/>
      <c r="ALH38" s="621"/>
      <c r="ALI38" s="621"/>
      <c r="ALJ38" s="621"/>
      <c r="ALK38" s="621"/>
      <c r="ALL38" s="621"/>
      <c r="ALM38" s="621"/>
      <c r="ALN38" s="621"/>
      <c r="ALO38" s="621"/>
      <c r="ALP38" s="621"/>
      <c r="ALQ38" s="621"/>
      <c r="ALR38" s="621"/>
      <c r="ALS38" s="621"/>
      <c r="ALT38" s="621"/>
      <c r="ALU38" s="621"/>
      <c r="ALV38" s="621"/>
      <c r="ALW38" s="621"/>
      <c r="ALX38" s="621"/>
      <c r="ALY38" s="621"/>
      <c r="ALZ38" s="621"/>
      <c r="AMA38" s="621"/>
      <c r="AMB38" s="621"/>
      <c r="AMC38" s="621"/>
      <c r="AMD38" s="621"/>
      <c r="AME38" s="621"/>
      <c r="AMF38" s="621"/>
      <c r="AMG38" s="621"/>
      <c r="AMH38" s="621"/>
      <c r="AMI38" s="621"/>
      <c r="AMJ38" s="621"/>
      <c r="AMK38" s="621"/>
    </row>
    <row r="39" spans="1:1025" ht="27.75" customHeight="1">
      <c r="A39" s="374" t="s">
        <v>369</v>
      </c>
      <c r="B39" s="375" t="s">
        <v>370</v>
      </c>
      <c r="C39" s="376">
        <f>D39*1.03</f>
        <v>41359.135000000002</v>
      </c>
      <c r="D39" s="377">
        <v>40154.5</v>
      </c>
      <c r="E39" s="2043"/>
      <c r="F39" s="2043"/>
      <c r="G39" s="393"/>
      <c r="H39" s="414"/>
      <c r="I39" s="1497"/>
      <c r="J39" s="1498">
        <v>19075.349999999999</v>
      </c>
      <c r="K39" s="593"/>
      <c r="L39" s="413"/>
      <c r="M39" s="416"/>
      <c r="N39" s="1446"/>
      <c r="O39" s="1446"/>
      <c r="P39" s="396"/>
      <c r="T39" s="397"/>
      <c r="U39" s="397"/>
      <c r="V39" s="328" t="s">
        <v>313</v>
      </c>
      <c r="W39" s="410">
        <v>69.784999999999997</v>
      </c>
      <c r="X39" s="410"/>
      <c r="Y39" s="411">
        <f t="shared" si="8"/>
        <v>0</v>
      </c>
      <c r="Z39" s="398"/>
      <c r="AA39" s="399"/>
      <c r="AB39" s="260"/>
      <c r="AC39" s="386"/>
      <c r="AD39" s="1482"/>
      <c r="AE39" s="1482"/>
      <c r="AF39" s="1482"/>
      <c r="AG39" s="1482"/>
      <c r="AH39" s="1482"/>
      <c r="AI39" s="1482"/>
      <c r="AJ39" s="1480"/>
      <c r="AK39" s="1481"/>
      <c r="AL39" s="1480"/>
      <c r="AM39" s="289"/>
      <c r="AN39" s="260"/>
      <c r="AO39" s="260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1"/>
      <c r="BD39" s="621"/>
      <c r="BE39" s="621"/>
      <c r="BF39" s="621"/>
      <c r="BG39" s="621"/>
      <c r="BH39" s="621"/>
      <c r="BI39" s="621"/>
      <c r="BJ39" s="621"/>
      <c r="BK39" s="621"/>
      <c r="BL39" s="621"/>
      <c r="BM39" s="621"/>
      <c r="BN39" s="621"/>
      <c r="BO39" s="621"/>
      <c r="BP39" s="621"/>
      <c r="BQ39" s="621"/>
      <c r="BR39" s="621"/>
      <c r="BS39" s="621"/>
      <c r="BT39" s="621"/>
      <c r="BU39" s="621"/>
      <c r="BV39" s="621"/>
      <c r="BW39" s="621"/>
      <c r="BX39" s="621"/>
      <c r="BY39" s="621"/>
      <c r="BZ39" s="621"/>
      <c r="CA39" s="621"/>
      <c r="CB39" s="621"/>
      <c r="CC39" s="621"/>
      <c r="CD39" s="621"/>
      <c r="CE39" s="621"/>
      <c r="CF39" s="621"/>
      <c r="CG39" s="621"/>
      <c r="CH39" s="621"/>
      <c r="CI39" s="621"/>
      <c r="CJ39" s="621"/>
      <c r="CK39" s="621"/>
      <c r="CL39" s="621"/>
      <c r="CM39" s="621"/>
      <c r="CN39" s="621"/>
      <c r="CO39" s="621"/>
      <c r="CP39" s="621"/>
      <c r="CQ39" s="621"/>
      <c r="CR39" s="621"/>
      <c r="CS39" s="621"/>
      <c r="CT39" s="621"/>
      <c r="CU39" s="621"/>
      <c r="CV39" s="621"/>
      <c r="CW39" s="621"/>
      <c r="CX39" s="621"/>
      <c r="CY39" s="621"/>
      <c r="CZ39" s="621"/>
      <c r="DA39" s="621"/>
      <c r="DB39" s="621"/>
      <c r="DC39" s="621"/>
      <c r="DD39" s="621"/>
      <c r="DE39" s="621"/>
      <c r="DF39" s="621"/>
      <c r="DG39" s="621"/>
      <c r="DH39" s="621"/>
      <c r="DI39" s="621"/>
      <c r="DJ39" s="621"/>
      <c r="DK39" s="621"/>
      <c r="DL39" s="621"/>
      <c r="DM39" s="621"/>
      <c r="DN39" s="621"/>
      <c r="DO39" s="621"/>
      <c r="DP39" s="621"/>
      <c r="DQ39" s="621"/>
      <c r="DR39" s="621"/>
      <c r="DS39" s="621"/>
      <c r="DT39" s="621"/>
      <c r="DU39" s="621"/>
      <c r="DV39" s="621"/>
      <c r="DW39" s="621"/>
      <c r="DX39" s="621"/>
      <c r="DY39" s="621"/>
      <c r="DZ39" s="621"/>
      <c r="EA39" s="621"/>
      <c r="EB39" s="621"/>
      <c r="EC39" s="621"/>
      <c r="ED39" s="621"/>
      <c r="EE39" s="621"/>
      <c r="EF39" s="621"/>
      <c r="EG39" s="621"/>
      <c r="EH39" s="621"/>
      <c r="EI39" s="621"/>
      <c r="EJ39" s="621"/>
      <c r="EK39" s="621"/>
      <c r="EL39" s="621"/>
      <c r="EM39" s="621"/>
      <c r="EN39" s="621"/>
      <c r="EO39" s="621"/>
      <c r="EP39" s="621"/>
      <c r="EQ39" s="621"/>
      <c r="ER39" s="621"/>
      <c r="ES39" s="621"/>
      <c r="ET39" s="621"/>
      <c r="EU39" s="621"/>
      <c r="EV39" s="621"/>
      <c r="EW39" s="621"/>
      <c r="EX39" s="621"/>
      <c r="EY39" s="621"/>
      <c r="EZ39" s="621"/>
      <c r="FA39" s="621"/>
      <c r="FB39" s="621"/>
      <c r="FC39" s="621"/>
      <c r="FD39" s="621"/>
      <c r="FE39" s="621"/>
      <c r="FF39" s="621"/>
      <c r="FG39" s="621"/>
      <c r="FH39" s="621"/>
      <c r="FI39" s="621"/>
      <c r="FJ39" s="621"/>
      <c r="FK39" s="621"/>
      <c r="FL39" s="621"/>
      <c r="FM39" s="621"/>
      <c r="FN39" s="621"/>
      <c r="FO39" s="621"/>
      <c r="FP39" s="621"/>
      <c r="FQ39" s="621"/>
      <c r="FR39" s="621"/>
      <c r="FS39" s="621"/>
      <c r="FT39" s="621"/>
      <c r="FU39" s="621"/>
      <c r="FV39" s="621"/>
      <c r="FW39" s="621"/>
      <c r="FX39" s="621"/>
      <c r="FY39" s="621"/>
      <c r="FZ39" s="621"/>
      <c r="GA39" s="621"/>
      <c r="GB39" s="621"/>
      <c r="GC39" s="621"/>
      <c r="GD39" s="621"/>
      <c r="GE39" s="621"/>
      <c r="GF39" s="621"/>
      <c r="GG39" s="621"/>
      <c r="GH39" s="621"/>
      <c r="GI39" s="621"/>
      <c r="GJ39" s="621"/>
      <c r="GK39" s="621"/>
      <c r="GL39" s="621"/>
      <c r="GM39" s="621"/>
      <c r="GN39" s="621"/>
      <c r="GO39" s="621"/>
      <c r="GP39" s="621"/>
      <c r="GQ39" s="621"/>
      <c r="GR39" s="621"/>
      <c r="GS39" s="621"/>
      <c r="GT39" s="621"/>
      <c r="GU39" s="621"/>
      <c r="GV39" s="621"/>
      <c r="GW39" s="621"/>
      <c r="GX39" s="621"/>
      <c r="GY39" s="621"/>
      <c r="GZ39" s="621"/>
      <c r="HA39" s="621"/>
      <c r="HB39" s="621"/>
      <c r="HC39" s="621"/>
      <c r="HD39" s="621"/>
      <c r="HE39" s="621"/>
      <c r="HF39" s="621"/>
      <c r="HG39" s="621"/>
      <c r="HH39" s="621"/>
      <c r="HI39" s="621"/>
      <c r="HJ39" s="621"/>
      <c r="HK39" s="621"/>
      <c r="HL39" s="621"/>
      <c r="HM39" s="621"/>
      <c r="HN39" s="621"/>
      <c r="HO39" s="621"/>
      <c r="HP39" s="621"/>
      <c r="HQ39" s="621"/>
      <c r="HR39" s="621"/>
      <c r="HS39" s="621"/>
      <c r="HT39" s="621"/>
      <c r="HU39" s="621"/>
      <c r="HV39" s="621"/>
      <c r="HW39" s="621"/>
      <c r="HX39" s="621"/>
      <c r="HY39" s="621"/>
      <c r="HZ39" s="621"/>
      <c r="IA39" s="621"/>
      <c r="IB39" s="621"/>
      <c r="IC39" s="621"/>
      <c r="ID39" s="621"/>
      <c r="IE39" s="621"/>
      <c r="IF39" s="621"/>
      <c r="IG39" s="621"/>
      <c r="IH39" s="621"/>
      <c r="II39" s="621"/>
      <c r="IJ39" s="621"/>
      <c r="IK39" s="621"/>
      <c r="IL39" s="621"/>
      <c r="IM39" s="621"/>
      <c r="IN39" s="621"/>
      <c r="IO39" s="621"/>
      <c r="IP39" s="621"/>
      <c r="IQ39" s="621"/>
      <c r="IR39" s="621"/>
      <c r="IS39" s="621"/>
      <c r="IT39" s="621"/>
      <c r="IU39" s="621"/>
      <c r="IV39" s="621"/>
      <c r="IW39" s="621"/>
      <c r="IX39" s="621"/>
      <c r="IY39" s="621"/>
      <c r="IZ39" s="621"/>
      <c r="JA39" s="621"/>
      <c r="JB39" s="621"/>
      <c r="JC39" s="621"/>
      <c r="JD39" s="621"/>
      <c r="JE39" s="621"/>
      <c r="JF39" s="621"/>
      <c r="JG39" s="621"/>
      <c r="JH39" s="621"/>
      <c r="JI39" s="621"/>
      <c r="JJ39" s="621"/>
      <c r="JK39" s="621"/>
      <c r="JL39" s="621"/>
      <c r="JM39" s="621"/>
      <c r="JN39" s="621"/>
      <c r="JO39" s="621"/>
      <c r="JP39" s="621"/>
      <c r="JQ39" s="621"/>
      <c r="JR39" s="621"/>
      <c r="JS39" s="621"/>
      <c r="JT39" s="621"/>
      <c r="JU39" s="621"/>
      <c r="JV39" s="621"/>
      <c r="JW39" s="621"/>
      <c r="JX39" s="621"/>
      <c r="JY39" s="621"/>
      <c r="JZ39" s="621"/>
      <c r="KA39" s="621"/>
      <c r="KB39" s="621"/>
      <c r="KC39" s="621"/>
      <c r="KD39" s="621"/>
      <c r="KE39" s="621"/>
      <c r="KF39" s="621"/>
      <c r="KG39" s="621"/>
      <c r="KH39" s="621"/>
      <c r="KI39" s="621"/>
      <c r="KJ39" s="621"/>
      <c r="KK39" s="621"/>
      <c r="KL39" s="621"/>
      <c r="KM39" s="621"/>
      <c r="KN39" s="621"/>
      <c r="KO39" s="621"/>
      <c r="KP39" s="621"/>
      <c r="KQ39" s="621"/>
      <c r="KR39" s="621"/>
      <c r="KS39" s="621"/>
      <c r="KT39" s="621"/>
      <c r="KU39" s="621"/>
      <c r="KV39" s="621"/>
      <c r="KW39" s="621"/>
      <c r="KX39" s="621"/>
      <c r="KY39" s="621"/>
      <c r="KZ39" s="621"/>
      <c r="LA39" s="621"/>
      <c r="LB39" s="621"/>
      <c r="LC39" s="621"/>
      <c r="LD39" s="621"/>
      <c r="LE39" s="621"/>
      <c r="LF39" s="621"/>
      <c r="LG39" s="621"/>
      <c r="LH39" s="621"/>
      <c r="LI39" s="621"/>
      <c r="LJ39" s="621"/>
      <c r="LK39" s="621"/>
      <c r="LL39" s="621"/>
      <c r="LM39" s="621"/>
      <c r="LN39" s="621"/>
      <c r="LO39" s="621"/>
      <c r="LP39" s="621"/>
      <c r="LQ39" s="621"/>
      <c r="LR39" s="621"/>
      <c r="LS39" s="621"/>
      <c r="LT39" s="621"/>
      <c r="LU39" s="621"/>
      <c r="LV39" s="621"/>
      <c r="LW39" s="621"/>
      <c r="LX39" s="621"/>
      <c r="LY39" s="621"/>
      <c r="LZ39" s="621"/>
      <c r="MA39" s="621"/>
      <c r="MB39" s="621"/>
      <c r="MC39" s="621"/>
      <c r="MD39" s="621"/>
      <c r="ME39" s="621"/>
      <c r="MF39" s="621"/>
      <c r="MG39" s="621"/>
      <c r="MH39" s="621"/>
      <c r="MI39" s="621"/>
      <c r="MJ39" s="621"/>
      <c r="MK39" s="621"/>
      <c r="ML39" s="621"/>
      <c r="MM39" s="621"/>
      <c r="MN39" s="621"/>
      <c r="MO39" s="621"/>
      <c r="MP39" s="621"/>
      <c r="MQ39" s="621"/>
      <c r="MR39" s="621"/>
      <c r="MS39" s="621"/>
      <c r="MT39" s="621"/>
      <c r="MU39" s="621"/>
      <c r="MV39" s="621"/>
      <c r="MW39" s="621"/>
      <c r="MX39" s="621"/>
      <c r="MY39" s="621"/>
      <c r="MZ39" s="621"/>
      <c r="NA39" s="621"/>
      <c r="NB39" s="621"/>
      <c r="NC39" s="621"/>
      <c r="ND39" s="621"/>
      <c r="NE39" s="621"/>
      <c r="NF39" s="621"/>
      <c r="NG39" s="621"/>
      <c r="NH39" s="621"/>
      <c r="NI39" s="621"/>
      <c r="NJ39" s="621"/>
      <c r="NK39" s="621"/>
      <c r="NL39" s="621"/>
      <c r="NM39" s="621"/>
      <c r="NN39" s="621"/>
      <c r="NO39" s="621"/>
      <c r="NP39" s="621"/>
      <c r="NQ39" s="621"/>
      <c r="NR39" s="621"/>
      <c r="NS39" s="621"/>
      <c r="NT39" s="621"/>
      <c r="NU39" s="621"/>
      <c r="NV39" s="621"/>
      <c r="NW39" s="621"/>
      <c r="NX39" s="621"/>
      <c r="NY39" s="621"/>
      <c r="NZ39" s="621"/>
      <c r="OA39" s="621"/>
      <c r="OB39" s="621"/>
      <c r="OC39" s="621"/>
      <c r="OD39" s="621"/>
      <c r="OE39" s="621"/>
      <c r="OF39" s="621"/>
      <c r="OG39" s="621"/>
      <c r="OH39" s="621"/>
      <c r="OI39" s="621"/>
      <c r="OJ39" s="621"/>
      <c r="OK39" s="621"/>
      <c r="OL39" s="621"/>
      <c r="OM39" s="621"/>
      <c r="ON39" s="621"/>
      <c r="OO39" s="621"/>
      <c r="OP39" s="621"/>
      <c r="OQ39" s="621"/>
      <c r="OR39" s="621"/>
      <c r="OS39" s="621"/>
      <c r="OT39" s="621"/>
      <c r="OU39" s="621"/>
      <c r="OV39" s="621"/>
      <c r="OW39" s="621"/>
      <c r="OX39" s="621"/>
      <c r="OY39" s="621"/>
      <c r="OZ39" s="621"/>
      <c r="PA39" s="621"/>
      <c r="PB39" s="621"/>
      <c r="PC39" s="621"/>
      <c r="PD39" s="621"/>
      <c r="PE39" s="621"/>
      <c r="PF39" s="621"/>
      <c r="PG39" s="621"/>
      <c r="PH39" s="621"/>
      <c r="PI39" s="621"/>
      <c r="PJ39" s="621"/>
      <c r="PK39" s="621"/>
      <c r="PL39" s="621"/>
      <c r="PM39" s="621"/>
      <c r="PN39" s="621"/>
      <c r="PO39" s="621"/>
      <c r="PP39" s="621"/>
      <c r="PQ39" s="621"/>
      <c r="PR39" s="621"/>
      <c r="PS39" s="621"/>
      <c r="PT39" s="621"/>
      <c r="PU39" s="621"/>
      <c r="PV39" s="621"/>
      <c r="PW39" s="621"/>
      <c r="PX39" s="621"/>
      <c r="PY39" s="621"/>
      <c r="PZ39" s="621"/>
      <c r="QA39" s="621"/>
      <c r="QB39" s="621"/>
      <c r="QC39" s="621"/>
      <c r="QD39" s="621"/>
      <c r="QE39" s="621"/>
      <c r="QF39" s="621"/>
      <c r="QG39" s="621"/>
      <c r="QH39" s="621"/>
      <c r="QI39" s="621"/>
      <c r="QJ39" s="621"/>
      <c r="QK39" s="621"/>
      <c r="QL39" s="621"/>
      <c r="QM39" s="621"/>
      <c r="QN39" s="621"/>
      <c r="QO39" s="621"/>
      <c r="QP39" s="621"/>
      <c r="QQ39" s="621"/>
      <c r="QR39" s="621"/>
      <c r="QS39" s="621"/>
      <c r="QT39" s="621"/>
      <c r="QU39" s="621"/>
      <c r="QV39" s="621"/>
      <c r="QW39" s="621"/>
      <c r="QX39" s="621"/>
      <c r="QY39" s="621"/>
      <c r="QZ39" s="621"/>
      <c r="RA39" s="621"/>
      <c r="RB39" s="621"/>
      <c r="RC39" s="621"/>
      <c r="RD39" s="621"/>
      <c r="RE39" s="621"/>
      <c r="RF39" s="621"/>
      <c r="RG39" s="621"/>
      <c r="RH39" s="621"/>
      <c r="RI39" s="621"/>
      <c r="RJ39" s="621"/>
      <c r="RK39" s="621"/>
      <c r="RL39" s="621"/>
      <c r="RM39" s="621"/>
      <c r="RN39" s="621"/>
      <c r="RO39" s="621"/>
      <c r="RP39" s="621"/>
      <c r="RQ39" s="621"/>
      <c r="RR39" s="621"/>
      <c r="RS39" s="621"/>
      <c r="RT39" s="621"/>
      <c r="RU39" s="621"/>
      <c r="RV39" s="621"/>
      <c r="RW39" s="621"/>
      <c r="RX39" s="621"/>
      <c r="RY39" s="621"/>
      <c r="RZ39" s="621"/>
      <c r="SA39" s="621"/>
      <c r="SB39" s="621"/>
      <c r="SC39" s="621"/>
      <c r="SD39" s="621"/>
      <c r="SE39" s="621"/>
      <c r="SF39" s="621"/>
      <c r="SG39" s="621"/>
      <c r="SH39" s="621"/>
      <c r="SI39" s="621"/>
      <c r="SJ39" s="621"/>
      <c r="SK39" s="621"/>
      <c r="SL39" s="621"/>
      <c r="SM39" s="621"/>
      <c r="SN39" s="621"/>
      <c r="SO39" s="621"/>
      <c r="SP39" s="621"/>
      <c r="SQ39" s="621"/>
      <c r="SR39" s="621"/>
      <c r="SS39" s="621"/>
      <c r="ST39" s="621"/>
      <c r="SU39" s="621"/>
      <c r="SV39" s="621"/>
      <c r="SW39" s="621"/>
      <c r="SX39" s="621"/>
      <c r="SY39" s="621"/>
      <c r="SZ39" s="621"/>
      <c r="TA39" s="621"/>
      <c r="TB39" s="621"/>
      <c r="TC39" s="621"/>
      <c r="TD39" s="621"/>
      <c r="TE39" s="621"/>
      <c r="TF39" s="621"/>
      <c r="TG39" s="621"/>
      <c r="TH39" s="621"/>
      <c r="TI39" s="621"/>
      <c r="TJ39" s="621"/>
      <c r="TK39" s="621"/>
      <c r="TL39" s="621"/>
      <c r="TM39" s="621"/>
      <c r="TN39" s="621"/>
      <c r="TO39" s="621"/>
      <c r="TP39" s="621"/>
      <c r="TQ39" s="621"/>
      <c r="TR39" s="621"/>
      <c r="TS39" s="621"/>
      <c r="TT39" s="621"/>
      <c r="TU39" s="621"/>
      <c r="TV39" s="621"/>
      <c r="TW39" s="621"/>
      <c r="TX39" s="621"/>
      <c r="TY39" s="621"/>
      <c r="TZ39" s="621"/>
      <c r="UA39" s="621"/>
      <c r="UB39" s="621"/>
      <c r="UC39" s="621"/>
      <c r="UD39" s="621"/>
      <c r="UE39" s="621"/>
      <c r="UF39" s="621"/>
      <c r="UG39" s="621"/>
      <c r="UH39" s="621"/>
      <c r="UI39" s="621"/>
      <c r="UJ39" s="621"/>
      <c r="UK39" s="621"/>
      <c r="UL39" s="621"/>
      <c r="UM39" s="621"/>
      <c r="UN39" s="621"/>
      <c r="UO39" s="621"/>
      <c r="UP39" s="621"/>
      <c r="UQ39" s="621"/>
      <c r="UR39" s="621"/>
      <c r="US39" s="621"/>
      <c r="UT39" s="621"/>
      <c r="UU39" s="621"/>
      <c r="UV39" s="621"/>
      <c r="UW39" s="621"/>
      <c r="UX39" s="621"/>
      <c r="UY39" s="621"/>
      <c r="UZ39" s="621"/>
      <c r="VA39" s="621"/>
      <c r="VB39" s="621"/>
      <c r="VC39" s="621"/>
      <c r="VD39" s="621"/>
      <c r="VE39" s="621"/>
      <c r="VF39" s="621"/>
      <c r="VG39" s="621"/>
      <c r="VH39" s="621"/>
      <c r="VI39" s="621"/>
      <c r="VJ39" s="621"/>
      <c r="VK39" s="621"/>
      <c r="VL39" s="621"/>
      <c r="VM39" s="621"/>
      <c r="VN39" s="621"/>
      <c r="VO39" s="621"/>
      <c r="VP39" s="621"/>
      <c r="VQ39" s="621"/>
      <c r="VR39" s="621"/>
      <c r="VS39" s="621"/>
      <c r="VT39" s="621"/>
      <c r="VU39" s="621"/>
      <c r="VV39" s="621"/>
      <c r="VW39" s="621"/>
      <c r="VX39" s="621"/>
      <c r="VY39" s="621"/>
      <c r="VZ39" s="621"/>
      <c r="WA39" s="621"/>
      <c r="WB39" s="621"/>
      <c r="WC39" s="621"/>
      <c r="WD39" s="621"/>
      <c r="WE39" s="621"/>
      <c r="WF39" s="621"/>
      <c r="WG39" s="621"/>
      <c r="WH39" s="621"/>
      <c r="WI39" s="621"/>
      <c r="WJ39" s="621"/>
      <c r="WK39" s="621"/>
      <c r="WL39" s="621"/>
      <c r="WM39" s="621"/>
      <c r="WN39" s="621"/>
      <c r="WO39" s="621"/>
      <c r="WP39" s="621"/>
      <c r="WQ39" s="621"/>
      <c r="WR39" s="621"/>
      <c r="WS39" s="621"/>
      <c r="WT39" s="621"/>
      <c r="WU39" s="621"/>
      <c r="WV39" s="621"/>
      <c r="WW39" s="621"/>
      <c r="WX39" s="621"/>
      <c r="WY39" s="621"/>
      <c r="WZ39" s="621"/>
      <c r="XA39" s="621"/>
      <c r="XB39" s="621"/>
      <c r="XC39" s="621"/>
      <c r="XD39" s="621"/>
      <c r="XE39" s="621"/>
      <c r="XF39" s="621"/>
      <c r="XG39" s="621"/>
      <c r="XH39" s="621"/>
      <c r="XI39" s="621"/>
      <c r="XJ39" s="621"/>
      <c r="XK39" s="621"/>
      <c r="XL39" s="621"/>
      <c r="XM39" s="621"/>
      <c r="XN39" s="621"/>
      <c r="XO39" s="621"/>
      <c r="XP39" s="621"/>
      <c r="XQ39" s="621"/>
      <c r="XR39" s="621"/>
      <c r="XS39" s="621"/>
      <c r="XT39" s="621"/>
      <c r="XU39" s="621"/>
      <c r="XV39" s="621"/>
      <c r="XW39" s="621"/>
      <c r="XX39" s="621"/>
      <c r="XY39" s="621"/>
      <c r="XZ39" s="621"/>
      <c r="YA39" s="621"/>
      <c r="YB39" s="621"/>
      <c r="YC39" s="621"/>
      <c r="YD39" s="621"/>
      <c r="YE39" s="621"/>
      <c r="YF39" s="621"/>
      <c r="YG39" s="621"/>
      <c r="YH39" s="621"/>
      <c r="YI39" s="621"/>
      <c r="YJ39" s="621"/>
      <c r="YK39" s="621"/>
      <c r="YL39" s="621"/>
      <c r="YM39" s="621"/>
      <c r="YN39" s="621"/>
      <c r="YO39" s="621"/>
      <c r="YP39" s="621"/>
      <c r="YQ39" s="621"/>
      <c r="YR39" s="621"/>
      <c r="YS39" s="621"/>
      <c r="YT39" s="621"/>
      <c r="YU39" s="621"/>
      <c r="YV39" s="621"/>
      <c r="YW39" s="621"/>
      <c r="YX39" s="621"/>
      <c r="YY39" s="621"/>
      <c r="YZ39" s="621"/>
      <c r="ZA39" s="621"/>
      <c r="ZB39" s="621"/>
      <c r="ZC39" s="621"/>
      <c r="ZD39" s="621"/>
      <c r="ZE39" s="621"/>
      <c r="ZF39" s="621"/>
      <c r="ZG39" s="621"/>
      <c r="ZH39" s="621"/>
      <c r="ZI39" s="621"/>
      <c r="ZJ39" s="621"/>
      <c r="ZK39" s="621"/>
      <c r="ZL39" s="621"/>
      <c r="ZM39" s="621"/>
      <c r="ZN39" s="621"/>
      <c r="ZO39" s="621"/>
      <c r="ZP39" s="621"/>
      <c r="ZQ39" s="621"/>
      <c r="ZR39" s="621"/>
      <c r="ZS39" s="621"/>
      <c r="ZT39" s="621"/>
      <c r="ZU39" s="621"/>
      <c r="ZV39" s="621"/>
      <c r="ZW39" s="621"/>
      <c r="ZX39" s="621"/>
      <c r="ZY39" s="621"/>
      <c r="ZZ39" s="621"/>
      <c r="AAA39" s="621"/>
      <c r="AAB39" s="621"/>
      <c r="AAC39" s="621"/>
      <c r="AAD39" s="621"/>
      <c r="AAE39" s="621"/>
      <c r="AAF39" s="621"/>
      <c r="AAG39" s="621"/>
      <c r="AAH39" s="621"/>
      <c r="AAI39" s="621"/>
      <c r="AAJ39" s="621"/>
      <c r="AAK39" s="621"/>
      <c r="AAL39" s="621"/>
      <c r="AAM39" s="621"/>
      <c r="AAN39" s="621"/>
      <c r="AAO39" s="621"/>
      <c r="AAP39" s="621"/>
      <c r="AAQ39" s="621"/>
      <c r="AAR39" s="621"/>
      <c r="AAS39" s="621"/>
      <c r="AAT39" s="621"/>
      <c r="AAU39" s="621"/>
      <c r="AAV39" s="621"/>
      <c r="AAW39" s="621"/>
      <c r="AAX39" s="621"/>
      <c r="AAY39" s="621"/>
      <c r="AAZ39" s="621"/>
      <c r="ABA39" s="621"/>
      <c r="ABB39" s="621"/>
      <c r="ABC39" s="621"/>
      <c r="ABD39" s="621"/>
      <c r="ABE39" s="621"/>
      <c r="ABF39" s="621"/>
      <c r="ABG39" s="621"/>
      <c r="ABH39" s="621"/>
      <c r="ABI39" s="621"/>
      <c r="ABJ39" s="621"/>
      <c r="ABK39" s="621"/>
      <c r="ABL39" s="621"/>
      <c r="ABM39" s="621"/>
      <c r="ABN39" s="621"/>
      <c r="ABO39" s="621"/>
      <c r="ABP39" s="621"/>
      <c r="ABQ39" s="621"/>
      <c r="ABR39" s="621"/>
      <c r="ABS39" s="621"/>
      <c r="ABT39" s="621"/>
      <c r="ABU39" s="621"/>
      <c r="ABV39" s="621"/>
      <c r="ABW39" s="621"/>
      <c r="ABX39" s="621"/>
      <c r="ABY39" s="621"/>
      <c r="ABZ39" s="621"/>
      <c r="ACA39" s="621"/>
      <c r="ACB39" s="621"/>
      <c r="ACC39" s="621"/>
      <c r="ACD39" s="621"/>
      <c r="ACE39" s="621"/>
      <c r="ACF39" s="621"/>
      <c r="ACG39" s="621"/>
      <c r="ACH39" s="621"/>
      <c r="ACI39" s="621"/>
      <c r="ACJ39" s="621"/>
      <c r="ACK39" s="621"/>
      <c r="ACL39" s="621"/>
      <c r="ACM39" s="621"/>
      <c r="ACN39" s="621"/>
      <c r="ACO39" s="621"/>
      <c r="ACP39" s="621"/>
      <c r="ACQ39" s="621"/>
      <c r="ACR39" s="621"/>
      <c r="ACS39" s="621"/>
      <c r="ACT39" s="621"/>
      <c r="ACU39" s="621"/>
      <c r="ACV39" s="621"/>
      <c r="ACW39" s="621"/>
      <c r="ACX39" s="621"/>
      <c r="ACY39" s="621"/>
      <c r="ACZ39" s="621"/>
      <c r="ADA39" s="621"/>
      <c r="ADB39" s="621"/>
      <c r="ADC39" s="621"/>
      <c r="ADD39" s="621"/>
      <c r="ADE39" s="621"/>
      <c r="ADF39" s="621"/>
      <c r="ADG39" s="621"/>
      <c r="ADH39" s="621"/>
      <c r="ADI39" s="621"/>
      <c r="ADJ39" s="621"/>
      <c r="ADK39" s="621"/>
      <c r="ADL39" s="621"/>
      <c r="ADM39" s="621"/>
      <c r="ADN39" s="621"/>
      <c r="ADO39" s="621"/>
      <c r="ADP39" s="621"/>
      <c r="ADQ39" s="621"/>
      <c r="ADR39" s="621"/>
      <c r="ADS39" s="621"/>
      <c r="ADT39" s="621"/>
      <c r="ADU39" s="621"/>
      <c r="ADV39" s="621"/>
      <c r="ADW39" s="621"/>
      <c r="ADX39" s="621"/>
      <c r="ADY39" s="621"/>
      <c r="ADZ39" s="621"/>
      <c r="AEA39" s="621"/>
      <c r="AEB39" s="621"/>
      <c r="AEC39" s="621"/>
      <c r="AED39" s="621"/>
      <c r="AEE39" s="621"/>
      <c r="AEF39" s="621"/>
      <c r="AEG39" s="621"/>
      <c r="AEH39" s="621"/>
      <c r="AEI39" s="621"/>
      <c r="AEJ39" s="621"/>
      <c r="AEK39" s="621"/>
      <c r="AEL39" s="621"/>
      <c r="AEM39" s="621"/>
      <c r="AEN39" s="621"/>
      <c r="AEO39" s="621"/>
      <c r="AEP39" s="621"/>
      <c r="AEQ39" s="621"/>
      <c r="AER39" s="621"/>
      <c r="AES39" s="621"/>
      <c r="AET39" s="621"/>
      <c r="AEU39" s="621"/>
      <c r="AEV39" s="621"/>
      <c r="AEW39" s="621"/>
      <c r="AEX39" s="621"/>
      <c r="AEY39" s="621"/>
      <c r="AEZ39" s="621"/>
      <c r="AFA39" s="621"/>
      <c r="AFB39" s="621"/>
      <c r="AFC39" s="621"/>
      <c r="AFD39" s="621"/>
      <c r="AFE39" s="621"/>
      <c r="AFF39" s="621"/>
      <c r="AFG39" s="621"/>
      <c r="AFH39" s="621"/>
      <c r="AFI39" s="621"/>
      <c r="AFJ39" s="621"/>
      <c r="AFK39" s="621"/>
      <c r="AFL39" s="621"/>
      <c r="AFM39" s="621"/>
      <c r="AFN39" s="621"/>
      <c r="AFO39" s="621"/>
      <c r="AFP39" s="621"/>
      <c r="AFQ39" s="621"/>
      <c r="AFR39" s="621"/>
      <c r="AFS39" s="621"/>
      <c r="AFT39" s="621"/>
      <c r="AFU39" s="621"/>
      <c r="AFV39" s="621"/>
      <c r="AFW39" s="621"/>
      <c r="AFX39" s="621"/>
      <c r="AFY39" s="621"/>
      <c r="AFZ39" s="621"/>
      <c r="AGA39" s="621"/>
      <c r="AGB39" s="621"/>
      <c r="AGC39" s="621"/>
      <c r="AGD39" s="621"/>
      <c r="AGE39" s="621"/>
      <c r="AGF39" s="621"/>
      <c r="AGG39" s="621"/>
      <c r="AGH39" s="621"/>
      <c r="AGI39" s="621"/>
      <c r="AGJ39" s="621"/>
      <c r="AGK39" s="621"/>
      <c r="AGL39" s="621"/>
      <c r="AGM39" s="621"/>
      <c r="AGN39" s="621"/>
      <c r="AGO39" s="621"/>
      <c r="AGP39" s="621"/>
      <c r="AGQ39" s="621"/>
      <c r="AGR39" s="621"/>
      <c r="AGS39" s="621"/>
      <c r="AGT39" s="621"/>
      <c r="AGU39" s="621"/>
      <c r="AGV39" s="621"/>
      <c r="AGW39" s="621"/>
      <c r="AGX39" s="621"/>
      <c r="AGY39" s="621"/>
      <c r="AGZ39" s="621"/>
      <c r="AHA39" s="621"/>
      <c r="AHB39" s="621"/>
      <c r="AHC39" s="621"/>
      <c r="AHD39" s="621"/>
      <c r="AHE39" s="621"/>
      <c r="AHF39" s="621"/>
      <c r="AHG39" s="621"/>
      <c r="AHH39" s="621"/>
      <c r="AHI39" s="621"/>
      <c r="AHJ39" s="621"/>
      <c r="AHK39" s="621"/>
      <c r="AHL39" s="621"/>
      <c r="AHM39" s="621"/>
      <c r="AHN39" s="621"/>
      <c r="AHO39" s="621"/>
      <c r="AHP39" s="621"/>
      <c r="AHQ39" s="621"/>
      <c r="AHR39" s="621"/>
      <c r="AHS39" s="621"/>
      <c r="AHT39" s="621"/>
      <c r="AHU39" s="621"/>
      <c r="AHV39" s="621"/>
      <c r="AHW39" s="621"/>
      <c r="AHX39" s="621"/>
      <c r="AHY39" s="621"/>
      <c r="AHZ39" s="621"/>
      <c r="AIA39" s="621"/>
      <c r="AIB39" s="621"/>
      <c r="AIC39" s="621"/>
      <c r="AID39" s="621"/>
      <c r="AIE39" s="621"/>
      <c r="AIF39" s="621"/>
      <c r="AIG39" s="621"/>
      <c r="AIH39" s="621"/>
      <c r="AII39" s="621"/>
      <c r="AIJ39" s="621"/>
      <c r="AIK39" s="621"/>
      <c r="AIL39" s="621"/>
      <c r="AIM39" s="621"/>
      <c r="AIN39" s="621"/>
      <c r="AIO39" s="621"/>
      <c r="AIP39" s="621"/>
      <c r="AIQ39" s="621"/>
      <c r="AIR39" s="621"/>
      <c r="AIS39" s="621"/>
      <c r="AIT39" s="621"/>
      <c r="AIU39" s="621"/>
      <c r="AIV39" s="621"/>
      <c r="AIW39" s="621"/>
      <c r="AIX39" s="621"/>
      <c r="AIY39" s="621"/>
      <c r="AIZ39" s="621"/>
      <c r="AJA39" s="621"/>
      <c r="AJB39" s="621"/>
      <c r="AJC39" s="621"/>
      <c r="AJD39" s="621"/>
      <c r="AJE39" s="621"/>
      <c r="AJF39" s="621"/>
      <c r="AJG39" s="621"/>
      <c r="AJH39" s="621"/>
      <c r="AJI39" s="621"/>
      <c r="AJJ39" s="621"/>
      <c r="AJK39" s="621"/>
      <c r="AJL39" s="621"/>
      <c r="AJM39" s="621"/>
      <c r="AJN39" s="621"/>
      <c r="AJO39" s="621"/>
      <c r="AJP39" s="621"/>
      <c r="AJQ39" s="621"/>
      <c r="AJR39" s="621"/>
      <c r="AJS39" s="621"/>
      <c r="AJT39" s="621"/>
      <c r="AJU39" s="621"/>
      <c r="AJV39" s="621"/>
      <c r="AJW39" s="621"/>
      <c r="AJX39" s="621"/>
      <c r="AJY39" s="621"/>
      <c r="AJZ39" s="621"/>
      <c r="AKA39" s="621"/>
      <c r="AKB39" s="621"/>
      <c r="AKC39" s="621"/>
      <c r="AKD39" s="621"/>
      <c r="AKE39" s="621"/>
      <c r="AKF39" s="621"/>
      <c r="AKG39" s="621"/>
      <c r="AKH39" s="621"/>
      <c r="AKI39" s="621"/>
      <c r="AKJ39" s="621"/>
      <c r="AKK39" s="621"/>
      <c r="AKL39" s="621"/>
      <c r="AKM39" s="621"/>
      <c r="AKN39" s="621"/>
      <c r="AKO39" s="621"/>
      <c r="AKP39" s="621"/>
      <c r="AKQ39" s="621"/>
      <c r="AKR39" s="621"/>
      <c r="AKS39" s="621"/>
      <c r="AKT39" s="621"/>
      <c r="AKU39" s="621"/>
      <c r="AKV39" s="621"/>
      <c r="AKW39" s="621"/>
      <c r="AKX39" s="621"/>
      <c r="AKY39" s="621"/>
      <c r="AKZ39" s="621"/>
      <c r="ALA39" s="621"/>
      <c r="ALB39" s="621"/>
      <c r="ALC39" s="621"/>
      <c r="ALD39" s="621"/>
      <c r="ALE39" s="621"/>
      <c r="ALF39" s="621"/>
      <c r="ALG39" s="621"/>
      <c r="ALH39" s="621"/>
      <c r="ALI39" s="621"/>
      <c r="ALJ39" s="621"/>
      <c r="ALK39" s="621"/>
      <c r="ALL39" s="621"/>
      <c r="ALM39" s="621"/>
      <c r="ALN39" s="621"/>
      <c r="ALO39" s="621"/>
      <c r="ALP39" s="621"/>
      <c r="ALQ39" s="621"/>
      <c r="ALR39" s="621"/>
      <c r="ALS39" s="621"/>
      <c r="ALT39" s="621"/>
      <c r="ALU39" s="621"/>
      <c r="ALV39" s="621"/>
      <c r="ALW39" s="621"/>
      <c r="ALX39" s="621"/>
      <c r="ALY39" s="621"/>
      <c r="ALZ39" s="621"/>
      <c r="AMA39" s="621"/>
      <c r="AMB39" s="621"/>
      <c r="AMC39" s="621"/>
      <c r="AMD39" s="621"/>
      <c r="AME39" s="621"/>
      <c r="AMF39" s="621"/>
      <c r="AMG39" s="621"/>
      <c r="AMH39" s="621"/>
      <c r="AMI39" s="621"/>
      <c r="AMJ39" s="621"/>
      <c r="AMK39" s="621"/>
    </row>
    <row r="40" spans="1:1025" ht="33" customHeight="1">
      <c r="A40" s="374">
        <v>2.2000000000000002</v>
      </c>
      <c r="B40" s="421" t="s">
        <v>298</v>
      </c>
      <c r="C40" s="417">
        <f>C41+C47</f>
        <v>996817.65599999996</v>
      </c>
      <c r="D40" s="418">
        <f>D41+D47</f>
        <v>716739.73199999996</v>
      </c>
      <c r="E40" s="2043"/>
      <c r="F40" s="2043"/>
      <c r="G40" s="419"/>
      <c r="H40" s="420"/>
      <c r="I40" s="594"/>
      <c r="J40" s="549">
        <v>835061.50166666706</v>
      </c>
      <c r="K40" s="594">
        <f>+D40-J40</f>
        <v>-118321.7696666671</v>
      </c>
      <c r="L40" s="413"/>
      <c r="M40" s="416"/>
      <c r="N40" s="1446"/>
      <c r="O40" s="1446"/>
      <c r="P40" s="396"/>
      <c r="T40" s="397"/>
      <c r="U40" s="397"/>
      <c r="V40" s="328" t="s">
        <v>315</v>
      </c>
      <c r="W40" s="410">
        <v>28.26</v>
      </c>
      <c r="X40" s="410"/>
      <c r="Y40" s="411">
        <f t="shared" si="8"/>
        <v>0</v>
      </c>
      <c r="Z40" s="398"/>
      <c r="AA40" s="399"/>
      <c r="AB40" s="260"/>
      <c r="AC40" s="300"/>
      <c r="AD40" s="1485"/>
      <c r="AE40" s="1485"/>
      <c r="AF40" s="1485"/>
      <c r="AG40" s="1485"/>
      <c r="AH40" s="1485"/>
      <c r="AI40" s="1485"/>
      <c r="AJ40" s="1483"/>
      <c r="AK40" s="1484"/>
      <c r="AL40" s="1483"/>
      <c r="AM40" s="289"/>
      <c r="AN40" s="260"/>
      <c r="AO40" s="260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1"/>
      <c r="BD40" s="621"/>
      <c r="BE40" s="621"/>
      <c r="BF40" s="621"/>
      <c r="BG40" s="621"/>
      <c r="BH40" s="621"/>
      <c r="BI40" s="621"/>
      <c r="BJ40" s="621"/>
      <c r="BK40" s="621"/>
      <c r="BL40" s="621"/>
      <c r="BM40" s="621"/>
      <c r="BN40" s="621"/>
      <c r="BO40" s="621"/>
      <c r="BP40" s="621"/>
      <c r="BQ40" s="621"/>
      <c r="BR40" s="621"/>
      <c r="BS40" s="621"/>
      <c r="BT40" s="621"/>
      <c r="BU40" s="621"/>
      <c r="BV40" s="621"/>
      <c r="BW40" s="621"/>
      <c r="BX40" s="621"/>
      <c r="BY40" s="621"/>
      <c r="BZ40" s="621"/>
      <c r="CA40" s="621"/>
      <c r="CB40" s="621"/>
      <c r="CC40" s="621"/>
      <c r="CD40" s="621"/>
      <c r="CE40" s="621"/>
      <c r="CF40" s="621"/>
      <c r="CG40" s="621"/>
      <c r="CH40" s="621"/>
      <c r="CI40" s="621"/>
      <c r="CJ40" s="621"/>
      <c r="CK40" s="621"/>
      <c r="CL40" s="621"/>
      <c r="CM40" s="621"/>
      <c r="CN40" s="621"/>
      <c r="CO40" s="621"/>
      <c r="CP40" s="621"/>
      <c r="CQ40" s="621"/>
      <c r="CR40" s="621"/>
      <c r="CS40" s="621"/>
      <c r="CT40" s="621"/>
      <c r="CU40" s="621"/>
      <c r="CV40" s="621"/>
      <c r="CW40" s="621"/>
      <c r="CX40" s="621"/>
      <c r="CY40" s="621"/>
      <c r="CZ40" s="621"/>
      <c r="DA40" s="621"/>
      <c r="DB40" s="621"/>
      <c r="DC40" s="621"/>
      <c r="DD40" s="621"/>
      <c r="DE40" s="621"/>
      <c r="DF40" s="621"/>
      <c r="DG40" s="621"/>
      <c r="DH40" s="621"/>
      <c r="DI40" s="621"/>
      <c r="DJ40" s="621"/>
      <c r="DK40" s="621"/>
      <c r="DL40" s="621"/>
      <c r="DM40" s="621"/>
      <c r="DN40" s="621"/>
      <c r="DO40" s="621"/>
      <c r="DP40" s="621"/>
      <c r="DQ40" s="621"/>
      <c r="DR40" s="621"/>
      <c r="DS40" s="621"/>
      <c r="DT40" s="621"/>
      <c r="DU40" s="621"/>
      <c r="DV40" s="621"/>
      <c r="DW40" s="621"/>
      <c r="DX40" s="621"/>
      <c r="DY40" s="621"/>
      <c r="DZ40" s="621"/>
      <c r="EA40" s="621"/>
      <c r="EB40" s="621"/>
      <c r="EC40" s="621"/>
      <c r="ED40" s="621"/>
      <c r="EE40" s="621"/>
      <c r="EF40" s="621"/>
      <c r="EG40" s="621"/>
      <c r="EH40" s="621"/>
      <c r="EI40" s="621"/>
      <c r="EJ40" s="621"/>
      <c r="EK40" s="621"/>
      <c r="EL40" s="621"/>
      <c r="EM40" s="621"/>
      <c r="EN40" s="621"/>
      <c r="EO40" s="621"/>
      <c r="EP40" s="621"/>
      <c r="EQ40" s="621"/>
      <c r="ER40" s="621"/>
      <c r="ES40" s="621"/>
      <c r="ET40" s="621"/>
      <c r="EU40" s="621"/>
      <c r="EV40" s="621"/>
      <c r="EW40" s="621"/>
      <c r="EX40" s="621"/>
      <c r="EY40" s="621"/>
      <c r="EZ40" s="621"/>
      <c r="FA40" s="621"/>
      <c r="FB40" s="621"/>
      <c r="FC40" s="621"/>
      <c r="FD40" s="621"/>
      <c r="FE40" s="621"/>
      <c r="FF40" s="621"/>
      <c r="FG40" s="621"/>
      <c r="FH40" s="621"/>
      <c r="FI40" s="621"/>
      <c r="FJ40" s="621"/>
      <c r="FK40" s="621"/>
      <c r="FL40" s="621"/>
      <c r="FM40" s="621"/>
      <c r="FN40" s="621"/>
      <c r="FO40" s="621"/>
      <c r="FP40" s="621"/>
      <c r="FQ40" s="621"/>
      <c r="FR40" s="621"/>
      <c r="FS40" s="621"/>
      <c r="FT40" s="621"/>
      <c r="FU40" s="621"/>
      <c r="FV40" s="621"/>
      <c r="FW40" s="621"/>
      <c r="FX40" s="621"/>
      <c r="FY40" s="621"/>
      <c r="FZ40" s="621"/>
      <c r="GA40" s="621"/>
      <c r="GB40" s="621"/>
      <c r="GC40" s="621"/>
      <c r="GD40" s="621"/>
      <c r="GE40" s="621"/>
      <c r="GF40" s="621"/>
      <c r="GG40" s="621"/>
      <c r="GH40" s="621"/>
      <c r="GI40" s="621"/>
      <c r="GJ40" s="621"/>
      <c r="GK40" s="621"/>
      <c r="GL40" s="621"/>
      <c r="GM40" s="621"/>
      <c r="GN40" s="621"/>
      <c r="GO40" s="621"/>
      <c r="GP40" s="621"/>
      <c r="GQ40" s="621"/>
      <c r="GR40" s="621"/>
      <c r="GS40" s="621"/>
      <c r="GT40" s="621"/>
      <c r="GU40" s="621"/>
      <c r="GV40" s="621"/>
      <c r="GW40" s="621"/>
      <c r="GX40" s="621"/>
      <c r="GY40" s="621"/>
      <c r="GZ40" s="621"/>
      <c r="HA40" s="621"/>
      <c r="HB40" s="621"/>
      <c r="HC40" s="621"/>
      <c r="HD40" s="621"/>
      <c r="HE40" s="621"/>
      <c r="HF40" s="621"/>
      <c r="HG40" s="621"/>
      <c r="HH40" s="621"/>
      <c r="HI40" s="621"/>
      <c r="HJ40" s="621"/>
      <c r="HK40" s="621"/>
      <c r="HL40" s="621"/>
      <c r="HM40" s="621"/>
      <c r="HN40" s="621"/>
      <c r="HO40" s="621"/>
      <c r="HP40" s="621"/>
      <c r="HQ40" s="621"/>
      <c r="HR40" s="621"/>
      <c r="HS40" s="621"/>
      <c r="HT40" s="621"/>
      <c r="HU40" s="621"/>
      <c r="HV40" s="621"/>
      <c r="HW40" s="621"/>
      <c r="HX40" s="621"/>
      <c r="HY40" s="621"/>
      <c r="HZ40" s="621"/>
      <c r="IA40" s="621"/>
      <c r="IB40" s="621"/>
      <c r="IC40" s="621"/>
      <c r="ID40" s="621"/>
      <c r="IE40" s="621"/>
      <c r="IF40" s="621"/>
      <c r="IG40" s="621"/>
      <c r="IH40" s="621"/>
      <c r="II40" s="621"/>
      <c r="IJ40" s="621"/>
      <c r="IK40" s="621"/>
      <c r="IL40" s="621"/>
      <c r="IM40" s="621"/>
      <c r="IN40" s="621"/>
      <c r="IO40" s="621"/>
      <c r="IP40" s="621"/>
      <c r="IQ40" s="621"/>
      <c r="IR40" s="621"/>
      <c r="IS40" s="621"/>
      <c r="IT40" s="621"/>
      <c r="IU40" s="621"/>
      <c r="IV40" s="621"/>
      <c r="IW40" s="621"/>
      <c r="IX40" s="621"/>
      <c r="IY40" s="621"/>
      <c r="IZ40" s="621"/>
      <c r="JA40" s="621"/>
      <c r="JB40" s="621"/>
      <c r="JC40" s="621"/>
      <c r="JD40" s="621"/>
      <c r="JE40" s="621"/>
      <c r="JF40" s="621"/>
      <c r="JG40" s="621"/>
      <c r="JH40" s="621"/>
      <c r="JI40" s="621"/>
      <c r="JJ40" s="621"/>
      <c r="JK40" s="621"/>
      <c r="JL40" s="621"/>
      <c r="JM40" s="621"/>
      <c r="JN40" s="621"/>
      <c r="JO40" s="621"/>
      <c r="JP40" s="621"/>
      <c r="JQ40" s="621"/>
      <c r="JR40" s="621"/>
      <c r="JS40" s="621"/>
      <c r="JT40" s="621"/>
      <c r="JU40" s="621"/>
      <c r="JV40" s="621"/>
      <c r="JW40" s="621"/>
      <c r="JX40" s="621"/>
      <c r="JY40" s="621"/>
      <c r="JZ40" s="621"/>
      <c r="KA40" s="621"/>
      <c r="KB40" s="621"/>
      <c r="KC40" s="621"/>
      <c r="KD40" s="621"/>
      <c r="KE40" s="621"/>
      <c r="KF40" s="621"/>
      <c r="KG40" s="621"/>
      <c r="KH40" s="621"/>
      <c r="KI40" s="621"/>
      <c r="KJ40" s="621"/>
      <c r="KK40" s="621"/>
      <c r="KL40" s="621"/>
      <c r="KM40" s="621"/>
      <c r="KN40" s="621"/>
      <c r="KO40" s="621"/>
      <c r="KP40" s="621"/>
      <c r="KQ40" s="621"/>
      <c r="KR40" s="621"/>
      <c r="KS40" s="621"/>
      <c r="KT40" s="621"/>
      <c r="KU40" s="621"/>
      <c r="KV40" s="621"/>
      <c r="KW40" s="621"/>
      <c r="KX40" s="621"/>
      <c r="KY40" s="621"/>
      <c r="KZ40" s="621"/>
      <c r="LA40" s="621"/>
      <c r="LB40" s="621"/>
      <c r="LC40" s="621"/>
      <c r="LD40" s="621"/>
      <c r="LE40" s="621"/>
      <c r="LF40" s="621"/>
      <c r="LG40" s="621"/>
      <c r="LH40" s="621"/>
      <c r="LI40" s="621"/>
      <c r="LJ40" s="621"/>
      <c r="LK40" s="621"/>
      <c r="LL40" s="621"/>
      <c r="LM40" s="621"/>
      <c r="LN40" s="621"/>
      <c r="LO40" s="621"/>
      <c r="LP40" s="621"/>
      <c r="LQ40" s="621"/>
      <c r="LR40" s="621"/>
      <c r="LS40" s="621"/>
      <c r="LT40" s="621"/>
      <c r="LU40" s="621"/>
      <c r="LV40" s="621"/>
      <c r="LW40" s="621"/>
      <c r="LX40" s="621"/>
      <c r="LY40" s="621"/>
      <c r="LZ40" s="621"/>
      <c r="MA40" s="621"/>
      <c r="MB40" s="621"/>
      <c r="MC40" s="621"/>
      <c r="MD40" s="621"/>
      <c r="ME40" s="621"/>
      <c r="MF40" s="621"/>
      <c r="MG40" s="621"/>
      <c r="MH40" s="621"/>
      <c r="MI40" s="621"/>
      <c r="MJ40" s="621"/>
      <c r="MK40" s="621"/>
      <c r="ML40" s="621"/>
      <c r="MM40" s="621"/>
      <c r="MN40" s="621"/>
      <c r="MO40" s="621"/>
      <c r="MP40" s="621"/>
      <c r="MQ40" s="621"/>
      <c r="MR40" s="621"/>
      <c r="MS40" s="621"/>
      <c r="MT40" s="621"/>
      <c r="MU40" s="621"/>
      <c r="MV40" s="621"/>
      <c r="MW40" s="621"/>
      <c r="MX40" s="621"/>
      <c r="MY40" s="621"/>
      <c r="MZ40" s="621"/>
      <c r="NA40" s="621"/>
      <c r="NB40" s="621"/>
      <c r="NC40" s="621"/>
      <c r="ND40" s="621"/>
      <c r="NE40" s="621"/>
      <c r="NF40" s="621"/>
      <c r="NG40" s="621"/>
      <c r="NH40" s="621"/>
      <c r="NI40" s="621"/>
      <c r="NJ40" s="621"/>
      <c r="NK40" s="621"/>
      <c r="NL40" s="621"/>
      <c r="NM40" s="621"/>
      <c r="NN40" s="621"/>
      <c r="NO40" s="621"/>
      <c r="NP40" s="621"/>
      <c r="NQ40" s="621"/>
      <c r="NR40" s="621"/>
      <c r="NS40" s="621"/>
      <c r="NT40" s="621"/>
      <c r="NU40" s="621"/>
      <c r="NV40" s="621"/>
      <c r="NW40" s="621"/>
      <c r="NX40" s="621"/>
      <c r="NY40" s="621"/>
      <c r="NZ40" s="621"/>
      <c r="OA40" s="621"/>
      <c r="OB40" s="621"/>
      <c r="OC40" s="621"/>
      <c r="OD40" s="621"/>
      <c r="OE40" s="621"/>
      <c r="OF40" s="621"/>
      <c r="OG40" s="621"/>
      <c r="OH40" s="621"/>
      <c r="OI40" s="621"/>
      <c r="OJ40" s="621"/>
      <c r="OK40" s="621"/>
      <c r="OL40" s="621"/>
      <c r="OM40" s="621"/>
      <c r="ON40" s="621"/>
      <c r="OO40" s="621"/>
      <c r="OP40" s="621"/>
      <c r="OQ40" s="621"/>
      <c r="OR40" s="621"/>
      <c r="OS40" s="621"/>
      <c r="OT40" s="621"/>
      <c r="OU40" s="621"/>
      <c r="OV40" s="621"/>
      <c r="OW40" s="621"/>
      <c r="OX40" s="621"/>
      <c r="OY40" s="621"/>
      <c r="OZ40" s="621"/>
      <c r="PA40" s="621"/>
      <c r="PB40" s="621"/>
      <c r="PC40" s="621"/>
      <c r="PD40" s="621"/>
      <c r="PE40" s="621"/>
      <c r="PF40" s="621"/>
      <c r="PG40" s="621"/>
      <c r="PH40" s="621"/>
      <c r="PI40" s="621"/>
      <c r="PJ40" s="621"/>
      <c r="PK40" s="621"/>
      <c r="PL40" s="621"/>
      <c r="PM40" s="621"/>
      <c r="PN40" s="621"/>
      <c r="PO40" s="621"/>
      <c r="PP40" s="621"/>
      <c r="PQ40" s="621"/>
      <c r="PR40" s="621"/>
      <c r="PS40" s="621"/>
      <c r="PT40" s="621"/>
      <c r="PU40" s="621"/>
      <c r="PV40" s="621"/>
      <c r="PW40" s="621"/>
      <c r="PX40" s="621"/>
      <c r="PY40" s="621"/>
      <c r="PZ40" s="621"/>
      <c r="QA40" s="621"/>
      <c r="QB40" s="621"/>
      <c r="QC40" s="621"/>
      <c r="QD40" s="621"/>
      <c r="QE40" s="621"/>
      <c r="QF40" s="621"/>
      <c r="QG40" s="621"/>
      <c r="QH40" s="621"/>
      <c r="QI40" s="621"/>
      <c r="QJ40" s="621"/>
      <c r="QK40" s="621"/>
      <c r="QL40" s="621"/>
      <c r="QM40" s="621"/>
      <c r="QN40" s="621"/>
      <c r="QO40" s="621"/>
      <c r="QP40" s="621"/>
      <c r="QQ40" s="621"/>
      <c r="QR40" s="621"/>
      <c r="QS40" s="621"/>
      <c r="QT40" s="621"/>
      <c r="QU40" s="621"/>
      <c r="QV40" s="621"/>
      <c r="QW40" s="621"/>
      <c r="QX40" s="621"/>
      <c r="QY40" s="621"/>
      <c r="QZ40" s="621"/>
      <c r="RA40" s="621"/>
      <c r="RB40" s="621"/>
      <c r="RC40" s="621"/>
      <c r="RD40" s="621"/>
      <c r="RE40" s="621"/>
      <c r="RF40" s="621"/>
      <c r="RG40" s="621"/>
      <c r="RH40" s="621"/>
      <c r="RI40" s="621"/>
      <c r="RJ40" s="621"/>
      <c r="RK40" s="621"/>
      <c r="RL40" s="621"/>
      <c r="RM40" s="621"/>
      <c r="RN40" s="621"/>
      <c r="RO40" s="621"/>
      <c r="RP40" s="621"/>
      <c r="RQ40" s="621"/>
      <c r="RR40" s="621"/>
      <c r="RS40" s="621"/>
      <c r="RT40" s="621"/>
      <c r="RU40" s="621"/>
      <c r="RV40" s="621"/>
      <c r="RW40" s="621"/>
      <c r="RX40" s="621"/>
      <c r="RY40" s="621"/>
      <c r="RZ40" s="621"/>
      <c r="SA40" s="621"/>
      <c r="SB40" s="621"/>
      <c r="SC40" s="621"/>
      <c r="SD40" s="621"/>
      <c r="SE40" s="621"/>
      <c r="SF40" s="621"/>
      <c r="SG40" s="621"/>
      <c r="SH40" s="621"/>
      <c r="SI40" s="621"/>
      <c r="SJ40" s="621"/>
      <c r="SK40" s="621"/>
      <c r="SL40" s="621"/>
      <c r="SM40" s="621"/>
      <c r="SN40" s="621"/>
      <c r="SO40" s="621"/>
      <c r="SP40" s="621"/>
      <c r="SQ40" s="621"/>
      <c r="SR40" s="621"/>
      <c r="SS40" s="621"/>
      <c r="ST40" s="621"/>
      <c r="SU40" s="621"/>
      <c r="SV40" s="621"/>
      <c r="SW40" s="621"/>
      <c r="SX40" s="621"/>
      <c r="SY40" s="621"/>
      <c r="SZ40" s="621"/>
      <c r="TA40" s="621"/>
      <c r="TB40" s="621"/>
      <c r="TC40" s="621"/>
      <c r="TD40" s="621"/>
      <c r="TE40" s="621"/>
      <c r="TF40" s="621"/>
      <c r="TG40" s="621"/>
      <c r="TH40" s="621"/>
      <c r="TI40" s="621"/>
      <c r="TJ40" s="621"/>
      <c r="TK40" s="621"/>
      <c r="TL40" s="621"/>
      <c r="TM40" s="621"/>
      <c r="TN40" s="621"/>
      <c r="TO40" s="621"/>
      <c r="TP40" s="621"/>
      <c r="TQ40" s="621"/>
      <c r="TR40" s="621"/>
      <c r="TS40" s="621"/>
      <c r="TT40" s="621"/>
      <c r="TU40" s="621"/>
      <c r="TV40" s="621"/>
      <c r="TW40" s="621"/>
      <c r="TX40" s="621"/>
      <c r="TY40" s="621"/>
      <c r="TZ40" s="621"/>
      <c r="UA40" s="621"/>
      <c r="UB40" s="621"/>
      <c r="UC40" s="621"/>
      <c r="UD40" s="621"/>
      <c r="UE40" s="621"/>
      <c r="UF40" s="621"/>
      <c r="UG40" s="621"/>
      <c r="UH40" s="621"/>
      <c r="UI40" s="621"/>
      <c r="UJ40" s="621"/>
      <c r="UK40" s="621"/>
      <c r="UL40" s="621"/>
      <c r="UM40" s="621"/>
      <c r="UN40" s="621"/>
      <c r="UO40" s="621"/>
      <c r="UP40" s="621"/>
      <c r="UQ40" s="621"/>
      <c r="UR40" s="621"/>
      <c r="US40" s="621"/>
      <c r="UT40" s="621"/>
      <c r="UU40" s="621"/>
      <c r="UV40" s="621"/>
      <c r="UW40" s="621"/>
      <c r="UX40" s="621"/>
      <c r="UY40" s="621"/>
      <c r="UZ40" s="621"/>
      <c r="VA40" s="621"/>
      <c r="VB40" s="621"/>
      <c r="VC40" s="621"/>
      <c r="VD40" s="621"/>
      <c r="VE40" s="621"/>
      <c r="VF40" s="621"/>
      <c r="VG40" s="621"/>
      <c r="VH40" s="621"/>
      <c r="VI40" s="621"/>
      <c r="VJ40" s="621"/>
      <c r="VK40" s="621"/>
      <c r="VL40" s="621"/>
      <c r="VM40" s="621"/>
      <c r="VN40" s="621"/>
      <c r="VO40" s="621"/>
      <c r="VP40" s="621"/>
      <c r="VQ40" s="621"/>
      <c r="VR40" s="621"/>
      <c r="VS40" s="621"/>
      <c r="VT40" s="621"/>
      <c r="VU40" s="621"/>
      <c r="VV40" s="621"/>
      <c r="VW40" s="621"/>
      <c r="VX40" s="621"/>
      <c r="VY40" s="621"/>
      <c r="VZ40" s="621"/>
      <c r="WA40" s="621"/>
      <c r="WB40" s="621"/>
      <c r="WC40" s="621"/>
      <c r="WD40" s="621"/>
      <c r="WE40" s="621"/>
      <c r="WF40" s="621"/>
      <c r="WG40" s="621"/>
      <c r="WH40" s="621"/>
      <c r="WI40" s="621"/>
      <c r="WJ40" s="621"/>
      <c r="WK40" s="621"/>
      <c r="WL40" s="621"/>
      <c r="WM40" s="621"/>
      <c r="WN40" s="621"/>
      <c r="WO40" s="621"/>
      <c r="WP40" s="621"/>
      <c r="WQ40" s="621"/>
      <c r="WR40" s="621"/>
      <c r="WS40" s="621"/>
      <c r="WT40" s="621"/>
      <c r="WU40" s="621"/>
      <c r="WV40" s="621"/>
      <c r="WW40" s="621"/>
      <c r="WX40" s="621"/>
      <c r="WY40" s="621"/>
      <c r="WZ40" s="621"/>
      <c r="XA40" s="621"/>
      <c r="XB40" s="621"/>
      <c r="XC40" s="621"/>
      <c r="XD40" s="621"/>
      <c r="XE40" s="621"/>
      <c r="XF40" s="621"/>
      <c r="XG40" s="621"/>
      <c r="XH40" s="621"/>
      <c r="XI40" s="621"/>
      <c r="XJ40" s="621"/>
      <c r="XK40" s="621"/>
      <c r="XL40" s="621"/>
      <c r="XM40" s="621"/>
      <c r="XN40" s="621"/>
      <c r="XO40" s="621"/>
      <c r="XP40" s="621"/>
      <c r="XQ40" s="621"/>
      <c r="XR40" s="621"/>
      <c r="XS40" s="621"/>
      <c r="XT40" s="621"/>
      <c r="XU40" s="621"/>
      <c r="XV40" s="621"/>
      <c r="XW40" s="621"/>
      <c r="XX40" s="621"/>
      <c r="XY40" s="621"/>
      <c r="XZ40" s="621"/>
      <c r="YA40" s="621"/>
      <c r="YB40" s="621"/>
      <c r="YC40" s="621"/>
      <c r="YD40" s="621"/>
      <c r="YE40" s="621"/>
      <c r="YF40" s="621"/>
      <c r="YG40" s="621"/>
      <c r="YH40" s="621"/>
      <c r="YI40" s="621"/>
      <c r="YJ40" s="621"/>
      <c r="YK40" s="621"/>
      <c r="YL40" s="621"/>
      <c r="YM40" s="621"/>
      <c r="YN40" s="621"/>
      <c r="YO40" s="621"/>
      <c r="YP40" s="621"/>
      <c r="YQ40" s="621"/>
      <c r="YR40" s="621"/>
      <c r="YS40" s="621"/>
      <c r="YT40" s="621"/>
      <c r="YU40" s="621"/>
      <c r="YV40" s="621"/>
      <c r="YW40" s="621"/>
      <c r="YX40" s="621"/>
      <c r="YY40" s="621"/>
      <c r="YZ40" s="621"/>
      <c r="ZA40" s="621"/>
      <c r="ZB40" s="621"/>
      <c r="ZC40" s="621"/>
      <c r="ZD40" s="621"/>
      <c r="ZE40" s="621"/>
      <c r="ZF40" s="621"/>
      <c r="ZG40" s="621"/>
      <c r="ZH40" s="621"/>
      <c r="ZI40" s="621"/>
      <c r="ZJ40" s="621"/>
      <c r="ZK40" s="621"/>
      <c r="ZL40" s="621"/>
      <c r="ZM40" s="621"/>
      <c r="ZN40" s="621"/>
      <c r="ZO40" s="621"/>
      <c r="ZP40" s="621"/>
      <c r="ZQ40" s="621"/>
      <c r="ZR40" s="621"/>
      <c r="ZS40" s="621"/>
      <c r="ZT40" s="621"/>
      <c r="ZU40" s="621"/>
      <c r="ZV40" s="621"/>
      <c r="ZW40" s="621"/>
      <c r="ZX40" s="621"/>
      <c r="ZY40" s="621"/>
      <c r="ZZ40" s="621"/>
      <c r="AAA40" s="621"/>
      <c r="AAB40" s="621"/>
      <c r="AAC40" s="621"/>
      <c r="AAD40" s="621"/>
      <c r="AAE40" s="621"/>
      <c r="AAF40" s="621"/>
      <c r="AAG40" s="621"/>
      <c r="AAH40" s="621"/>
      <c r="AAI40" s="621"/>
      <c r="AAJ40" s="621"/>
      <c r="AAK40" s="621"/>
      <c r="AAL40" s="621"/>
      <c r="AAM40" s="621"/>
      <c r="AAN40" s="621"/>
      <c r="AAO40" s="621"/>
      <c r="AAP40" s="621"/>
      <c r="AAQ40" s="621"/>
      <c r="AAR40" s="621"/>
      <c r="AAS40" s="621"/>
      <c r="AAT40" s="621"/>
      <c r="AAU40" s="621"/>
      <c r="AAV40" s="621"/>
      <c r="AAW40" s="621"/>
      <c r="AAX40" s="621"/>
      <c r="AAY40" s="621"/>
      <c r="AAZ40" s="621"/>
      <c r="ABA40" s="621"/>
      <c r="ABB40" s="621"/>
      <c r="ABC40" s="621"/>
      <c r="ABD40" s="621"/>
      <c r="ABE40" s="621"/>
      <c r="ABF40" s="621"/>
      <c r="ABG40" s="621"/>
      <c r="ABH40" s="621"/>
      <c r="ABI40" s="621"/>
      <c r="ABJ40" s="621"/>
      <c r="ABK40" s="621"/>
      <c r="ABL40" s="621"/>
      <c r="ABM40" s="621"/>
      <c r="ABN40" s="621"/>
      <c r="ABO40" s="621"/>
      <c r="ABP40" s="621"/>
      <c r="ABQ40" s="621"/>
      <c r="ABR40" s="621"/>
      <c r="ABS40" s="621"/>
      <c r="ABT40" s="621"/>
      <c r="ABU40" s="621"/>
      <c r="ABV40" s="621"/>
      <c r="ABW40" s="621"/>
      <c r="ABX40" s="621"/>
      <c r="ABY40" s="621"/>
      <c r="ABZ40" s="621"/>
      <c r="ACA40" s="621"/>
      <c r="ACB40" s="621"/>
      <c r="ACC40" s="621"/>
      <c r="ACD40" s="621"/>
      <c r="ACE40" s="621"/>
      <c r="ACF40" s="621"/>
      <c r="ACG40" s="621"/>
      <c r="ACH40" s="621"/>
      <c r="ACI40" s="621"/>
      <c r="ACJ40" s="621"/>
      <c r="ACK40" s="621"/>
      <c r="ACL40" s="621"/>
      <c r="ACM40" s="621"/>
      <c r="ACN40" s="621"/>
      <c r="ACO40" s="621"/>
      <c r="ACP40" s="621"/>
      <c r="ACQ40" s="621"/>
      <c r="ACR40" s="621"/>
      <c r="ACS40" s="621"/>
      <c r="ACT40" s="621"/>
      <c r="ACU40" s="621"/>
      <c r="ACV40" s="621"/>
      <c r="ACW40" s="621"/>
      <c r="ACX40" s="621"/>
      <c r="ACY40" s="621"/>
      <c r="ACZ40" s="621"/>
      <c r="ADA40" s="621"/>
      <c r="ADB40" s="621"/>
      <c r="ADC40" s="621"/>
      <c r="ADD40" s="621"/>
      <c r="ADE40" s="621"/>
      <c r="ADF40" s="621"/>
      <c r="ADG40" s="621"/>
      <c r="ADH40" s="621"/>
      <c r="ADI40" s="621"/>
      <c r="ADJ40" s="621"/>
      <c r="ADK40" s="621"/>
      <c r="ADL40" s="621"/>
      <c r="ADM40" s="621"/>
      <c r="ADN40" s="621"/>
      <c r="ADO40" s="621"/>
      <c r="ADP40" s="621"/>
      <c r="ADQ40" s="621"/>
      <c r="ADR40" s="621"/>
      <c r="ADS40" s="621"/>
      <c r="ADT40" s="621"/>
      <c r="ADU40" s="621"/>
      <c r="ADV40" s="621"/>
      <c r="ADW40" s="621"/>
      <c r="ADX40" s="621"/>
      <c r="ADY40" s="621"/>
      <c r="ADZ40" s="621"/>
      <c r="AEA40" s="621"/>
      <c r="AEB40" s="621"/>
      <c r="AEC40" s="621"/>
      <c r="AED40" s="621"/>
      <c r="AEE40" s="621"/>
      <c r="AEF40" s="621"/>
      <c r="AEG40" s="621"/>
      <c r="AEH40" s="621"/>
      <c r="AEI40" s="621"/>
      <c r="AEJ40" s="621"/>
      <c r="AEK40" s="621"/>
      <c r="AEL40" s="621"/>
      <c r="AEM40" s="621"/>
      <c r="AEN40" s="621"/>
      <c r="AEO40" s="621"/>
      <c r="AEP40" s="621"/>
      <c r="AEQ40" s="621"/>
      <c r="AER40" s="621"/>
      <c r="AES40" s="621"/>
      <c r="AET40" s="621"/>
      <c r="AEU40" s="621"/>
      <c r="AEV40" s="621"/>
      <c r="AEW40" s="621"/>
      <c r="AEX40" s="621"/>
      <c r="AEY40" s="621"/>
      <c r="AEZ40" s="621"/>
      <c r="AFA40" s="621"/>
      <c r="AFB40" s="621"/>
      <c r="AFC40" s="621"/>
      <c r="AFD40" s="621"/>
      <c r="AFE40" s="621"/>
      <c r="AFF40" s="621"/>
      <c r="AFG40" s="621"/>
      <c r="AFH40" s="621"/>
      <c r="AFI40" s="621"/>
      <c r="AFJ40" s="621"/>
      <c r="AFK40" s="621"/>
      <c r="AFL40" s="621"/>
      <c r="AFM40" s="621"/>
      <c r="AFN40" s="621"/>
      <c r="AFO40" s="621"/>
      <c r="AFP40" s="621"/>
      <c r="AFQ40" s="621"/>
      <c r="AFR40" s="621"/>
      <c r="AFS40" s="621"/>
      <c r="AFT40" s="621"/>
      <c r="AFU40" s="621"/>
      <c r="AFV40" s="621"/>
      <c r="AFW40" s="621"/>
      <c r="AFX40" s="621"/>
      <c r="AFY40" s="621"/>
      <c r="AFZ40" s="621"/>
      <c r="AGA40" s="621"/>
      <c r="AGB40" s="621"/>
      <c r="AGC40" s="621"/>
      <c r="AGD40" s="621"/>
      <c r="AGE40" s="621"/>
      <c r="AGF40" s="621"/>
      <c r="AGG40" s="621"/>
      <c r="AGH40" s="621"/>
      <c r="AGI40" s="621"/>
      <c r="AGJ40" s="621"/>
      <c r="AGK40" s="621"/>
      <c r="AGL40" s="621"/>
      <c r="AGM40" s="621"/>
      <c r="AGN40" s="621"/>
      <c r="AGO40" s="621"/>
      <c r="AGP40" s="621"/>
      <c r="AGQ40" s="621"/>
      <c r="AGR40" s="621"/>
      <c r="AGS40" s="621"/>
      <c r="AGT40" s="621"/>
      <c r="AGU40" s="621"/>
      <c r="AGV40" s="621"/>
      <c r="AGW40" s="621"/>
      <c r="AGX40" s="621"/>
      <c r="AGY40" s="621"/>
      <c r="AGZ40" s="621"/>
      <c r="AHA40" s="621"/>
      <c r="AHB40" s="621"/>
      <c r="AHC40" s="621"/>
      <c r="AHD40" s="621"/>
      <c r="AHE40" s="621"/>
      <c r="AHF40" s="621"/>
      <c r="AHG40" s="621"/>
      <c r="AHH40" s="621"/>
      <c r="AHI40" s="621"/>
      <c r="AHJ40" s="621"/>
      <c r="AHK40" s="621"/>
      <c r="AHL40" s="621"/>
      <c r="AHM40" s="621"/>
      <c r="AHN40" s="621"/>
      <c r="AHO40" s="621"/>
      <c r="AHP40" s="621"/>
      <c r="AHQ40" s="621"/>
      <c r="AHR40" s="621"/>
      <c r="AHS40" s="621"/>
      <c r="AHT40" s="621"/>
      <c r="AHU40" s="621"/>
      <c r="AHV40" s="621"/>
      <c r="AHW40" s="621"/>
      <c r="AHX40" s="621"/>
      <c r="AHY40" s="621"/>
      <c r="AHZ40" s="621"/>
      <c r="AIA40" s="621"/>
      <c r="AIB40" s="621"/>
      <c r="AIC40" s="621"/>
      <c r="AID40" s="621"/>
      <c r="AIE40" s="621"/>
      <c r="AIF40" s="621"/>
      <c r="AIG40" s="621"/>
      <c r="AIH40" s="621"/>
      <c r="AII40" s="621"/>
      <c r="AIJ40" s="621"/>
      <c r="AIK40" s="621"/>
      <c r="AIL40" s="621"/>
      <c r="AIM40" s="621"/>
      <c r="AIN40" s="621"/>
      <c r="AIO40" s="621"/>
      <c r="AIP40" s="621"/>
      <c r="AIQ40" s="621"/>
      <c r="AIR40" s="621"/>
      <c r="AIS40" s="621"/>
      <c r="AIT40" s="621"/>
      <c r="AIU40" s="621"/>
      <c r="AIV40" s="621"/>
      <c r="AIW40" s="621"/>
      <c r="AIX40" s="621"/>
      <c r="AIY40" s="621"/>
      <c r="AIZ40" s="621"/>
      <c r="AJA40" s="621"/>
      <c r="AJB40" s="621"/>
      <c r="AJC40" s="621"/>
      <c r="AJD40" s="621"/>
      <c r="AJE40" s="621"/>
      <c r="AJF40" s="621"/>
      <c r="AJG40" s="621"/>
      <c r="AJH40" s="621"/>
      <c r="AJI40" s="621"/>
      <c r="AJJ40" s="621"/>
      <c r="AJK40" s="621"/>
      <c r="AJL40" s="621"/>
      <c r="AJM40" s="621"/>
      <c r="AJN40" s="621"/>
      <c r="AJO40" s="621"/>
      <c r="AJP40" s="621"/>
      <c r="AJQ40" s="621"/>
      <c r="AJR40" s="621"/>
      <c r="AJS40" s="621"/>
      <c r="AJT40" s="621"/>
      <c r="AJU40" s="621"/>
      <c r="AJV40" s="621"/>
      <c r="AJW40" s="621"/>
      <c r="AJX40" s="621"/>
      <c r="AJY40" s="621"/>
      <c r="AJZ40" s="621"/>
      <c r="AKA40" s="621"/>
      <c r="AKB40" s="621"/>
      <c r="AKC40" s="621"/>
      <c r="AKD40" s="621"/>
      <c r="AKE40" s="621"/>
      <c r="AKF40" s="621"/>
      <c r="AKG40" s="621"/>
      <c r="AKH40" s="621"/>
      <c r="AKI40" s="621"/>
      <c r="AKJ40" s="621"/>
      <c r="AKK40" s="621"/>
      <c r="AKL40" s="621"/>
      <c r="AKM40" s="621"/>
      <c r="AKN40" s="621"/>
      <c r="AKO40" s="621"/>
      <c r="AKP40" s="621"/>
      <c r="AKQ40" s="621"/>
      <c r="AKR40" s="621"/>
      <c r="AKS40" s="621"/>
      <c r="AKT40" s="621"/>
      <c r="AKU40" s="621"/>
      <c r="AKV40" s="621"/>
      <c r="AKW40" s="621"/>
      <c r="AKX40" s="621"/>
      <c r="AKY40" s="621"/>
      <c r="AKZ40" s="621"/>
      <c r="ALA40" s="621"/>
      <c r="ALB40" s="621"/>
      <c r="ALC40" s="621"/>
      <c r="ALD40" s="621"/>
      <c r="ALE40" s="621"/>
      <c r="ALF40" s="621"/>
      <c r="ALG40" s="621"/>
      <c r="ALH40" s="621"/>
      <c r="ALI40" s="621"/>
      <c r="ALJ40" s="621"/>
      <c r="ALK40" s="621"/>
      <c r="ALL40" s="621"/>
      <c r="ALM40" s="621"/>
      <c r="ALN40" s="621"/>
      <c r="ALO40" s="621"/>
      <c r="ALP40" s="621"/>
      <c r="ALQ40" s="621"/>
      <c r="ALR40" s="621"/>
      <c r="ALS40" s="621"/>
      <c r="ALT40" s="621"/>
      <c r="ALU40" s="621"/>
      <c r="ALV40" s="621"/>
      <c r="ALW40" s="621"/>
      <c r="ALX40" s="621"/>
      <c r="ALY40" s="621"/>
      <c r="ALZ40" s="621"/>
      <c r="AMA40" s="621"/>
      <c r="AMB40" s="621"/>
      <c r="AMC40" s="621"/>
      <c r="AMD40" s="621"/>
      <c r="AME40" s="621"/>
      <c r="AMF40" s="621"/>
      <c r="AMG40" s="621"/>
      <c r="AMH40" s="621"/>
      <c r="AMI40" s="621"/>
      <c r="AMJ40" s="621"/>
      <c r="AMK40" s="621"/>
    </row>
    <row r="41" spans="1:1025" ht="35.25" customHeight="1">
      <c r="A41" s="374" t="s">
        <v>375</v>
      </c>
      <c r="B41" s="421" t="s">
        <v>301</v>
      </c>
      <c r="C41" s="421">
        <f>SUM(C42:C46)</f>
        <v>712232</v>
      </c>
      <c r="D41" s="422">
        <f>SUM(D42:D46)</f>
        <v>444704.69999999995</v>
      </c>
      <c r="E41" s="2043"/>
      <c r="F41" s="2043"/>
      <c r="G41" s="393"/>
      <c r="H41" s="414"/>
      <c r="I41" s="1497"/>
      <c r="J41" s="1498">
        <v>516890.05499999999</v>
      </c>
      <c r="K41" s="594">
        <f>+D41-J41</f>
        <v>-72185.35500000004</v>
      </c>
      <c r="L41" s="413"/>
      <c r="M41" s="416"/>
      <c r="N41" s="1446"/>
      <c r="O41" s="1446"/>
      <c r="P41" s="396"/>
      <c r="T41" s="397"/>
      <c r="U41" s="397"/>
      <c r="V41" s="328" t="s">
        <v>317</v>
      </c>
      <c r="W41" s="410">
        <v>13.17</v>
      </c>
      <c r="X41" s="410"/>
      <c r="Y41" s="411">
        <f t="shared" si="8"/>
        <v>0</v>
      </c>
      <c r="Z41" s="398"/>
      <c r="AA41" s="399"/>
      <c r="AB41" s="260"/>
      <c r="AC41" s="386"/>
      <c r="AD41" s="1482"/>
      <c r="AE41" s="1482"/>
      <c r="AF41" s="1482"/>
      <c r="AG41" s="1482"/>
      <c r="AH41" s="1482"/>
      <c r="AI41" s="1482"/>
      <c r="AJ41" s="1480"/>
      <c r="AK41" s="1481"/>
      <c r="AL41" s="1480"/>
      <c r="AM41" s="289"/>
      <c r="AN41" s="260"/>
      <c r="AO41" s="260"/>
      <c r="AQ41" s="621"/>
      <c r="AR41" s="621"/>
      <c r="AS41" s="621"/>
      <c r="AT41" s="621"/>
      <c r="AU41" s="621"/>
      <c r="AV41" s="621"/>
      <c r="AW41" s="621"/>
      <c r="AX41" s="621"/>
      <c r="AY41" s="621"/>
      <c r="AZ41" s="621"/>
      <c r="BA41" s="621"/>
      <c r="BB41" s="621"/>
      <c r="BC41" s="621"/>
      <c r="BD41" s="621"/>
      <c r="BE41" s="621"/>
      <c r="BF41" s="621"/>
      <c r="BG41" s="621"/>
      <c r="BH41" s="621"/>
      <c r="BI41" s="621"/>
      <c r="BJ41" s="621"/>
      <c r="BK41" s="621"/>
      <c r="BL41" s="621"/>
      <c r="BM41" s="621"/>
      <c r="BN41" s="621"/>
      <c r="BO41" s="621"/>
      <c r="BP41" s="621"/>
      <c r="BQ41" s="621"/>
      <c r="BR41" s="621"/>
      <c r="BS41" s="621"/>
      <c r="BT41" s="621"/>
      <c r="BU41" s="621"/>
      <c r="BV41" s="621"/>
      <c r="BW41" s="621"/>
      <c r="BX41" s="621"/>
      <c r="BY41" s="621"/>
      <c r="BZ41" s="621"/>
      <c r="CA41" s="621"/>
      <c r="CB41" s="621"/>
      <c r="CC41" s="621"/>
      <c r="CD41" s="621"/>
      <c r="CE41" s="621"/>
      <c r="CF41" s="621"/>
      <c r="CG41" s="621"/>
      <c r="CH41" s="621"/>
      <c r="CI41" s="621"/>
      <c r="CJ41" s="621"/>
      <c r="CK41" s="621"/>
      <c r="CL41" s="621"/>
      <c r="CM41" s="621"/>
      <c r="CN41" s="621"/>
      <c r="CO41" s="621"/>
      <c r="CP41" s="621"/>
      <c r="CQ41" s="621"/>
      <c r="CR41" s="621"/>
      <c r="CS41" s="621"/>
      <c r="CT41" s="621"/>
      <c r="CU41" s="621"/>
      <c r="CV41" s="621"/>
      <c r="CW41" s="621"/>
      <c r="CX41" s="621"/>
      <c r="CY41" s="621"/>
      <c r="CZ41" s="621"/>
      <c r="DA41" s="621"/>
      <c r="DB41" s="621"/>
      <c r="DC41" s="621"/>
      <c r="DD41" s="621"/>
      <c r="DE41" s="621"/>
      <c r="DF41" s="621"/>
      <c r="DG41" s="621"/>
      <c r="DH41" s="621"/>
      <c r="DI41" s="621"/>
      <c r="DJ41" s="621"/>
      <c r="DK41" s="621"/>
      <c r="DL41" s="621"/>
      <c r="DM41" s="621"/>
      <c r="DN41" s="621"/>
      <c r="DO41" s="621"/>
      <c r="DP41" s="621"/>
      <c r="DQ41" s="621"/>
      <c r="DR41" s="621"/>
      <c r="DS41" s="621"/>
      <c r="DT41" s="621"/>
      <c r="DU41" s="621"/>
      <c r="DV41" s="621"/>
      <c r="DW41" s="621"/>
      <c r="DX41" s="621"/>
      <c r="DY41" s="621"/>
      <c r="DZ41" s="621"/>
      <c r="EA41" s="621"/>
      <c r="EB41" s="621"/>
      <c r="EC41" s="621"/>
      <c r="ED41" s="621"/>
      <c r="EE41" s="621"/>
      <c r="EF41" s="621"/>
      <c r="EG41" s="621"/>
      <c r="EH41" s="621"/>
      <c r="EI41" s="621"/>
      <c r="EJ41" s="621"/>
      <c r="EK41" s="621"/>
      <c r="EL41" s="621"/>
      <c r="EM41" s="621"/>
      <c r="EN41" s="621"/>
      <c r="EO41" s="621"/>
      <c r="EP41" s="621"/>
      <c r="EQ41" s="621"/>
      <c r="ER41" s="621"/>
      <c r="ES41" s="621"/>
      <c r="ET41" s="621"/>
      <c r="EU41" s="621"/>
      <c r="EV41" s="621"/>
      <c r="EW41" s="621"/>
      <c r="EX41" s="621"/>
      <c r="EY41" s="621"/>
      <c r="EZ41" s="621"/>
      <c r="FA41" s="621"/>
      <c r="FB41" s="621"/>
      <c r="FC41" s="621"/>
      <c r="FD41" s="621"/>
      <c r="FE41" s="621"/>
      <c r="FF41" s="621"/>
      <c r="FG41" s="621"/>
      <c r="FH41" s="621"/>
      <c r="FI41" s="621"/>
      <c r="FJ41" s="621"/>
      <c r="FK41" s="621"/>
      <c r="FL41" s="621"/>
      <c r="FM41" s="621"/>
      <c r="FN41" s="621"/>
      <c r="FO41" s="621"/>
      <c r="FP41" s="621"/>
      <c r="FQ41" s="621"/>
      <c r="FR41" s="621"/>
      <c r="FS41" s="621"/>
      <c r="FT41" s="621"/>
      <c r="FU41" s="621"/>
      <c r="FV41" s="621"/>
      <c r="FW41" s="621"/>
      <c r="FX41" s="621"/>
      <c r="FY41" s="621"/>
      <c r="FZ41" s="621"/>
      <c r="GA41" s="621"/>
      <c r="GB41" s="621"/>
      <c r="GC41" s="621"/>
      <c r="GD41" s="621"/>
      <c r="GE41" s="621"/>
      <c r="GF41" s="621"/>
      <c r="GG41" s="621"/>
      <c r="GH41" s="621"/>
      <c r="GI41" s="621"/>
      <c r="GJ41" s="621"/>
      <c r="GK41" s="621"/>
      <c r="GL41" s="621"/>
      <c r="GM41" s="621"/>
      <c r="GN41" s="621"/>
      <c r="GO41" s="621"/>
      <c r="GP41" s="621"/>
      <c r="GQ41" s="621"/>
      <c r="GR41" s="621"/>
      <c r="GS41" s="621"/>
      <c r="GT41" s="621"/>
      <c r="GU41" s="621"/>
      <c r="GV41" s="621"/>
      <c r="GW41" s="621"/>
      <c r="GX41" s="621"/>
      <c r="GY41" s="621"/>
      <c r="GZ41" s="621"/>
      <c r="HA41" s="621"/>
      <c r="HB41" s="621"/>
      <c r="HC41" s="621"/>
      <c r="HD41" s="621"/>
      <c r="HE41" s="621"/>
      <c r="HF41" s="621"/>
      <c r="HG41" s="621"/>
      <c r="HH41" s="621"/>
      <c r="HI41" s="621"/>
      <c r="HJ41" s="621"/>
      <c r="HK41" s="621"/>
      <c r="HL41" s="621"/>
      <c r="HM41" s="621"/>
      <c r="HN41" s="621"/>
      <c r="HO41" s="621"/>
      <c r="HP41" s="621"/>
      <c r="HQ41" s="621"/>
      <c r="HR41" s="621"/>
      <c r="HS41" s="621"/>
      <c r="HT41" s="621"/>
      <c r="HU41" s="621"/>
      <c r="HV41" s="621"/>
      <c r="HW41" s="621"/>
      <c r="HX41" s="621"/>
      <c r="HY41" s="621"/>
      <c r="HZ41" s="621"/>
      <c r="IA41" s="621"/>
      <c r="IB41" s="621"/>
      <c r="IC41" s="621"/>
      <c r="ID41" s="621"/>
      <c r="IE41" s="621"/>
      <c r="IF41" s="621"/>
      <c r="IG41" s="621"/>
      <c r="IH41" s="621"/>
      <c r="II41" s="621"/>
      <c r="IJ41" s="621"/>
      <c r="IK41" s="621"/>
      <c r="IL41" s="621"/>
      <c r="IM41" s="621"/>
      <c r="IN41" s="621"/>
      <c r="IO41" s="621"/>
      <c r="IP41" s="621"/>
      <c r="IQ41" s="621"/>
      <c r="IR41" s="621"/>
      <c r="IS41" s="621"/>
      <c r="IT41" s="621"/>
      <c r="IU41" s="621"/>
      <c r="IV41" s="621"/>
      <c r="IW41" s="621"/>
      <c r="IX41" s="621"/>
      <c r="IY41" s="621"/>
      <c r="IZ41" s="621"/>
      <c r="JA41" s="621"/>
      <c r="JB41" s="621"/>
      <c r="JC41" s="621"/>
      <c r="JD41" s="621"/>
      <c r="JE41" s="621"/>
      <c r="JF41" s="621"/>
      <c r="JG41" s="621"/>
      <c r="JH41" s="621"/>
      <c r="JI41" s="621"/>
      <c r="JJ41" s="621"/>
      <c r="JK41" s="621"/>
      <c r="JL41" s="621"/>
      <c r="JM41" s="621"/>
      <c r="JN41" s="621"/>
      <c r="JO41" s="621"/>
      <c r="JP41" s="621"/>
      <c r="JQ41" s="621"/>
      <c r="JR41" s="621"/>
      <c r="JS41" s="621"/>
      <c r="JT41" s="621"/>
      <c r="JU41" s="621"/>
      <c r="JV41" s="621"/>
      <c r="JW41" s="621"/>
      <c r="JX41" s="621"/>
      <c r="JY41" s="621"/>
      <c r="JZ41" s="621"/>
      <c r="KA41" s="621"/>
      <c r="KB41" s="621"/>
      <c r="KC41" s="621"/>
      <c r="KD41" s="621"/>
      <c r="KE41" s="621"/>
      <c r="KF41" s="621"/>
      <c r="KG41" s="621"/>
      <c r="KH41" s="621"/>
      <c r="KI41" s="621"/>
      <c r="KJ41" s="621"/>
      <c r="KK41" s="621"/>
      <c r="KL41" s="621"/>
      <c r="KM41" s="621"/>
      <c r="KN41" s="621"/>
      <c r="KO41" s="621"/>
      <c r="KP41" s="621"/>
      <c r="KQ41" s="621"/>
      <c r="KR41" s="621"/>
      <c r="KS41" s="621"/>
      <c r="KT41" s="621"/>
      <c r="KU41" s="621"/>
      <c r="KV41" s="621"/>
      <c r="KW41" s="621"/>
      <c r="KX41" s="621"/>
      <c r="KY41" s="621"/>
      <c r="KZ41" s="621"/>
      <c r="LA41" s="621"/>
      <c r="LB41" s="621"/>
      <c r="LC41" s="621"/>
      <c r="LD41" s="621"/>
      <c r="LE41" s="621"/>
      <c r="LF41" s="621"/>
      <c r="LG41" s="621"/>
      <c r="LH41" s="621"/>
      <c r="LI41" s="621"/>
      <c r="LJ41" s="621"/>
      <c r="LK41" s="621"/>
      <c r="LL41" s="621"/>
      <c r="LM41" s="621"/>
      <c r="LN41" s="621"/>
      <c r="LO41" s="621"/>
      <c r="LP41" s="621"/>
      <c r="LQ41" s="621"/>
      <c r="LR41" s="621"/>
      <c r="LS41" s="621"/>
      <c r="LT41" s="621"/>
      <c r="LU41" s="621"/>
      <c r="LV41" s="621"/>
      <c r="LW41" s="621"/>
      <c r="LX41" s="621"/>
      <c r="LY41" s="621"/>
      <c r="LZ41" s="621"/>
      <c r="MA41" s="621"/>
      <c r="MB41" s="621"/>
      <c r="MC41" s="621"/>
      <c r="MD41" s="621"/>
      <c r="ME41" s="621"/>
      <c r="MF41" s="621"/>
      <c r="MG41" s="621"/>
      <c r="MH41" s="621"/>
      <c r="MI41" s="621"/>
      <c r="MJ41" s="621"/>
      <c r="MK41" s="621"/>
      <c r="ML41" s="621"/>
      <c r="MM41" s="621"/>
      <c r="MN41" s="621"/>
      <c r="MO41" s="621"/>
      <c r="MP41" s="621"/>
      <c r="MQ41" s="621"/>
      <c r="MR41" s="621"/>
      <c r="MS41" s="621"/>
      <c r="MT41" s="621"/>
      <c r="MU41" s="621"/>
      <c r="MV41" s="621"/>
      <c r="MW41" s="621"/>
      <c r="MX41" s="621"/>
      <c r="MY41" s="621"/>
      <c r="MZ41" s="621"/>
      <c r="NA41" s="621"/>
      <c r="NB41" s="621"/>
      <c r="NC41" s="621"/>
      <c r="ND41" s="621"/>
      <c r="NE41" s="621"/>
      <c r="NF41" s="621"/>
      <c r="NG41" s="621"/>
      <c r="NH41" s="621"/>
      <c r="NI41" s="621"/>
      <c r="NJ41" s="621"/>
      <c r="NK41" s="621"/>
      <c r="NL41" s="621"/>
      <c r="NM41" s="621"/>
      <c r="NN41" s="621"/>
      <c r="NO41" s="621"/>
      <c r="NP41" s="621"/>
      <c r="NQ41" s="621"/>
      <c r="NR41" s="621"/>
      <c r="NS41" s="621"/>
      <c r="NT41" s="621"/>
      <c r="NU41" s="621"/>
      <c r="NV41" s="621"/>
      <c r="NW41" s="621"/>
      <c r="NX41" s="621"/>
      <c r="NY41" s="621"/>
      <c r="NZ41" s="621"/>
      <c r="OA41" s="621"/>
      <c r="OB41" s="621"/>
      <c r="OC41" s="621"/>
      <c r="OD41" s="621"/>
      <c r="OE41" s="621"/>
      <c r="OF41" s="621"/>
      <c r="OG41" s="621"/>
      <c r="OH41" s="621"/>
      <c r="OI41" s="621"/>
      <c r="OJ41" s="621"/>
      <c r="OK41" s="621"/>
      <c r="OL41" s="621"/>
      <c r="OM41" s="621"/>
      <c r="ON41" s="621"/>
      <c r="OO41" s="621"/>
      <c r="OP41" s="621"/>
      <c r="OQ41" s="621"/>
      <c r="OR41" s="621"/>
      <c r="OS41" s="621"/>
      <c r="OT41" s="621"/>
      <c r="OU41" s="621"/>
      <c r="OV41" s="621"/>
      <c r="OW41" s="621"/>
      <c r="OX41" s="621"/>
      <c r="OY41" s="621"/>
      <c r="OZ41" s="621"/>
      <c r="PA41" s="621"/>
      <c r="PB41" s="621"/>
      <c r="PC41" s="621"/>
      <c r="PD41" s="621"/>
      <c r="PE41" s="621"/>
      <c r="PF41" s="621"/>
      <c r="PG41" s="621"/>
      <c r="PH41" s="621"/>
      <c r="PI41" s="621"/>
      <c r="PJ41" s="621"/>
      <c r="PK41" s="621"/>
      <c r="PL41" s="621"/>
      <c r="PM41" s="621"/>
      <c r="PN41" s="621"/>
      <c r="PO41" s="621"/>
      <c r="PP41" s="621"/>
      <c r="PQ41" s="621"/>
      <c r="PR41" s="621"/>
      <c r="PS41" s="621"/>
      <c r="PT41" s="621"/>
      <c r="PU41" s="621"/>
      <c r="PV41" s="621"/>
      <c r="PW41" s="621"/>
      <c r="PX41" s="621"/>
      <c r="PY41" s="621"/>
      <c r="PZ41" s="621"/>
      <c r="QA41" s="621"/>
      <c r="QB41" s="621"/>
      <c r="QC41" s="621"/>
      <c r="QD41" s="621"/>
      <c r="QE41" s="621"/>
      <c r="QF41" s="621"/>
      <c r="QG41" s="621"/>
      <c r="QH41" s="621"/>
      <c r="QI41" s="621"/>
      <c r="QJ41" s="621"/>
      <c r="QK41" s="621"/>
      <c r="QL41" s="621"/>
      <c r="QM41" s="621"/>
      <c r="QN41" s="621"/>
      <c r="QO41" s="621"/>
      <c r="QP41" s="621"/>
      <c r="QQ41" s="621"/>
      <c r="QR41" s="621"/>
      <c r="QS41" s="621"/>
      <c r="QT41" s="621"/>
      <c r="QU41" s="621"/>
      <c r="QV41" s="621"/>
      <c r="QW41" s="621"/>
      <c r="QX41" s="621"/>
      <c r="QY41" s="621"/>
      <c r="QZ41" s="621"/>
      <c r="RA41" s="621"/>
      <c r="RB41" s="621"/>
      <c r="RC41" s="621"/>
      <c r="RD41" s="621"/>
      <c r="RE41" s="621"/>
      <c r="RF41" s="621"/>
      <c r="RG41" s="621"/>
      <c r="RH41" s="621"/>
      <c r="RI41" s="621"/>
      <c r="RJ41" s="621"/>
      <c r="RK41" s="621"/>
      <c r="RL41" s="621"/>
      <c r="RM41" s="621"/>
      <c r="RN41" s="621"/>
      <c r="RO41" s="621"/>
      <c r="RP41" s="621"/>
      <c r="RQ41" s="621"/>
      <c r="RR41" s="621"/>
      <c r="RS41" s="621"/>
      <c r="RT41" s="621"/>
      <c r="RU41" s="621"/>
      <c r="RV41" s="621"/>
      <c r="RW41" s="621"/>
      <c r="RX41" s="621"/>
      <c r="RY41" s="621"/>
      <c r="RZ41" s="621"/>
      <c r="SA41" s="621"/>
      <c r="SB41" s="621"/>
      <c r="SC41" s="621"/>
      <c r="SD41" s="621"/>
      <c r="SE41" s="621"/>
      <c r="SF41" s="621"/>
      <c r="SG41" s="621"/>
      <c r="SH41" s="621"/>
      <c r="SI41" s="621"/>
      <c r="SJ41" s="621"/>
      <c r="SK41" s="621"/>
      <c r="SL41" s="621"/>
      <c r="SM41" s="621"/>
      <c r="SN41" s="621"/>
      <c r="SO41" s="621"/>
      <c r="SP41" s="621"/>
      <c r="SQ41" s="621"/>
      <c r="SR41" s="621"/>
      <c r="SS41" s="621"/>
      <c r="ST41" s="621"/>
      <c r="SU41" s="621"/>
      <c r="SV41" s="621"/>
      <c r="SW41" s="621"/>
      <c r="SX41" s="621"/>
      <c r="SY41" s="621"/>
      <c r="SZ41" s="621"/>
      <c r="TA41" s="621"/>
      <c r="TB41" s="621"/>
      <c r="TC41" s="621"/>
      <c r="TD41" s="621"/>
      <c r="TE41" s="621"/>
      <c r="TF41" s="621"/>
      <c r="TG41" s="621"/>
      <c r="TH41" s="621"/>
      <c r="TI41" s="621"/>
      <c r="TJ41" s="621"/>
      <c r="TK41" s="621"/>
      <c r="TL41" s="621"/>
      <c r="TM41" s="621"/>
      <c r="TN41" s="621"/>
      <c r="TO41" s="621"/>
      <c r="TP41" s="621"/>
      <c r="TQ41" s="621"/>
      <c r="TR41" s="621"/>
      <c r="TS41" s="621"/>
      <c r="TT41" s="621"/>
      <c r="TU41" s="621"/>
      <c r="TV41" s="621"/>
      <c r="TW41" s="621"/>
      <c r="TX41" s="621"/>
      <c r="TY41" s="621"/>
      <c r="TZ41" s="621"/>
      <c r="UA41" s="621"/>
      <c r="UB41" s="621"/>
      <c r="UC41" s="621"/>
      <c r="UD41" s="621"/>
      <c r="UE41" s="621"/>
      <c r="UF41" s="621"/>
      <c r="UG41" s="621"/>
      <c r="UH41" s="621"/>
      <c r="UI41" s="621"/>
      <c r="UJ41" s="621"/>
      <c r="UK41" s="621"/>
      <c r="UL41" s="621"/>
      <c r="UM41" s="621"/>
      <c r="UN41" s="621"/>
      <c r="UO41" s="621"/>
      <c r="UP41" s="621"/>
      <c r="UQ41" s="621"/>
      <c r="UR41" s="621"/>
      <c r="US41" s="621"/>
      <c r="UT41" s="621"/>
      <c r="UU41" s="621"/>
      <c r="UV41" s="621"/>
      <c r="UW41" s="621"/>
      <c r="UX41" s="621"/>
      <c r="UY41" s="621"/>
      <c r="UZ41" s="621"/>
      <c r="VA41" s="621"/>
      <c r="VB41" s="621"/>
      <c r="VC41" s="621"/>
      <c r="VD41" s="621"/>
      <c r="VE41" s="621"/>
      <c r="VF41" s="621"/>
      <c r="VG41" s="621"/>
      <c r="VH41" s="621"/>
      <c r="VI41" s="621"/>
      <c r="VJ41" s="621"/>
      <c r="VK41" s="621"/>
      <c r="VL41" s="621"/>
      <c r="VM41" s="621"/>
      <c r="VN41" s="621"/>
      <c r="VO41" s="621"/>
      <c r="VP41" s="621"/>
      <c r="VQ41" s="621"/>
      <c r="VR41" s="621"/>
      <c r="VS41" s="621"/>
      <c r="VT41" s="621"/>
      <c r="VU41" s="621"/>
      <c r="VV41" s="621"/>
      <c r="VW41" s="621"/>
      <c r="VX41" s="621"/>
      <c r="VY41" s="621"/>
      <c r="VZ41" s="621"/>
      <c r="WA41" s="621"/>
      <c r="WB41" s="621"/>
      <c r="WC41" s="621"/>
      <c r="WD41" s="621"/>
      <c r="WE41" s="621"/>
      <c r="WF41" s="621"/>
      <c r="WG41" s="621"/>
      <c r="WH41" s="621"/>
      <c r="WI41" s="621"/>
      <c r="WJ41" s="621"/>
      <c r="WK41" s="621"/>
      <c r="WL41" s="621"/>
      <c r="WM41" s="621"/>
      <c r="WN41" s="621"/>
      <c r="WO41" s="621"/>
      <c r="WP41" s="621"/>
      <c r="WQ41" s="621"/>
      <c r="WR41" s="621"/>
      <c r="WS41" s="621"/>
      <c r="WT41" s="621"/>
      <c r="WU41" s="621"/>
      <c r="WV41" s="621"/>
      <c r="WW41" s="621"/>
      <c r="WX41" s="621"/>
      <c r="WY41" s="621"/>
      <c r="WZ41" s="621"/>
      <c r="XA41" s="621"/>
      <c r="XB41" s="621"/>
      <c r="XC41" s="621"/>
      <c r="XD41" s="621"/>
      <c r="XE41" s="621"/>
      <c r="XF41" s="621"/>
      <c r="XG41" s="621"/>
      <c r="XH41" s="621"/>
      <c r="XI41" s="621"/>
      <c r="XJ41" s="621"/>
      <c r="XK41" s="621"/>
      <c r="XL41" s="621"/>
      <c r="XM41" s="621"/>
      <c r="XN41" s="621"/>
      <c r="XO41" s="621"/>
      <c r="XP41" s="621"/>
      <c r="XQ41" s="621"/>
      <c r="XR41" s="621"/>
      <c r="XS41" s="621"/>
      <c r="XT41" s="621"/>
      <c r="XU41" s="621"/>
      <c r="XV41" s="621"/>
      <c r="XW41" s="621"/>
      <c r="XX41" s="621"/>
      <c r="XY41" s="621"/>
      <c r="XZ41" s="621"/>
      <c r="YA41" s="621"/>
      <c r="YB41" s="621"/>
      <c r="YC41" s="621"/>
      <c r="YD41" s="621"/>
      <c r="YE41" s="621"/>
      <c r="YF41" s="621"/>
      <c r="YG41" s="621"/>
      <c r="YH41" s="621"/>
      <c r="YI41" s="621"/>
      <c r="YJ41" s="621"/>
      <c r="YK41" s="621"/>
      <c r="YL41" s="621"/>
      <c r="YM41" s="621"/>
      <c r="YN41" s="621"/>
      <c r="YO41" s="621"/>
      <c r="YP41" s="621"/>
      <c r="YQ41" s="621"/>
      <c r="YR41" s="621"/>
      <c r="YS41" s="621"/>
      <c r="YT41" s="621"/>
      <c r="YU41" s="621"/>
      <c r="YV41" s="621"/>
      <c r="YW41" s="621"/>
      <c r="YX41" s="621"/>
      <c r="YY41" s="621"/>
      <c r="YZ41" s="621"/>
      <c r="ZA41" s="621"/>
      <c r="ZB41" s="621"/>
      <c r="ZC41" s="621"/>
      <c r="ZD41" s="621"/>
      <c r="ZE41" s="621"/>
      <c r="ZF41" s="621"/>
      <c r="ZG41" s="621"/>
      <c r="ZH41" s="621"/>
      <c r="ZI41" s="621"/>
      <c r="ZJ41" s="621"/>
      <c r="ZK41" s="621"/>
      <c r="ZL41" s="621"/>
      <c r="ZM41" s="621"/>
      <c r="ZN41" s="621"/>
      <c r="ZO41" s="621"/>
      <c r="ZP41" s="621"/>
      <c r="ZQ41" s="621"/>
      <c r="ZR41" s="621"/>
      <c r="ZS41" s="621"/>
      <c r="ZT41" s="621"/>
      <c r="ZU41" s="621"/>
      <c r="ZV41" s="621"/>
      <c r="ZW41" s="621"/>
      <c r="ZX41" s="621"/>
      <c r="ZY41" s="621"/>
      <c r="ZZ41" s="621"/>
      <c r="AAA41" s="621"/>
      <c r="AAB41" s="621"/>
      <c r="AAC41" s="621"/>
      <c r="AAD41" s="621"/>
      <c r="AAE41" s="621"/>
      <c r="AAF41" s="621"/>
      <c r="AAG41" s="621"/>
      <c r="AAH41" s="621"/>
      <c r="AAI41" s="621"/>
      <c r="AAJ41" s="621"/>
      <c r="AAK41" s="621"/>
      <c r="AAL41" s="621"/>
      <c r="AAM41" s="621"/>
      <c r="AAN41" s="621"/>
      <c r="AAO41" s="621"/>
      <c r="AAP41" s="621"/>
      <c r="AAQ41" s="621"/>
      <c r="AAR41" s="621"/>
      <c r="AAS41" s="621"/>
      <c r="AAT41" s="621"/>
      <c r="AAU41" s="621"/>
      <c r="AAV41" s="621"/>
      <c r="AAW41" s="621"/>
      <c r="AAX41" s="621"/>
      <c r="AAY41" s="621"/>
      <c r="AAZ41" s="621"/>
      <c r="ABA41" s="621"/>
      <c r="ABB41" s="621"/>
      <c r="ABC41" s="621"/>
      <c r="ABD41" s="621"/>
      <c r="ABE41" s="621"/>
      <c r="ABF41" s="621"/>
      <c r="ABG41" s="621"/>
      <c r="ABH41" s="621"/>
      <c r="ABI41" s="621"/>
      <c r="ABJ41" s="621"/>
      <c r="ABK41" s="621"/>
      <c r="ABL41" s="621"/>
      <c r="ABM41" s="621"/>
      <c r="ABN41" s="621"/>
      <c r="ABO41" s="621"/>
      <c r="ABP41" s="621"/>
      <c r="ABQ41" s="621"/>
      <c r="ABR41" s="621"/>
      <c r="ABS41" s="621"/>
      <c r="ABT41" s="621"/>
      <c r="ABU41" s="621"/>
      <c r="ABV41" s="621"/>
      <c r="ABW41" s="621"/>
      <c r="ABX41" s="621"/>
      <c r="ABY41" s="621"/>
      <c r="ABZ41" s="621"/>
      <c r="ACA41" s="621"/>
      <c r="ACB41" s="621"/>
      <c r="ACC41" s="621"/>
      <c r="ACD41" s="621"/>
      <c r="ACE41" s="621"/>
      <c r="ACF41" s="621"/>
      <c r="ACG41" s="621"/>
      <c r="ACH41" s="621"/>
      <c r="ACI41" s="621"/>
      <c r="ACJ41" s="621"/>
      <c r="ACK41" s="621"/>
      <c r="ACL41" s="621"/>
      <c r="ACM41" s="621"/>
      <c r="ACN41" s="621"/>
      <c r="ACO41" s="621"/>
      <c r="ACP41" s="621"/>
      <c r="ACQ41" s="621"/>
      <c r="ACR41" s="621"/>
      <c r="ACS41" s="621"/>
      <c r="ACT41" s="621"/>
      <c r="ACU41" s="621"/>
      <c r="ACV41" s="621"/>
      <c r="ACW41" s="621"/>
      <c r="ACX41" s="621"/>
      <c r="ACY41" s="621"/>
      <c r="ACZ41" s="621"/>
      <c r="ADA41" s="621"/>
      <c r="ADB41" s="621"/>
      <c r="ADC41" s="621"/>
      <c r="ADD41" s="621"/>
      <c r="ADE41" s="621"/>
      <c r="ADF41" s="621"/>
      <c r="ADG41" s="621"/>
      <c r="ADH41" s="621"/>
      <c r="ADI41" s="621"/>
      <c r="ADJ41" s="621"/>
      <c r="ADK41" s="621"/>
      <c r="ADL41" s="621"/>
      <c r="ADM41" s="621"/>
      <c r="ADN41" s="621"/>
      <c r="ADO41" s="621"/>
      <c r="ADP41" s="621"/>
      <c r="ADQ41" s="621"/>
      <c r="ADR41" s="621"/>
      <c r="ADS41" s="621"/>
      <c r="ADT41" s="621"/>
      <c r="ADU41" s="621"/>
      <c r="ADV41" s="621"/>
      <c r="ADW41" s="621"/>
      <c r="ADX41" s="621"/>
      <c r="ADY41" s="621"/>
      <c r="ADZ41" s="621"/>
      <c r="AEA41" s="621"/>
      <c r="AEB41" s="621"/>
      <c r="AEC41" s="621"/>
      <c r="AED41" s="621"/>
      <c r="AEE41" s="621"/>
      <c r="AEF41" s="621"/>
      <c r="AEG41" s="621"/>
      <c r="AEH41" s="621"/>
      <c r="AEI41" s="621"/>
      <c r="AEJ41" s="621"/>
      <c r="AEK41" s="621"/>
      <c r="AEL41" s="621"/>
      <c r="AEM41" s="621"/>
      <c r="AEN41" s="621"/>
      <c r="AEO41" s="621"/>
      <c r="AEP41" s="621"/>
      <c r="AEQ41" s="621"/>
      <c r="AER41" s="621"/>
      <c r="AES41" s="621"/>
      <c r="AET41" s="621"/>
      <c r="AEU41" s="621"/>
      <c r="AEV41" s="621"/>
      <c r="AEW41" s="621"/>
      <c r="AEX41" s="621"/>
      <c r="AEY41" s="621"/>
      <c r="AEZ41" s="621"/>
      <c r="AFA41" s="621"/>
      <c r="AFB41" s="621"/>
      <c r="AFC41" s="621"/>
      <c r="AFD41" s="621"/>
      <c r="AFE41" s="621"/>
      <c r="AFF41" s="621"/>
      <c r="AFG41" s="621"/>
      <c r="AFH41" s="621"/>
      <c r="AFI41" s="621"/>
      <c r="AFJ41" s="621"/>
      <c r="AFK41" s="621"/>
      <c r="AFL41" s="621"/>
      <c r="AFM41" s="621"/>
      <c r="AFN41" s="621"/>
      <c r="AFO41" s="621"/>
      <c r="AFP41" s="621"/>
      <c r="AFQ41" s="621"/>
      <c r="AFR41" s="621"/>
      <c r="AFS41" s="621"/>
      <c r="AFT41" s="621"/>
      <c r="AFU41" s="621"/>
      <c r="AFV41" s="621"/>
      <c r="AFW41" s="621"/>
      <c r="AFX41" s="621"/>
      <c r="AFY41" s="621"/>
      <c r="AFZ41" s="621"/>
      <c r="AGA41" s="621"/>
      <c r="AGB41" s="621"/>
      <c r="AGC41" s="621"/>
      <c r="AGD41" s="621"/>
      <c r="AGE41" s="621"/>
      <c r="AGF41" s="621"/>
      <c r="AGG41" s="621"/>
      <c r="AGH41" s="621"/>
      <c r="AGI41" s="621"/>
      <c r="AGJ41" s="621"/>
      <c r="AGK41" s="621"/>
      <c r="AGL41" s="621"/>
      <c r="AGM41" s="621"/>
      <c r="AGN41" s="621"/>
      <c r="AGO41" s="621"/>
      <c r="AGP41" s="621"/>
      <c r="AGQ41" s="621"/>
      <c r="AGR41" s="621"/>
      <c r="AGS41" s="621"/>
      <c r="AGT41" s="621"/>
      <c r="AGU41" s="621"/>
      <c r="AGV41" s="621"/>
      <c r="AGW41" s="621"/>
      <c r="AGX41" s="621"/>
      <c r="AGY41" s="621"/>
      <c r="AGZ41" s="621"/>
      <c r="AHA41" s="621"/>
      <c r="AHB41" s="621"/>
      <c r="AHC41" s="621"/>
      <c r="AHD41" s="621"/>
      <c r="AHE41" s="621"/>
      <c r="AHF41" s="621"/>
      <c r="AHG41" s="621"/>
      <c r="AHH41" s="621"/>
      <c r="AHI41" s="621"/>
      <c r="AHJ41" s="621"/>
      <c r="AHK41" s="621"/>
      <c r="AHL41" s="621"/>
      <c r="AHM41" s="621"/>
      <c r="AHN41" s="621"/>
      <c r="AHO41" s="621"/>
      <c r="AHP41" s="621"/>
      <c r="AHQ41" s="621"/>
      <c r="AHR41" s="621"/>
      <c r="AHS41" s="621"/>
      <c r="AHT41" s="621"/>
      <c r="AHU41" s="621"/>
      <c r="AHV41" s="621"/>
      <c r="AHW41" s="621"/>
      <c r="AHX41" s="621"/>
      <c r="AHY41" s="621"/>
      <c r="AHZ41" s="621"/>
      <c r="AIA41" s="621"/>
      <c r="AIB41" s="621"/>
      <c r="AIC41" s="621"/>
      <c r="AID41" s="621"/>
      <c r="AIE41" s="621"/>
      <c r="AIF41" s="621"/>
      <c r="AIG41" s="621"/>
      <c r="AIH41" s="621"/>
      <c r="AII41" s="621"/>
      <c r="AIJ41" s="621"/>
      <c r="AIK41" s="621"/>
      <c r="AIL41" s="621"/>
      <c r="AIM41" s="621"/>
      <c r="AIN41" s="621"/>
      <c r="AIO41" s="621"/>
      <c r="AIP41" s="621"/>
      <c r="AIQ41" s="621"/>
      <c r="AIR41" s="621"/>
      <c r="AIS41" s="621"/>
      <c r="AIT41" s="621"/>
      <c r="AIU41" s="621"/>
      <c r="AIV41" s="621"/>
      <c r="AIW41" s="621"/>
      <c r="AIX41" s="621"/>
      <c r="AIY41" s="621"/>
      <c r="AIZ41" s="621"/>
      <c r="AJA41" s="621"/>
      <c r="AJB41" s="621"/>
      <c r="AJC41" s="621"/>
      <c r="AJD41" s="621"/>
      <c r="AJE41" s="621"/>
      <c r="AJF41" s="621"/>
      <c r="AJG41" s="621"/>
      <c r="AJH41" s="621"/>
      <c r="AJI41" s="621"/>
      <c r="AJJ41" s="621"/>
      <c r="AJK41" s="621"/>
      <c r="AJL41" s="621"/>
      <c r="AJM41" s="621"/>
      <c r="AJN41" s="621"/>
      <c r="AJO41" s="621"/>
      <c r="AJP41" s="621"/>
      <c r="AJQ41" s="621"/>
      <c r="AJR41" s="621"/>
      <c r="AJS41" s="621"/>
      <c r="AJT41" s="621"/>
      <c r="AJU41" s="621"/>
      <c r="AJV41" s="621"/>
      <c r="AJW41" s="621"/>
      <c r="AJX41" s="621"/>
      <c r="AJY41" s="621"/>
      <c r="AJZ41" s="621"/>
      <c r="AKA41" s="621"/>
      <c r="AKB41" s="621"/>
      <c r="AKC41" s="621"/>
      <c r="AKD41" s="621"/>
      <c r="AKE41" s="621"/>
      <c r="AKF41" s="621"/>
      <c r="AKG41" s="621"/>
      <c r="AKH41" s="621"/>
      <c r="AKI41" s="621"/>
      <c r="AKJ41" s="621"/>
      <c r="AKK41" s="621"/>
      <c r="AKL41" s="621"/>
      <c r="AKM41" s="621"/>
      <c r="AKN41" s="621"/>
      <c r="AKO41" s="621"/>
      <c r="AKP41" s="621"/>
      <c r="AKQ41" s="621"/>
      <c r="AKR41" s="621"/>
      <c r="AKS41" s="621"/>
      <c r="AKT41" s="621"/>
      <c r="AKU41" s="621"/>
      <c r="AKV41" s="621"/>
      <c r="AKW41" s="621"/>
      <c r="AKX41" s="621"/>
      <c r="AKY41" s="621"/>
      <c r="AKZ41" s="621"/>
      <c r="ALA41" s="621"/>
      <c r="ALB41" s="621"/>
      <c r="ALC41" s="621"/>
      <c r="ALD41" s="621"/>
      <c r="ALE41" s="621"/>
      <c r="ALF41" s="621"/>
      <c r="ALG41" s="621"/>
      <c r="ALH41" s="621"/>
      <c r="ALI41" s="621"/>
      <c r="ALJ41" s="621"/>
      <c r="ALK41" s="621"/>
      <c r="ALL41" s="621"/>
      <c r="ALM41" s="621"/>
      <c r="ALN41" s="621"/>
      <c r="ALO41" s="621"/>
      <c r="ALP41" s="621"/>
      <c r="ALQ41" s="621"/>
      <c r="ALR41" s="621"/>
      <c r="ALS41" s="621"/>
      <c r="ALT41" s="621"/>
      <c r="ALU41" s="621"/>
      <c r="ALV41" s="621"/>
      <c r="ALW41" s="621"/>
      <c r="ALX41" s="621"/>
      <c r="ALY41" s="621"/>
      <c r="ALZ41" s="621"/>
      <c r="AMA41" s="621"/>
      <c r="AMB41" s="621"/>
      <c r="AMC41" s="621"/>
      <c r="AMD41" s="621"/>
      <c r="AME41" s="621"/>
      <c r="AMF41" s="621"/>
      <c r="AMG41" s="621"/>
      <c r="AMH41" s="621"/>
      <c r="AMI41" s="621"/>
      <c r="AMJ41" s="621"/>
      <c r="AMK41" s="621"/>
    </row>
    <row r="42" spans="1:1025" ht="29.25" customHeight="1">
      <c r="A42" s="374" t="s">
        <v>353</v>
      </c>
      <c r="B42" s="375" t="s">
        <v>376</v>
      </c>
      <c r="C42" s="376">
        <f>'Weekly Machinery Ex'!J8+'Weekly Machinery Ex'!J9+'Weekly Machinery Ex'!J10+'Weekly Machinery Ex'!J13+'Weekly Machinery Ex'!J17+'Weekly Machinery Ex'!J18+'Weekly Machinery Ex'!J21+'Weekly Machinery Ex'!J22+'Weekly Machinery Ex'!J23+'Weekly Machinery Ex'!J27</f>
        <v>645660</v>
      </c>
      <c r="D42" s="423">
        <f>'Weekly Machinery Ex'!K8+'Weekly Machinery Ex'!K9+'Weekly Machinery Ex'!K10+'Weekly Machinery Ex'!K13+'Weekly Machinery Ex'!K17+'Weekly Machinery Ex'!K18+'Weekly Machinery Ex'!K21+'Weekly Machinery Ex'!K22+'Weekly Machinery Ex'!K23+'Weekly Machinery Ex'!K27</f>
        <v>392157.69999999995</v>
      </c>
      <c r="E42" s="2043"/>
      <c r="F42" s="2043"/>
      <c r="G42" s="393"/>
      <c r="H42" s="414"/>
      <c r="I42" s="1497"/>
      <c r="J42" s="1498">
        <v>433233.255</v>
      </c>
      <c r="K42" s="593"/>
      <c r="L42" s="413"/>
      <c r="M42" s="416"/>
      <c r="N42" s="1446"/>
      <c r="O42" s="1446"/>
      <c r="P42" s="396"/>
      <c r="T42" s="397"/>
      <c r="U42" s="397"/>
      <c r="V42" s="328" t="s">
        <v>319</v>
      </c>
      <c r="W42" s="410">
        <v>20.3</v>
      </c>
      <c r="X42" s="410"/>
      <c r="Y42" s="411">
        <f t="shared" si="8"/>
        <v>0</v>
      </c>
      <c r="Z42" s="398"/>
      <c r="AA42" s="399"/>
      <c r="AB42" s="260"/>
      <c r="AC42" s="386"/>
      <c r="AD42" s="1482"/>
      <c r="AE42" s="1482"/>
      <c r="AF42" s="1482"/>
      <c r="AG42" s="1482"/>
      <c r="AH42" s="1482"/>
      <c r="AI42" s="1482"/>
      <c r="AJ42" s="1480"/>
      <c r="AK42" s="1481"/>
      <c r="AL42" s="1480"/>
      <c r="AM42" s="289"/>
      <c r="AN42" s="260"/>
      <c r="AO42" s="260"/>
      <c r="AQ42" s="621"/>
      <c r="AR42" s="621"/>
      <c r="AS42" s="621"/>
      <c r="AT42" s="621"/>
      <c r="AU42" s="621"/>
      <c r="AV42" s="621"/>
      <c r="AW42" s="621"/>
      <c r="AX42" s="621"/>
      <c r="AY42" s="621"/>
      <c r="AZ42" s="621"/>
      <c r="BA42" s="621"/>
      <c r="BB42" s="621"/>
      <c r="BC42" s="621"/>
      <c r="BD42" s="621"/>
      <c r="BE42" s="621"/>
      <c r="BF42" s="621"/>
      <c r="BG42" s="621"/>
      <c r="BH42" s="621"/>
      <c r="BI42" s="621"/>
      <c r="BJ42" s="621"/>
      <c r="BK42" s="621"/>
      <c r="BL42" s="621"/>
      <c r="BM42" s="621"/>
      <c r="BN42" s="621"/>
      <c r="BO42" s="621"/>
      <c r="BP42" s="621"/>
      <c r="BQ42" s="621"/>
      <c r="BR42" s="621"/>
      <c r="BS42" s="621"/>
      <c r="BT42" s="621"/>
      <c r="BU42" s="621"/>
      <c r="BV42" s="621"/>
      <c r="BW42" s="621"/>
      <c r="BX42" s="621"/>
      <c r="BY42" s="621"/>
      <c r="BZ42" s="621"/>
      <c r="CA42" s="621"/>
      <c r="CB42" s="621"/>
      <c r="CC42" s="621"/>
      <c r="CD42" s="621"/>
      <c r="CE42" s="621"/>
      <c r="CF42" s="621"/>
      <c r="CG42" s="621"/>
      <c r="CH42" s="621"/>
      <c r="CI42" s="621"/>
      <c r="CJ42" s="621"/>
      <c r="CK42" s="621"/>
      <c r="CL42" s="621"/>
      <c r="CM42" s="621"/>
      <c r="CN42" s="621"/>
      <c r="CO42" s="621"/>
      <c r="CP42" s="621"/>
      <c r="CQ42" s="621"/>
      <c r="CR42" s="621"/>
      <c r="CS42" s="621"/>
      <c r="CT42" s="621"/>
      <c r="CU42" s="621"/>
      <c r="CV42" s="621"/>
      <c r="CW42" s="621"/>
      <c r="CX42" s="621"/>
      <c r="CY42" s="621"/>
      <c r="CZ42" s="621"/>
      <c r="DA42" s="621"/>
      <c r="DB42" s="621"/>
      <c r="DC42" s="621"/>
      <c r="DD42" s="621"/>
      <c r="DE42" s="621"/>
      <c r="DF42" s="621"/>
      <c r="DG42" s="621"/>
      <c r="DH42" s="621"/>
      <c r="DI42" s="621"/>
      <c r="DJ42" s="621"/>
      <c r="DK42" s="621"/>
      <c r="DL42" s="621"/>
      <c r="DM42" s="621"/>
      <c r="DN42" s="621"/>
      <c r="DO42" s="621"/>
      <c r="DP42" s="621"/>
      <c r="DQ42" s="621"/>
      <c r="DR42" s="621"/>
      <c r="DS42" s="621"/>
      <c r="DT42" s="621"/>
      <c r="DU42" s="621"/>
      <c r="DV42" s="621"/>
      <c r="DW42" s="621"/>
      <c r="DX42" s="621"/>
      <c r="DY42" s="621"/>
      <c r="DZ42" s="621"/>
      <c r="EA42" s="621"/>
      <c r="EB42" s="621"/>
      <c r="EC42" s="621"/>
      <c r="ED42" s="621"/>
      <c r="EE42" s="621"/>
      <c r="EF42" s="621"/>
      <c r="EG42" s="621"/>
      <c r="EH42" s="621"/>
      <c r="EI42" s="621"/>
      <c r="EJ42" s="621"/>
      <c r="EK42" s="621"/>
      <c r="EL42" s="621"/>
      <c r="EM42" s="621"/>
      <c r="EN42" s="621"/>
      <c r="EO42" s="621"/>
      <c r="EP42" s="621"/>
      <c r="EQ42" s="621"/>
      <c r="ER42" s="621"/>
      <c r="ES42" s="621"/>
      <c r="ET42" s="621"/>
      <c r="EU42" s="621"/>
      <c r="EV42" s="621"/>
      <c r="EW42" s="621"/>
      <c r="EX42" s="621"/>
      <c r="EY42" s="621"/>
      <c r="EZ42" s="621"/>
      <c r="FA42" s="621"/>
      <c r="FB42" s="621"/>
      <c r="FC42" s="621"/>
      <c r="FD42" s="621"/>
      <c r="FE42" s="621"/>
      <c r="FF42" s="621"/>
      <c r="FG42" s="621"/>
      <c r="FH42" s="621"/>
      <c r="FI42" s="621"/>
      <c r="FJ42" s="621"/>
      <c r="FK42" s="621"/>
      <c r="FL42" s="621"/>
      <c r="FM42" s="621"/>
      <c r="FN42" s="621"/>
      <c r="FO42" s="621"/>
      <c r="FP42" s="621"/>
      <c r="FQ42" s="621"/>
      <c r="FR42" s="621"/>
      <c r="FS42" s="621"/>
      <c r="FT42" s="621"/>
      <c r="FU42" s="621"/>
      <c r="FV42" s="621"/>
      <c r="FW42" s="621"/>
      <c r="FX42" s="621"/>
      <c r="FY42" s="621"/>
      <c r="FZ42" s="621"/>
      <c r="GA42" s="621"/>
      <c r="GB42" s="621"/>
      <c r="GC42" s="621"/>
      <c r="GD42" s="621"/>
      <c r="GE42" s="621"/>
      <c r="GF42" s="621"/>
      <c r="GG42" s="621"/>
      <c r="GH42" s="621"/>
      <c r="GI42" s="621"/>
      <c r="GJ42" s="621"/>
      <c r="GK42" s="621"/>
      <c r="GL42" s="621"/>
      <c r="GM42" s="621"/>
      <c r="GN42" s="621"/>
      <c r="GO42" s="621"/>
      <c r="GP42" s="621"/>
      <c r="GQ42" s="621"/>
      <c r="GR42" s="621"/>
      <c r="GS42" s="621"/>
      <c r="GT42" s="621"/>
      <c r="GU42" s="621"/>
      <c r="GV42" s="621"/>
      <c r="GW42" s="621"/>
      <c r="GX42" s="621"/>
      <c r="GY42" s="621"/>
      <c r="GZ42" s="621"/>
      <c r="HA42" s="621"/>
      <c r="HB42" s="621"/>
      <c r="HC42" s="621"/>
      <c r="HD42" s="621"/>
      <c r="HE42" s="621"/>
      <c r="HF42" s="621"/>
      <c r="HG42" s="621"/>
      <c r="HH42" s="621"/>
      <c r="HI42" s="621"/>
      <c r="HJ42" s="621"/>
      <c r="HK42" s="621"/>
      <c r="HL42" s="621"/>
      <c r="HM42" s="621"/>
      <c r="HN42" s="621"/>
      <c r="HO42" s="621"/>
      <c r="HP42" s="621"/>
      <c r="HQ42" s="621"/>
      <c r="HR42" s="621"/>
      <c r="HS42" s="621"/>
      <c r="HT42" s="621"/>
      <c r="HU42" s="621"/>
      <c r="HV42" s="621"/>
      <c r="HW42" s="621"/>
      <c r="HX42" s="621"/>
      <c r="HY42" s="621"/>
      <c r="HZ42" s="621"/>
      <c r="IA42" s="621"/>
      <c r="IB42" s="621"/>
      <c r="IC42" s="621"/>
      <c r="ID42" s="621"/>
      <c r="IE42" s="621"/>
      <c r="IF42" s="621"/>
      <c r="IG42" s="621"/>
      <c r="IH42" s="621"/>
      <c r="II42" s="621"/>
      <c r="IJ42" s="621"/>
      <c r="IK42" s="621"/>
      <c r="IL42" s="621"/>
      <c r="IM42" s="621"/>
      <c r="IN42" s="621"/>
      <c r="IO42" s="621"/>
      <c r="IP42" s="621"/>
      <c r="IQ42" s="621"/>
      <c r="IR42" s="621"/>
      <c r="IS42" s="621"/>
      <c r="IT42" s="621"/>
      <c r="IU42" s="621"/>
      <c r="IV42" s="621"/>
      <c r="IW42" s="621"/>
      <c r="IX42" s="621"/>
      <c r="IY42" s="621"/>
      <c r="IZ42" s="621"/>
      <c r="JA42" s="621"/>
      <c r="JB42" s="621"/>
      <c r="JC42" s="621"/>
      <c r="JD42" s="621"/>
      <c r="JE42" s="621"/>
      <c r="JF42" s="621"/>
      <c r="JG42" s="621"/>
      <c r="JH42" s="621"/>
      <c r="JI42" s="621"/>
      <c r="JJ42" s="621"/>
      <c r="JK42" s="621"/>
      <c r="JL42" s="621"/>
      <c r="JM42" s="621"/>
      <c r="JN42" s="621"/>
      <c r="JO42" s="621"/>
      <c r="JP42" s="621"/>
      <c r="JQ42" s="621"/>
      <c r="JR42" s="621"/>
      <c r="JS42" s="621"/>
      <c r="JT42" s="621"/>
      <c r="JU42" s="621"/>
      <c r="JV42" s="621"/>
      <c r="JW42" s="621"/>
      <c r="JX42" s="621"/>
      <c r="JY42" s="621"/>
      <c r="JZ42" s="621"/>
      <c r="KA42" s="621"/>
      <c r="KB42" s="621"/>
      <c r="KC42" s="621"/>
      <c r="KD42" s="621"/>
      <c r="KE42" s="621"/>
      <c r="KF42" s="621"/>
      <c r="KG42" s="621"/>
      <c r="KH42" s="621"/>
      <c r="KI42" s="621"/>
      <c r="KJ42" s="621"/>
      <c r="KK42" s="621"/>
      <c r="KL42" s="621"/>
      <c r="KM42" s="621"/>
      <c r="KN42" s="621"/>
      <c r="KO42" s="621"/>
      <c r="KP42" s="621"/>
      <c r="KQ42" s="621"/>
      <c r="KR42" s="621"/>
      <c r="KS42" s="621"/>
      <c r="KT42" s="621"/>
      <c r="KU42" s="621"/>
      <c r="KV42" s="621"/>
      <c r="KW42" s="621"/>
      <c r="KX42" s="621"/>
      <c r="KY42" s="621"/>
      <c r="KZ42" s="621"/>
      <c r="LA42" s="621"/>
      <c r="LB42" s="621"/>
      <c r="LC42" s="621"/>
      <c r="LD42" s="621"/>
      <c r="LE42" s="621"/>
      <c r="LF42" s="621"/>
      <c r="LG42" s="621"/>
      <c r="LH42" s="621"/>
      <c r="LI42" s="621"/>
      <c r="LJ42" s="621"/>
      <c r="LK42" s="621"/>
      <c r="LL42" s="621"/>
      <c r="LM42" s="621"/>
      <c r="LN42" s="621"/>
      <c r="LO42" s="621"/>
      <c r="LP42" s="621"/>
      <c r="LQ42" s="621"/>
      <c r="LR42" s="621"/>
      <c r="LS42" s="621"/>
      <c r="LT42" s="621"/>
      <c r="LU42" s="621"/>
      <c r="LV42" s="621"/>
      <c r="LW42" s="621"/>
      <c r="LX42" s="621"/>
      <c r="LY42" s="621"/>
      <c r="LZ42" s="621"/>
      <c r="MA42" s="621"/>
      <c r="MB42" s="621"/>
      <c r="MC42" s="621"/>
      <c r="MD42" s="621"/>
      <c r="ME42" s="621"/>
      <c r="MF42" s="621"/>
      <c r="MG42" s="621"/>
      <c r="MH42" s="621"/>
      <c r="MI42" s="621"/>
      <c r="MJ42" s="621"/>
      <c r="MK42" s="621"/>
      <c r="ML42" s="621"/>
      <c r="MM42" s="621"/>
      <c r="MN42" s="621"/>
      <c r="MO42" s="621"/>
      <c r="MP42" s="621"/>
      <c r="MQ42" s="621"/>
      <c r="MR42" s="621"/>
      <c r="MS42" s="621"/>
      <c r="MT42" s="621"/>
      <c r="MU42" s="621"/>
      <c r="MV42" s="621"/>
      <c r="MW42" s="621"/>
      <c r="MX42" s="621"/>
      <c r="MY42" s="621"/>
      <c r="MZ42" s="621"/>
      <c r="NA42" s="621"/>
      <c r="NB42" s="621"/>
      <c r="NC42" s="621"/>
      <c r="ND42" s="621"/>
      <c r="NE42" s="621"/>
      <c r="NF42" s="621"/>
      <c r="NG42" s="621"/>
      <c r="NH42" s="621"/>
      <c r="NI42" s="621"/>
      <c r="NJ42" s="621"/>
      <c r="NK42" s="621"/>
      <c r="NL42" s="621"/>
      <c r="NM42" s="621"/>
      <c r="NN42" s="621"/>
      <c r="NO42" s="621"/>
      <c r="NP42" s="621"/>
      <c r="NQ42" s="621"/>
      <c r="NR42" s="621"/>
      <c r="NS42" s="621"/>
      <c r="NT42" s="621"/>
      <c r="NU42" s="621"/>
      <c r="NV42" s="621"/>
      <c r="NW42" s="621"/>
      <c r="NX42" s="621"/>
      <c r="NY42" s="621"/>
      <c r="NZ42" s="621"/>
      <c r="OA42" s="621"/>
      <c r="OB42" s="621"/>
      <c r="OC42" s="621"/>
      <c r="OD42" s="621"/>
      <c r="OE42" s="621"/>
      <c r="OF42" s="621"/>
      <c r="OG42" s="621"/>
      <c r="OH42" s="621"/>
      <c r="OI42" s="621"/>
      <c r="OJ42" s="621"/>
      <c r="OK42" s="621"/>
      <c r="OL42" s="621"/>
      <c r="OM42" s="621"/>
      <c r="ON42" s="621"/>
      <c r="OO42" s="621"/>
      <c r="OP42" s="621"/>
      <c r="OQ42" s="621"/>
      <c r="OR42" s="621"/>
      <c r="OS42" s="621"/>
      <c r="OT42" s="621"/>
      <c r="OU42" s="621"/>
      <c r="OV42" s="621"/>
      <c r="OW42" s="621"/>
      <c r="OX42" s="621"/>
      <c r="OY42" s="621"/>
      <c r="OZ42" s="621"/>
      <c r="PA42" s="621"/>
      <c r="PB42" s="621"/>
      <c r="PC42" s="621"/>
      <c r="PD42" s="621"/>
      <c r="PE42" s="621"/>
      <c r="PF42" s="621"/>
      <c r="PG42" s="621"/>
      <c r="PH42" s="621"/>
      <c r="PI42" s="621"/>
      <c r="PJ42" s="621"/>
      <c r="PK42" s="621"/>
      <c r="PL42" s="621"/>
      <c r="PM42" s="621"/>
      <c r="PN42" s="621"/>
      <c r="PO42" s="621"/>
      <c r="PP42" s="621"/>
      <c r="PQ42" s="621"/>
      <c r="PR42" s="621"/>
      <c r="PS42" s="621"/>
      <c r="PT42" s="621"/>
      <c r="PU42" s="621"/>
      <c r="PV42" s="621"/>
      <c r="PW42" s="621"/>
      <c r="PX42" s="621"/>
      <c r="PY42" s="621"/>
      <c r="PZ42" s="621"/>
      <c r="QA42" s="621"/>
      <c r="QB42" s="621"/>
      <c r="QC42" s="621"/>
      <c r="QD42" s="621"/>
      <c r="QE42" s="621"/>
      <c r="QF42" s="621"/>
      <c r="QG42" s="621"/>
      <c r="QH42" s="621"/>
      <c r="QI42" s="621"/>
      <c r="QJ42" s="621"/>
      <c r="QK42" s="621"/>
      <c r="QL42" s="621"/>
      <c r="QM42" s="621"/>
      <c r="QN42" s="621"/>
      <c r="QO42" s="621"/>
      <c r="QP42" s="621"/>
      <c r="QQ42" s="621"/>
      <c r="QR42" s="621"/>
      <c r="QS42" s="621"/>
      <c r="QT42" s="621"/>
      <c r="QU42" s="621"/>
      <c r="QV42" s="621"/>
      <c r="QW42" s="621"/>
      <c r="QX42" s="621"/>
      <c r="QY42" s="621"/>
      <c r="QZ42" s="621"/>
      <c r="RA42" s="621"/>
      <c r="RB42" s="621"/>
      <c r="RC42" s="621"/>
      <c r="RD42" s="621"/>
      <c r="RE42" s="621"/>
      <c r="RF42" s="621"/>
      <c r="RG42" s="621"/>
      <c r="RH42" s="621"/>
      <c r="RI42" s="621"/>
      <c r="RJ42" s="621"/>
      <c r="RK42" s="621"/>
      <c r="RL42" s="621"/>
      <c r="RM42" s="621"/>
      <c r="RN42" s="621"/>
      <c r="RO42" s="621"/>
      <c r="RP42" s="621"/>
      <c r="RQ42" s="621"/>
      <c r="RR42" s="621"/>
      <c r="RS42" s="621"/>
      <c r="RT42" s="621"/>
      <c r="RU42" s="621"/>
      <c r="RV42" s="621"/>
      <c r="RW42" s="621"/>
      <c r="RX42" s="621"/>
      <c r="RY42" s="621"/>
      <c r="RZ42" s="621"/>
      <c r="SA42" s="621"/>
      <c r="SB42" s="621"/>
      <c r="SC42" s="621"/>
      <c r="SD42" s="621"/>
      <c r="SE42" s="621"/>
      <c r="SF42" s="621"/>
      <c r="SG42" s="621"/>
      <c r="SH42" s="621"/>
      <c r="SI42" s="621"/>
      <c r="SJ42" s="621"/>
      <c r="SK42" s="621"/>
      <c r="SL42" s="621"/>
      <c r="SM42" s="621"/>
      <c r="SN42" s="621"/>
      <c r="SO42" s="621"/>
      <c r="SP42" s="621"/>
      <c r="SQ42" s="621"/>
      <c r="SR42" s="621"/>
      <c r="SS42" s="621"/>
      <c r="ST42" s="621"/>
      <c r="SU42" s="621"/>
      <c r="SV42" s="621"/>
      <c r="SW42" s="621"/>
      <c r="SX42" s="621"/>
      <c r="SY42" s="621"/>
      <c r="SZ42" s="621"/>
      <c r="TA42" s="621"/>
      <c r="TB42" s="621"/>
      <c r="TC42" s="621"/>
      <c r="TD42" s="621"/>
      <c r="TE42" s="621"/>
      <c r="TF42" s="621"/>
      <c r="TG42" s="621"/>
      <c r="TH42" s="621"/>
      <c r="TI42" s="621"/>
      <c r="TJ42" s="621"/>
      <c r="TK42" s="621"/>
      <c r="TL42" s="621"/>
      <c r="TM42" s="621"/>
      <c r="TN42" s="621"/>
      <c r="TO42" s="621"/>
      <c r="TP42" s="621"/>
      <c r="TQ42" s="621"/>
      <c r="TR42" s="621"/>
      <c r="TS42" s="621"/>
      <c r="TT42" s="621"/>
      <c r="TU42" s="621"/>
      <c r="TV42" s="621"/>
      <c r="TW42" s="621"/>
      <c r="TX42" s="621"/>
      <c r="TY42" s="621"/>
      <c r="TZ42" s="621"/>
      <c r="UA42" s="621"/>
      <c r="UB42" s="621"/>
      <c r="UC42" s="621"/>
      <c r="UD42" s="621"/>
      <c r="UE42" s="621"/>
      <c r="UF42" s="621"/>
      <c r="UG42" s="621"/>
      <c r="UH42" s="621"/>
      <c r="UI42" s="621"/>
      <c r="UJ42" s="621"/>
      <c r="UK42" s="621"/>
      <c r="UL42" s="621"/>
      <c r="UM42" s="621"/>
      <c r="UN42" s="621"/>
      <c r="UO42" s="621"/>
      <c r="UP42" s="621"/>
      <c r="UQ42" s="621"/>
      <c r="UR42" s="621"/>
      <c r="US42" s="621"/>
      <c r="UT42" s="621"/>
      <c r="UU42" s="621"/>
      <c r="UV42" s="621"/>
      <c r="UW42" s="621"/>
      <c r="UX42" s="621"/>
      <c r="UY42" s="621"/>
      <c r="UZ42" s="621"/>
      <c r="VA42" s="621"/>
      <c r="VB42" s="621"/>
      <c r="VC42" s="621"/>
      <c r="VD42" s="621"/>
      <c r="VE42" s="621"/>
      <c r="VF42" s="621"/>
      <c r="VG42" s="621"/>
      <c r="VH42" s="621"/>
      <c r="VI42" s="621"/>
      <c r="VJ42" s="621"/>
      <c r="VK42" s="621"/>
      <c r="VL42" s="621"/>
      <c r="VM42" s="621"/>
      <c r="VN42" s="621"/>
      <c r="VO42" s="621"/>
      <c r="VP42" s="621"/>
      <c r="VQ42" s="621"/>
      <c r="VR42" s="621"/>
      <c r="VS42" s="621"/>
      <c r="VT42" s="621"/>
      <c r="VU42" s="621"/>
      <c r="VV42" s="621"/>
      <c r="VW42" s="621"/>
      <c r="VX42" s="621"/>
      <c r="VY42" s="621"/>
      <c r="VZ42" s="621"/>
      <c r="WA42" s="621"/>
      <c r="WB42" s="621"/>
      <c r="WC42" s="621"/>
      <c r="WD42" s="621"/>
      <c r="WE42" s="621"/>
      <c r="WF42" s="621"/>
      <c r="WG42" s="621"/>
      <c r="WH42" s="621"/>
      <c r="WI42" s="621"/>
      <c r="WJ42" s="621"/>
      <c r="WK42" s="621"/>
      <c r="WL42" s="621"/>
      <c r="WM42" s="621"/>
      <c r="WN42" s="621"/>
      <c r="WO42" s="621"/>
      <c r="WP42" s="621"/>
      <c r="WQ42" s="621"/>
      <c r="WR42" s="621"/>
      <c r="WS42" s="621"/>
      <c r="WT42" s="621"/>
      <c r="WU42" s="621"/>
      <c r="WV42" s="621"/>
      <c r="WW42" s="621"/>
      <c r="WX42" s="621"/>
      <c r="WY42" s="621"/>
      <c r="WZ42" s="621"/>
      <c r="XA42" s="621"/>
      <c r="XB42" s="621"/>
      <c r="XC42" s="621"/>
      <c r="XD42" s="621"/>
      <c r="XE42" s="621"/>
      <c r="XF42" s="621"/>
      <c r="XG42" s="621"/>
      <c r="XH42" s="621"/>
      <c r="XI42" s="621"/>
      <c r="XJ42" s="621"/>
      <c r="XK42" s="621"/>
      <c r="XL42" s="621"/>
      <c r="XM42" s="621"/>
      <c r="XN42" s="621"/>
      <c r="XO42" s="621"/>
      <c r="XP42" s="621"/>
      <c r="XQ42" s="621"/>
      <c r="XR42" s="621"/>
      <c r="XS42" s="621"/>
      <c r="XT42" s="621"/>
      <c r="XU42" s="621"/>
      <c r="XV42" s="621"/>
      <c r="XW42" s="621"/>
      <c r="XX42" s="621"/>
      <c r="XY42" s="621"/>
      <c r="XZ42" s="621"/>
      <c r="YA42" s="621"/>
      <c r="YB42" s="621"/>
      <c r="YC42" s="621"/>
      <c r="YD42" s="621"/>
      <c r="YE42" s="621"/>
      <c r="YF42" s="621"/>
      <c r="YG42" s="621"/>
      <c r="YH42" s="621"/>
      <c r="YI42" s="621"/>
      <c r="YJ42" s="621"/>
      <c r="YK42" s="621"/>
      <c r="YL42" s="621"/>
      <c r="YM42" s="621"/>
      <c r="YN42" s="621"/>
      <c r="YO42" s="621"/>
      <c r="YP42" s="621"/>
      <c r="YQ42" s="621"/>
      <c r="YR42" s="621"/>
      <c r="YS42" s="621"/>
      <c r="YT42" s="621"/>
      <c r="YU42" s="621"/>
      <c r="YV42" s="621"/>
      <c r="YW42" s="621"/>
      <c r="YX42" s="621"/>
      <c r="YY42" s="621"/>
      <c r="YZ42" s="621"/>
      <c r="ZA42" s="621"/>
      <c r="ZB42" s="621"/>
      <c r="ZC42" s="621"/>
      <c r="ZD42" s="621"/>
      <c r="ZE42" s="621"/>
      <c r="ZF42" s="621"/>
      <c r="ZG42" s="621"/>
      <c r="ZH42" s="621"/>
      <c r="ZI42" s="621"/>
      <c r="ZJ42" s="621"/>
      <c r="ZK42" s="621"/>
      <c r="ZL42" s="621"/>
      <c r="ZM42" s="621"/>
      <c r="ZN42" s="621"/>
      <c r="ZO42" s="621"/>
      <c r="ZP42" s="621"/>
      <c r="ZQ42" s="621"/>
      <c r="ZR42" s="621"/>
      <c r="ZS42" s="621"/>
      <c r="ZT42" s="621"/>
      <c r="ZU42" s="621"/>
      <c r="ZV42" s="621"/>
      <c r="ZW42" s="621"/>
      <c r="ZX42" s="621"/>
      <c r="ZY42" s="621"/>
      <c r="ZZ42" s="621"/>
      <c r="AAA42" s="621"/>
      <c r="AAB42" s="621"/>
      <c r="AAC42" s="621"/>
      <c r="AAD42" s="621"/>
      <c r="AAE42" s="621"/>
      <c r="AAF42" s="621"/>
      <c r="AAG42" s="621"/>
      <c r="AAH42" s="621"/>
      <c r="AAI42" s="621"/>
      <c r="AAJ42" s="621"/>
      <c r="AAK42" s="621"/>
      <c r="AAL42" s="621"/>
      <c r="AAM42" s="621"/>
      <c r="AAN42" s="621"/>
      <c r="AAO42" s="621"/>
      <c r="AAP42" s="621"/>
      <c r="AAQ42" s="621"/>
      <c r="AAR42" s="621"/>
      <c r="AAS42" s="621"/>
      <c r="AAT42" s="621"/>
      <c r="AAU42" s="621"/>
      <c r="AAV42" s="621"/>
      <c r="AAW42" s="621"/>
      <c r="AAX42" s="621"/>
      <c r="AAY42" s="621"/>
      <c r="AAZ42" s="621"/>
      <c r="ABA42" s="621"/>
      <c r="ABB42" s="621"/>
      <c r="ABC42" s="621"/>
      <c r="ABD42" s="621"/>
      <c r="ABE42" s="621"/>
      <c r="ABF42" s="621"/>
      <c r="ABG42" s="621"/>
      <c r="ABH42" s="621"/>
      <c r="ABI42" s="621"/>
      <c r="ABJ42" s="621"/>
      <c r="ABK42" s="621"/>
      <c r="ABL42" s="621"/>
      <c r="ABM42" s="621"/>
      <c r="ABN42" s="621"/>
      <c r="ABO42" s="621"/>
      <c r="ABP42" s="621"/>
      <c r="ABQ42" s="621"/>
      <c r="ABR42" s="621"/>
      <c r="ABS42" s="621"/>
      <c r="ABT42" s="621"/>
      <c r="ABU42" s="621"/>
      <c r="ABV42" s="621"/>
      <c r="ABW42" s="621"/>
      <c r="ABX42" s="621"/>
      <c r="ABY42" s="621"/>
      <c r="ABZ42" s="621"/>
      <c r="ACA42" s="621"/>
      <c r="ACB42" s="621"/>
      <c r="ACC42" s="621"/>
      <c r="ACD42" s="621"/>
      <c r="ACE42" s="621"/>
      <c r="ACF42" s="621"/>
      <c r="ACG42" s="621"/>
      <c r="ACH42" s="621"/>
      <c r="ACI42" s="621"/>
      <c r="ACJ42" s="621"/>
      <c r="ACK42" s="621"/>
      <c r="ACL42" s="621"/>
      <c r="ACM42" s="621"/>
      <c r="ACN42" s="621"/>
      <c r="ACO42" s="621"/>
      <c r="ACP42" s="621"/>
      <c r="ACQ42" s="621"/>
      <c r="ACR42" s="621"/>
      <c r="ACS42" s="621"/>
      <c r="ACT42" s="621"/>
      <c r="ACU42" s="621"/>
      <c r="ACV42" s="621"/>
      <c r="ACW42" s="621"/>
      <c r="ACX42" s="621"/>
      <c r="ACY42" s="621"/>
      <c r="ACZ42" s="621"/>
      <c r="ADA42" s="621"/>
      <c r="ADB42" s="621"/>
      <c r="ADC42" s="621"/>
      <c r="ADD42" s="621"/>
      <c r="ADE42" s="621"/>
      <c r="ADF42" s="621"/>
      <c r="ADG42" s="621"/>
      <c r="ADH42" s="621"/>
      <c r="ADI42" s="621"/>
      <c r="ADJ42" s="621"/>
      <c r="ADK42" s="621"/>
      <c r="ADL42" s="621"/>
      <c r="ADM42" s="621"/>
      <c r="ADN42" s="621"/>
      <c r="ADO42" s="621"/>
      <c r="ADP42" s="621"/>
      <c r="ADQ42" s="621"/>
      <c r="ADR42" s="621"/>
      <c r="ADS42" s="621"/>
      <c r="ADT42" s="621"/>
      <c r="ADU42" s="621"/>
      <c r="ADV42" s="621"/>
      <c r="ADW42" s="621"/>
      <c r="ADX42" s="621"/>
      <c r="ADY42" s="621"/>
      <c r="ADZ42" s="621"/>
      <c r="AEA42" s="621"/>
      <c r="AEB42" s="621"/>
      <c r="AEC42" s="621"/>
      <c r="AED42" s="621"/>
      <c r="AEE42" s="621"/>
      <c r="AEF42" s="621"/>
      <c r="AEG42" s="621"/>
      <c r="AEH42" s="621"/>
      <c r="AEI42" s="621"/>
      <c r="AEJ42" s="621"/>
      <c r="AEK42" s="621"/>
      <c r="AEL42" s="621"/>
      <c r="AEM42" s="621"/>
      <c r="AEN42" s="621"/>
      <c r="AEO42" s="621"/>
      <c r="AEP42" s="621"/>
      <c r="AEQ42" s="621"/>
      <c r="AER42" s="621"/>
      <c r="AES42" s="621"/>
      <c r="AET42" s="621"/>
      <c r="AEU42" s="621"/>
      <c r="AEV42" s="621"/>
      <c r="AEW42" s="621"/>
      <c r="AEX42" s="621"/>
      <c r="AEY42" s="621"/>
      <c r="AEZ42" s="621"/>
      <c r="AFA42" s="621"/>
      <c r="AFB42" s="621"/>
      <c r="AFC42" s="621"/>
      <c r="AFD42" s="621"/>
      <c r="AFE42" s="621"/>
      <c r="AFF42" s="621"/>
      <c r="AFG42" s="621"/>
      <c r="AFH42" s="621"/>
      <c r="AFI42" s="621"/>
      <c r="AFJ42" s="621"/>
      <c r="AFK42" s="621"/>
      <c r="AFL42" s="621"/>
      <c r="AFM42" s="621"/>
      <c r="AFN42" s="621"/>
      <c r="AFO42" s="621"/>
      <c r="AFP42" s="621"/>
      <c r="AFQ42" s="621"/>
      <c r="AFR42" s="621"/>
      <c r="AFS42" s="621"/>
      <c r="AFT42" s="621"/>
      <c r="AFU42" s="621"/>
      <c r="AFV42" s="621"/>
      <c r="AFW42" s="621"/>
      <c r="AFX42" s="621"/>
      <c r="AFY42" s="621"/>
      <c r="AFZ42" s="621"/>
      <c r="AGA42" s="621"/>
      <c r="AGB42" s="621"/>
      <c r="AGC42" s="621"/>
      <c r="AGD42" s="621"/>
      <c r="AGE42" s="621"/>
      <c r="AGF42" s="621"/>
      <c r="AGG42" s="621"/>
      <c r="AGH42" s="621"/>
      <c r="AGI42" s="621"/>
      <c r="AGJ42" s="621"/>
      <c r="AGK42" s="621"/>
      <c r="AGL42" s="621"/>
      <c r="AGM42" s="621"/>
      <c r="AGN42" s="621"/>
      <c r="AGO42" s="621"/>
      <c r="AGP42" s="621"/>
      <c r="AGQ42" s="621"/>
      <c r="AGR42" s="621"/>
      <c r="AGS42" s="621"/>
      <c r="AGT42" s="621"/>
      <c r="AGU42" s="621"/>
      <c r="AGV42" s="621"/>
      <c r="AGW42" s="621"/>
      <c r="AGX42" s="621"/>
      <c r="AGY42" s="621"/>
      <c r="AGZ42" s="621"/>
      <c r="AHA42" s="621"/>
      <c r="AHB42" s="621"/>
      <c r="AHC42" s="621"/>
      <c r="AHD42" s="621"/>
      <c r="AHE42" s="621"/>
      <c r="AHF42" s="621"/>
      <c r="AHG42" s="621"/>
      <c r="AHH42" s="621"/>
      <c r="AHI42" s="621"/>
      <c r="AHJ42" s="621"/>
      <c r="AHK42" s="621"/>
      <c r="AHL42" s="621"/>
      <c r="AHM42" s="621"/>
      <c r="AHN42" s="621"/>
      <c r="AHO42" s="621"/>
      <c r="AHP42" s="621"/>
      <c r="AHQ42" s="621"/>
      <c r="AHR42" s="621"/>
      <c r="AHS42" s="621"/>
      <c r="AHT42" s="621"/>
      <c r="AHU42" s="621"/>
      <c r="AHV42" s="621"/>
      <c r="AHW42" s="621"/>
      <c r="AHX42" s="621"/>
      <c r="AHY42" s="621"/>
      <c r="AHZ42" s="621"/>
      <c r="AIA42" s="621"/>
      <c r="AIB42" s="621"/>
      <c r="AIC42" s="621"/>
      <c r="AID42" s="621"/>
      <c r="AIE42" s="621"/>
      <c r="AIF42" s="621"/>
      <c r="AIG42" s="621"/>
      <c r="AIH42" s="621"/>
      <c r="AII42" s="621"/>
      <c r="AIJ42" s="621"/>
      <c r="AIK42" s="621"/>
      <c r="AIL42" s="621"/>
      <c r="AIM42" s="621"/>
      <c r="AIN42" s="621"/>
      <c r="AIO42" s="621"/>
      <c r="AIP42" s="621"/>
      <c r="AIQ42" s="621"/>
      <c r="AIR42" s="621"/>
      <c r="AIS42" s="621"/>
      <c r="AIT42" s="621"/>
      <c r="AIU42" s="621"/>
      <c r="AIV42" s="621"/>
      <c r="AIW42" s="621"/>
      <c r="AIX42" s="621"/>
      <c r="AIY42" s="621"/>
      <c r="AIZ42" s="621"/>
      <c r="AJA42" s="621"/>
      <c r="AJB42" s="621"/>
      <c r="AJC42" s="621"/>
      <c r="AJD42" s="621"/>
      <c r="AJE42" s="621"/>
      <c r="AJF42" s="621"/>
      <c r="AJG42" s="621"/>
      <c r="AJH42" s="621"/>
      <c r="AJI42" s="621"/>
      <c r="AJJ42" s="621"/>
      <c r="AJK42" s="621"/>
      <c r="AJL42" s="621"/>
      <c r="AJM42" s="621"/>
      <c r="AJN42" s="621"/>
      <c r="AJO42" s="621"/>
      <c r="AJP42" s="621"/>
      <c r="AJQ42" s="621"/>
      <c r="AJR42" s="621"/>
      <c r="AJS42" s="621"/>
      <c r="AJT42" s="621"/>
      <c r="AJU42" s="621"/>
      <c r="AJV42" s="621"/>
      <c r="AJW42" s="621"/>
      <c r="AJX42" s="621"/>
      <c r="AJY42" s="621"/>
      <c r="AJZ42" s="621"/>
      <c r="AKA42" s="621"/>
      <c r="AKB42" s="621"/>
      <c r="AKC42" s="621"/>
      <c r="AKD42" s="621"/>
      <c r="AKE42" s="621"/>
      <c r="AKF42" s="621"/>
      <c r="AKG42" s="621"/>
      <c r="AKH42" s="621"/>
      <c r="AKI42" s="621"/>
      <c r="AKJ42" s="621"/>
      <c r="AKK42" s="621"/>
      <c r="AKL42" s="621"/>
      <c r="AKM42" s="621"/>
      <c r="AKN42" s="621"/>
      <c r="AKO42" s="621"/>
      <c r="AKP42" s="621"/>
      <c r="AKQ42" s="621"/>
      <c r="AKR42" s="621"/>
      <c r="AKS42" s="621"/>
      <c r="AKT42" s="621"/>
      <c r="AKU42" s="621"/>
      <c r="AKV42" s="621"/>
      <c r="AKW42" s="621"/>
      <c r="AKX42" s="621"/>
      <c r="AKY42" s="621"/>
      <c r="AKZ42" s="621"/>
      <c r="ALA42" s="621"/>
      <c r="ALB42" s="621"/>
      <c r="ALC42" s="621"/>
      <c r="ALD42" s="621"/>
      <c r="ALE42" s="621"/>
      <c r="ALF42" s="621"/>
      <c r="ALG42" s="621"/>
      <c r="ALH42" s="621"/>
      <c r="ALI42" s="621"/>
      <c r="ALJ42" s="621"/>
      <c r="ALK42" s="621"/>
      <c r="ALL42" s="621"/>
      <c r="ALM42" s="621"/>
      <c r="ALN42" s="621"/>
      <c r="ALO42" s="621"/>
      <c r="ALP42" s="621"/>
      <c r="ALQ42" s="621"/>
      <c r="ALR42" s="621"/>
      <c r="ALS42" s="621"/>
      <c r="ALT42" s="621"/>
      <c r="ALU42" s="621"/>
      <c r="ALV42" s="621"/>
      <c r="ALW42" s="621"/>
      <c r="ALX42" s="621"/>
      <c r="ALY42" s="621"/>
      <c r="ALZ42" s="621"/>
      <c r="AMA42" s="621"/>
      <c r="AMB42" s="621"/>
      <c r="AMC42" s="621"/>
      <c r="AMD42" s="621"/>
      <c r="AME42" s="621"/>
      <c r="AMF42" s="621"/>
      <c r="AMG42" s="621"/>
      <c r="AMH42" s="621"/>
      <c r="AMI42" s="621"/>
      <c r="AMJ42" s="621"/>
      <c r="AMK42" s="621"/>
    </row>
    <row r="43" spans="1:1025" ht="30" customHeight="1">
      <c r="A43" s="374" t="s">
        <v>357</v>
      </c>
      <c r="B43" s="375" t="s">
        <v>377</v>
      </c>
      <c r="C43" s="376">
        <f>'Weekly Machinery Ex'!J61+'Weekly Machinery Ex'!J62+'Weekly Machinery Ex'!J66+'Weekly Machinery Ex'!J67+'Weekly Machinery Ex'!J68</f>
        <v>29682</v>
      </c>
      <c r="D43" s="423">
        <f>'Weekly Machinery Ex'!K61+'Weekly Machinery Ex'!K62+'Weekly Machinery Ex'!K63+'Weekly Machinery Ex'!K66+'Weekly Machinery Ex'!K67+'Weekly Machinery Ex'!K68</f>
        <v>28747</v>
      </c>
      <c r="E43" s="2043"/>
      <c r="F43" s="2043"/>
      <c r="G43" s="393"/>
      <c r="H43" s="414"/>
      <c r="I43" s="1497"/>
      <c r="J43" s="1498">
        <v>55746</v>
      </c>
      <c r="K43" s="593"/>
      <c r="L43" s="413"/>
      <c r="M43" s="416"/>
      <c r="N43" s="1446"/>
      <c r="O43" s="1446"/>
      <c r="P43" s="396"/>
      <c r="T43" s="397"/>
      <c r="U43" s="397"/>
      <c r="V43" s="328" t="s">
        <v>321</v>
      </c>
      <c r="W43" s="410">
        <v>14.374000000000001</v>
      </c>
      <c r="X43" s="410"/>
      <c r="Y43" s="411">
        <f t="shared" si="8"/>
        <v>0</v>
      </c>
      <c r="Z43" s="398"/>
      <c r="AA43" s="399"/>
      <c r="AB43" s="260"/>
      <c r="AC43" s="386"/>
      <c r="AD43" s="1482"/>
      <c r="AE43" s="1482"/>
      <c r="AF43" s="1482"/>
      <c r="AG43" s="1482"/>
      <c r="AH43" s="1482"/>
      <c r="AI43" s="1482"/>
      <c r="AJ43" s="1480"/>
      <c r="AK43" s="1481"/>
      <c r="AL43" s="1480"/>
      <c r="AM43" s="289"/>
      <c r="AN43" s="260"/>
      <c r="AO43" s="260"/>
      <c r="AQ43" s="621"/>
      <c r="AR43" s="621"/>
      <c r="AS43" s="621"/>
      <c r="AT43" s="621"/>
      <c r="AU43" s="621"/>
      <c r="AV43" s="621"/>
      <c r="AW43" s="621"/>
      <c r="AX43" s="621"/>
      <c r="AY43" s="621"/>
      <c r="AZ43" s="621"/>
      <c r="BA43" s="621"/>
      <c r="BB43" s="621"/>
      <c r="BC43" s="621"/>
      <c r="BD43" s="621"/>
      <c r="BE43" s="621"/>
      <c r="BF43" s="621"/>
      <c r="BG43" s="621"/>
      <c r="BH43" s="621"/>
      <c r="BI43" s="621"/>
      <c r="BJ43" s="621"/>
      <c r="BK43" s="621"/>
      <c r="BL43" s="621"/>
      <c r="BM43" s="621"/>
      <c r="BN43" s="621"/>
      <c r="BO43" s="621"/>
      <c r="BP43" s="621"/>
      <c r="BQ43" s="621"/>
      <c r="BR43" s="621"/>
      <c r="BS43" s="621"/>
      <c r="BT43" s="621"/>
      <c r="BU43" s="621"/>
      <c r="BV43" s="621"/>
      <c r="BW43" s="621"/>
      <c r="BX43" s="621"/>
      <c r="BY43" s="621"/>
      <c r="BZ43" s="621"/>
      <c r="CA43" s="621"/>
      <c r="CB43" s="621"/>
      <c r="CC43" s="621"/>
      <c r="CD43" s="621"/>
      <c r="CE43" s="621"/>
      <c r="CF43" s="621"/>
      <c r="CG43" s="621"/>
      <c r="CH43" s="621"/>
      <c r="CI43" s="621"/>
      <c r="CJ43" s="621"/>
      <c r="CK43" s="621"/>
      <c r="CL43" s="621"/>
      <c r="CM43" s="621"/>
      <c r="CN43" s="621"/>
      <c r="CO43" s="621"/>
      <c r="CP43" s="621"/>
      <c r="CQ43" s="621"/>
      <c r="CR43" s="621"/>
      <c r="CS43" s="621"/>
      <c r="CT43" s="621"/>
      <c r="CU43" s="621"/>
      <c r="CV43" s="621"/>
      <c r="CW43" s="621"/>
      <c r="CX43" s="621"/>
      <c r="CY43" s="621"/>
      <c r="CZ43" s="621"/>
      <c r="DA43" s="621"/>
      <c r="DB43" s="621"/>
      <c r="DC43" s="621"/>
      <c r="DD43" s="621"/>
      <c r="DE43" s="621"/>
      <c r="DF43" s="621"/>
      <c r="DG43" s="621"/>
      <c r="DH43" s="621"/>
      <c r="DI43" s="621"/>
      <c r="DJ43" s="621"/>
      <c r="DK43" s="621"/>
      <c r="DL43" s="621"/>
      <c r="DM43" s="621"/>
      <c r="DN43" s="621"/>
      <c r="DO43" s="621"/>
      <c r="DP43" s="621"/>
      <c r="DQ43" s="621"/>
      <c r="DR43" s="621"/>
      <c r="DS43" s="621"/>
      <c r="DT43" s="621"/>
      <c r="DU43" s="621"/>
      <c r="DV43" s="621"/>
      <c r="DW43" s="621"/>
      <c r="DX43" s="621"/>
      <c r="DY43" s="621"/>
      <c r="DZ43" s="621"/>
      <c r="EA43" s="621"/>
      <c r="EB43" s="621"/>
      <c r="EC43" s="621"/>
      <c r="ED43" s="621"/>
      <c r="EE43" s="621"/>
      <c r="EF43" s="621"/>
      <c r="EG43" s="621"/>
      <c r="EH43" s="621"/>
      <c r="EI43" s="621"/>
      <c r="EJ43" s="621"/>
      <c r="EK43" s="621"/>
      <c r="EL43" s="621"/>
      <c r="EM43" s="621"/>
      <c r="EN43" s="621"/>
      <c r="EO43" s="621"/>
      <c r="EP43" s="621"/>
      <c r="EQ43" s="621"/>
      <c r="ER43" s="621"/>
      <c r="ES43" s="621"/>
      <c r="ET43" s="621"/>
      <c r="EU43" s="621"/>
      <c r="EV43" s="621"/>
      <c r="EW43" s="621"/>
      <c r="EX43" s="621"/>
      <c r="EY43" s="621"/>
      <c r="EZ43" s="621"/>
      <c r="FA43" s="621"/>
      <c r="FB43" s="621"/>
      <c r="FC43" s="621"/>
      <c r="FD43" s="621"/>
      <c r="FE43" s="621"/>
      <c r="FF43" s="621"/>
      <c r="FG43" s="621"/>
      <c r="FH43" s="621"/>
      <c r="FI43" s="621"/>
      <c r="FJ43" s="621"/>
      <c r="FK43" s="621"/>
      <c r="FL43" s="621"/>
      <c r="FM43" s="621"/>
      <c r="FN43" s="621"/>
      <c r="FO43" s="621"/>
      <c r="FP43" s="621"/>
      <c r="FQ43" s="621"/>
      <c r="FR43" s="621"/>
      <c r="FS43" s="621"/>
      <c r="FT43" s="621"/>
      <c r="FU43" s="621"/>
      <c r="FV43" s="621"/>
      <c r="FW43" s="621"/>
      <c r="FX43" s="621"/>
      <c r="FY43" s="621"/>
      <c r="FZ43" s="621"/>
      <c r="GA43" s="621"/>
      <c r="GB43" s="621"/>
      <c r="GC43" s="621"/>
      <c r="GD43" s="621"/>
      <c r="GE43" s="621"/>
      <c r="GF43" s="621"/>
      <c r="GG43" s="621"/>
      <c r="GH43" s="621"/>
      <c r="GI43" s="621"/>
      <c r="GJ43" s="621"/>
      <c r="GK43" s="621"/>
      <c r="GL43" s="621"/>
      <c r="GM43" s="621"/>
      <c r="GN43" s="621"/>
      <c r="GO43" s="621"/>
      <c r="GP43" s="621"/>
      <c r="GQ43" s="621"/>
      <c r="GR43" s="621"/>
      <c r="GS43" s="621"/>
      <c r="GT43" s="621"/>
      <c r="GU43" s="621"/>
      <c r="GV43" s="621"/>
      <c r="GW43" s="621"/>
      <c r="GX43" s="621"/>
      <c r="GY43" s="621"/>
      <c r="GZ43" s="621"/>
      <c r="HA43" s="621"/>
      <c r="HB43" s="621"/>
      <c r="HC43" s="621"/>
      <c r="HD43" s="621"/>
      <c r="HE43" s="621"/>
      <c r="HF43" s="621"/>
      <c r="HG43" s="621"/>
      <c r="HH43" s="621"/>
      <c r="HI43" s="621"/>
      <c r="HJ43" s="621"/>
      <c r="HK43" s="621"/>
      <c r="HL43" s="621"/>
      <c r="HM43" s="621"/>
      <c r="HN43" s="621"/>
      <c r="HO43" s="621"/>
      <c r="HP43" s="621"/>
      <c r="HQ43" s="621"/>
      <c r="HR43" s="621"/>
      <c r="HS43" s="621"/>
      <c r="HT43" s="621"/>
      <c r="HU43" s="621"/>
      <c r="HV43" s="621"/>
      <c r="HW43" s="621"/>
      <c r="HX43" s="621"/>
      <c r="HY43" s="621"/>
      <c r="HZ43" s="621"/>
      <c r="IA43" s="621"/>
      <c r="IB43" s="621"/>
      <c r="IC43" s="621"/>
      <c r="ID43" s="621"/>
      <c r="IE43" s="621"/>
      <c r="IF43" s="621"/>
      <c r="IG43" s="621"/>
      <c r="IH43" s="621"/>
      <c r="II43" s="621"/>
      <c r="IJ43" s="621"/>
      <c r="IK43" s="621"/>
      <c r="IL43" s="621"/>
      <c r="IM43" s="621"/>
      <c r="IN43" s="621"/>
      <c r="IO43" s="621"/>
      <c r="IP43" s="621"/>
      <c r="IQ43" s="621"/>
      <c r="IR43" s="621"/>
      <c r="IS43" s="621"/>
      <c r="IT43" s="621"/>
      <c r="IU43" s="621"/>
      <c r="IV43" s="621"/>
      <c r="IW43" s="621"/>
      <c r="IX43" s="621"/>
      <c r="IY43" s="621"/>
      <c r="IZ43" s="621"/>
      <c r="JA43" s="621"/>
      <c r="JB43" s="621"/>
      <c r="JC43" s="621"/>
      <c r="JD43" s="621"/>
      <c r="JE43" s="621"/>
      <c r="JF43" s="621"/>
      <c r="JG43" s="621"/>
      <c r="JH43" s="621"/>
      <c r="JI43" s="621"/>
      <c r="JJ43" s="621"/>
      <c r="JK43" s="621"/>
      <c r="JL43" s="621"/>
      <c r="JM43" s="621"/>
      <c r="JN43" s="621"/>
      <c r="JO43" s="621"/>
      <c r="JP43" s="621"/>
      <c r="JQ43" s="621"/>
      <c r="JR43" s="621"/>
      <c r="JS43" s="621"/>
      <c r="JT43" s="621"/>
      <c r="JU43" s="621"/>
      <c r="JV43" s="621"/>
      <c r="JW43" s="621"/>
      <c r="JX43" s="621"/>
      <c r="JY43" s="621"/>
      <c r="JZ43" s="621"/>
      <c r="KA43" s="621"/>
      <c r="KB43" s="621"/>
      <c r="KC43" s="621"/>
      <c r="KD43" s="621"/>
      <c r="KE43" s="621"/>
      <c r="KF43" s="621"/>
      <c r="KG43" s="621"/>
      <c r="KH43" s="621"/>
      <c r="KI43" s="621"/>
      <c r="KJ43" s="621"/>
      <c r="KK43" s="621"/>
      <c r="KL43" s="621"/>
      <c r="KM43" s="621"/>
      <c r="KN43" s="621"/>
      <c r="KO43" s="621"/>
      <c r="KP43" s="621"/>
      <c r="KQ43" s="621"/>
      <c r="KR43" s="621"/>
      <c r="KS43" s="621"/>
      <c r="KT43" s="621"/>
      <c r="KU43" s="621"/>
      <c r="KV43" s="621"/>
      <c r="KW43" s="621"/>
      <c r="KX43" s="621"/>
      <c r="KY43" s="621"/>
      <c r="KZ43" s="621"/>
      <c r="LA43" s="621"/>
      <c r="LB43" s="621"/>
      <c r="LC43" s="621"/>
      <c r="LD43" s="621"/>
      <c r="LE43" s="621"/>
      <c r="LF43" s="621"/>
      <c r="LG43" s="621"/>
      <c r="LH43" s="621"/>
      <c r="LI43" s="621"/>
      <c r="LJ43" s="621"/>
      <c r="LK43" s="621"/>
      <c r="LL43" s="621"/>
      <c r="LM43" s="621"/>
      <c r="LN43" s="621"/>
      <c r="LO43" s="621"/>
      <c r="LP43" s="621"/>
      <c r="LQ43" s="621"/>
      <c r="LR43" s="621"/>
      <c r="LS43" s="621"/>
      <c r="LT43" s="621"/>
      <c r="LU43" s="621"/>
      <c r="LV43" s="621"/>
      <c r="LW43" s="621"/>
      <c r="LX43" s="621"/>
      <c r="LY43" s="621"/>
      <c r="LZ43" s="621"/>
      <c r="MA43" s="621"/>
      <c r="MB43" s="621"/>
      <c r="MC43" s="621"/>
      <c r="MD43" s="621"/>
      <c r="ME43" s="621"/>
      <c r="MF43" s="621"/>
      <c r="MG43" s="621"/>
      <c r="MH43" s="621"/>
      <c r="MI43" s="621"/>
      <c r="MJ43" s="621"/>
      <c r="MK43" s="621"/>
      <c r="ML43" s="621"/>
      <c r="MM43" s="621"/>
      <c r="MN43" s="621"/>
      <c r="MO43" s="621"/>
      <c r="MP43" s="621"/>
      <c r="MQ43" s="621"/>
      <c r="MR43" s="621"/>
      <c r="MS43" s="621"/>
      <c r="MT43" s="621"/>
      <c r="MU43" s="621"/>
      <c r="MV43" s="621"/>
      <c r="MW43" s="621"/>
      <c r="MX43" s="621"/>
      <c r="MY43" s="621"/>
      <c r="MZ43" s="621"/>
      <c r="NA43" s="621"/>
      <c r="NB43" s="621"/>
      <c r="NC43" s="621"/>
      <c r="ND43" s="621"/>
      <c r="NE43" s="621"/>
      <c r="NF43" s="621"/>
      <c r="NG43" s="621"/>
      <c r="NH43" s="621"/>
      <c r="NI43" s="621"/>
      <c r="NJ43" s="621"/>
      <c r="NK43" s="621"/>
      <c r="NL43" s="621"/>
      <c r="NM43" s="621"/>
      <c r="NN43" s="621"/>
      <c r="NO43" s="621"/>
      <c r="NP43" s="621"/>
      <c r="NQ43" s="621"/>
      <c r="NR43" s="621"/>
      <c r="NS43" s="621"/>
      <c r="NT43" s="621"/>
      <c r="NU43" s="621"/>
      <c r="NV43" s="621"/>
      <c r="NW43" s="621"/>
      <c r="NX43" s="621"/>
      <c r="NY43" s="621"/>
      <c r="NZ43" s="621"/>
      <c r="OA43" s="621"/>
      <c r="OB43" s="621"/>
      <c r="OC43" s="621"/>
      <c r="OD43" s="621"/>
      <c r="OE43" s="621"/>
      <c r="OF43" s="621"/>
      <c r="OG43" s="621"/>
      <c r="OH43" s="621"/>
      <c r="OI43" s="621"/>
      <c r="OJ43" s="621"/>
      <c r="OK43" s="621"/>
      <c r="OL43" s="621"/>
      <c r="OM43" s="621"/>
      <c r="ON43" s="621"/>
      <c r="OO43" s="621"/>
      <c r="OP43" s="621"/>
      <c r="OQ43" s="621"/>
      <c r="OR43" s="621"/>
      <c r="OS43" s="621"/>
      <c r="OT43" s="621"/>
      <c r="OU43" s="621"/>
      <c r="OV43" s="621"/>
      <c r="OW43" s="621"/>
      <c r="OX43" s="621"/>
      <c r="OY43" s="621"/>
      <c r="OZ43" s="621"/>
      <c r="PA43" s="621"/>
      <c r="PB43" s="621"/>
      <c r="PC43" s="621"/>
      <c r="PD43" s="621"/>
      <c r="PE43" s="621"/>
      <c r="PF43" s="621"/>
      <c r="PG43" s="621"/>
      <c r="PH43" s="621"/>
      <c r="PI43" s="621"/>
      <c r="PJ43" s="621"/>
      <c r="PK43" s="621"/>
      <c r="PL43" s="621"/>
      <c r="PM43" s="621"/>
      <c r="PN43" s="621"/>
      <c r="PO43" s="621"/>
      <c r="PP43" s="621"/>
      <c r="PQ43" s="621"/>
      <c r="PR43" s="621"/>
      <c r="PS43" s="621"/>
      <c r="PT43" s="621"/>
      <c r="PU43" s="621"/>
      <c r="PV43" s="621"/>
      <c r="PW43" s="621"/>
      <c r="PX43" s="621"/>
      <c r="PY43" s="621"/>
      <c r="PZ43" s="621"/>
      <c r="QA43" s="621"/>
      <c r="QB43" s="621"/>
      <c r="QC43" s="621"/>
      <c r="QD43" s="621"/>
      <c r="QE43" s="621"/>
      <c r="QF43" s="621"/>
      <c r="QG43" s="621"/>
      <c r="QH43" s="621"/>
      <c r="QI43" s="621"/>
      <c r="QJ43" s="621"/>
      <c r="QK43" s="621"/>
      <c r="QL43" s="621"/>
      <c r="QM43" s="621"/>
      <c r="QN43" s="621"/>
      <c r="QO43" s="621"/>
      <c r="QP43" s="621"/>
      <c r="QQ43" s="621"/>
      <c r="QR43" s="621"/>
      <c r="QS43" s="621"/>
      <c r="QT43" s="621"/>
      <c r="QU43" s="621"/>
      <c r="QV43" s="621"/>
      <c r="QW43" s="621"/>
      <c r="QX43" s="621"/>
      <c r="QY43" s="621"/>
      <c r="QZ43" s="621"/>
      <c r="RA43" s="621"/>
      <c r="RB43" s="621"/>
      <c r="RC43" s="621"/>
      <c r="RD43" s="621"/>
      <c r="RE43" s="621"/>
      <c r="RF43" s="621"/>
      <c r="RG43" s="621"/>
      <c r="RH43" s="621"/>
      <c r="RI43" s="621"/>
      <c r="RJ43" s="621"/>
      <c r="RK43" s="621"/>
      <c r="RL43" s="621"/>
      <c r="RM43" s="621"/>
      <c r="RN43" s="621"/>
      <c r="RO43" s="621"/>
      <c r="RP43" s="621"/>
      <c r="RQ43" s="621"/>
      <c r="RR43" s="621"/>
      <c r="RS43" s="621"/>
      <c r="RT43" s="621"/>
      <c r="RU43" s="621"/>
      <c r="RV43" s="621"/>
      <c r="RW43" s="621"/>
      <c r="RX43" s="621"/>
      <c r="RY43" s="621"/>
      <c r="RZ43" s="621"/>
      <c r="SA43" s="621"/>
      <c r="SB43" s="621"/>
      <c r="SC43" s="621"/>
      <c r="SD43" s="621"/>
      <c r="SE43" s="621"/>
      <c r="SF43" s="621"/>
      <c r="SG43" s="621"/>
      <c r="SH43" s="621"/>
      <c r="SI43" s="621"/>
      <c r="SJ43" s="621"/>
      <c r="SK43" s="621"/>
      <c r="SL43" s="621"/>
      <c r="SM43" s="621"/>
      <c r="SN43" s="621"/>
      <c r="SO43" s="621"/>
      <c r="SP43" s="621"/>
      <c r="SQ43" s="621"/>
      <c r="SR43" s="621"/>
      <c r="SS43" s="621"/>
      <c r="ST43" s="621"/>
      <c r="SU43" s="621"/>
      <c r="SV43" s="621"/>
      <c r="SW43" s="621"/>
      <c r="SX43" s="621"/>
      <c r="SY43" s="621"/>
      <c r="SZ43" s="621"/>
      <c r="TA43" s="621"/>
      <c r="TB43" s="621"/>
      <c r="TC43" s="621"/>
      <c r="TD43" s="621"/>
      <c r="TE43" s="621"/>
      <c r="TF43" s="621"/>
      <c r="TG43" s="621"/>
      <c r="TH43" s="621"/>
      <c r="TI43" s="621"/>
      <c r="TJ43" s="621"/>
      <c r="TK43" s="621"/>
      <c r="TL43" s="621"/>
      <c r="TM43" s="621"/>
      <c r="TN43" s="621"/>
      <c r="TO43" s="621"/>
      <c r="TP43" s="621"/>
      <c r="TQ43" s="621"/>
      <c r="TR43" s="621"/>
      <c r="TS43" s="621"/>
      <c r="TT43" s="621"/>
      <c r="TU43" s="621"/>
      <c r="TV43" s="621"/>
      <c r="TW43" s="621"/>
      <c r="TX43" s="621"/>
      <c r="TY43" s="621"/>
      <c r="TZ43" s="621"/>
      <c r="UA43" s="621"/>
      <c r="UB43" s="621"/>
      <c r="UC43" s="621"/>
      <c r="UD43" s="621"/>
      <c r="UE43" s="621"/>
      <c r="UF43" s="621"/>
      <c r="UG43" s="621"/>
      <c r="UH43" s="621"/>
      <c r="UI43" s="621"/>
      <c r="UJ43" s="621"/>
      <c r="UK43" s="621"/>
      <c r="UL43" s="621"/>
      <c r="UM43" s="621"/>
      <c r="UN43" s="621"/>
      <c r="UO43" s="621"/>
      <c r="UP43" s="621"/>
      <c r="UQ43" s="621"/>
      <c r="UR43" s="621"/>
      <c r="US43" s="621"/>
      <c r="UT43" s="621"/>
      <c r="UU43" s="621"/>
      <c r="UV43" s="621"/>
      <c r="UW43" s="621"/>
      <c r="UX43" s="621"/>
      <c r="UY43" s="621"/>
      <c r="UZ43" s="621"/>
      <c r="VA43" s="621"/>
      <c r="VB43" s="621"/>
      <c r="VC43" s="621"/>
      <c r="VD43" s="621"/>
      <c r="VE43" s="621"/>
      <c r="VF43" s="621"/>
      <c r="VG43" s="621"/>
      <c r="VH43" s="621"/>
      <c r="VI43" s="621"/>
      <c r="VJ43" s="621"/>
      <c r="VK43" s="621"/>
      <c r="VL43" s="621"/>
      <c r="VM43" s="621"/>
      <c r="VN43" s="621"/>
      <c r="VO43" s="621"/>
      <c r="VP43" s="621"/>
      <c r="VQ43" s="621"/>
      <c r="VR43" s="621"/>
      <c r="VS43" s="621"/>
      <c r="VT43" s="621"/>
      <c r="VU43" s="621"/>
      <c r="VV43" s="621"/>
      <c r="VW43" s="621"/>
      <c r="VX43" s="621"/>
      <c r="VY43" s="621"/>
      <c r="VZ43" s="621"/>
      <c r="WA43" s="621"/>
      <c r="WB43" s="621"/>
      <c r="WC43" s="621"/>
      <c r="WD43" s="621"/>
      <c r="WE43" s="621"/>
      <c r="WF43" s="621"/>
      <c r="WG43" s="621"/>
      <c r="WH43" s="621"/>
      <c r="WI43" s="621"/>
      <c r="WJ43" s="621"/>
      <c r="WK43" s="621"/>
      <c r="WL43" s="621"/>
      <c r="WM43" s="621"/>
      <c r="WN43" s="621"/>
      <c r="WO43" s="621"/>
      <c r="WP43" s="621"/>
      <c r="WQ43" s="621"/>
      <c r="WR43" s="621"/>
      <c r="WS43" s="621"/>
      <c r="WT43" s="621"/>
      <c r="WU43" s="621"/>
      <c r="WV43" s="621"/>
      <c r="WW43" s="621"/>
      <c r="WX43" s="621"/>
      <c r="WY43" s="621"/>
      <c r="WZ43" s="621"/>
      <c r="XA43" s="621"/>
      <c r="XB43" s="621"/>
      <c r="XC43" s="621"/>
      <c r="XD43" s="621"/>
      <c r="XE43" s="621"/>
      <c r="XF43" s="621"/>
      <c r="XG43" s="621"/>
      <c r="XH43" s="621"/>
      <c r="XI43" s="621"/>
      <c r="XJ43" s="621"/>
      <c r="XK43" s="621"/>
      <c r="XL43" s="621"/>
      <c r="XM43" s="621"/>
      <c r="XN43" s="621"/>
      <c r="XO43" s="621"/>
      <c r="XP43" s="621"/>
      <c r="XQ43" s="621"/>
      <c r="XR43" s="621"/>
      <c r="XS43" s="621"/>
      <c r="XT43" s="621"/>
      <c r="XU43" s="621"/>
      <c r="XV43" s="621"/>
      <c r="XW43" s="621"/>
      <c r="XX43" s="621"/>
      <c r="XY43" s="621"/>
      <c r="XZ43" s="621"/>
      <c r="YA43" s="621"/>
      <c r="YB43" s="621"/>
      <c r="YC43" s="621"/>
      <c r="YD43" s="621"/>
      <c r="YE43" s="621"/>
      <c r="YF43" s="621"/>
      <c r="YG43" s="621"/>
      <c r="YH43" s="621"/>
      <c r="YI43" s="621"/>
      <c r="YJ43" s="621"/>
      <c r="YK43" s="621"/>
      <c r="YL43" s="621"/>
      <c r="YM43" s="621"/>
      <c r="YN43" s="621"/>
      <c r="YO43" s="621"/>
      <c r="YP43" s="621"/>
      <c r="YQ43" s="621"/>
      <c r="YR43" s="621"/>
      <c r="YS43" s="621"/>
      <c r="YT43" s="621"/>
      <c r="YU43" s="621"/>
      <c r="YV43" s="621"/>
      <c r="YW43" s="621"/>
      <c r="YX43" s="621"/>
      <c r="YY43" s="621"/>
      <c r="YZ43" s="621"/>
      <c r="ZA43" s="621"/>
      <c r="ZB43" s="621"/>
      <c r="ZC43" s="621"/>
      <c r="ZD43" s="621"/>
      <c r="ZE43" s="621"/>
      <c r="ZF43" s="621"/>
      <c r="ZG43" s="621"/>
      <c r="ZH43" s="621"/>
      <c r="ZI43" s="621"/>
      <c r="ZJ43" s="621"/>
      <c r="ZK43" s="621"/>
      <c r="ZL43" s="621"/>
      <c r="ZM43" s="621"/>
      <c r="ZN43" s="621"/>
      <c r="ZO43" s="621"/>
      <c r="ZP43" s="621"/>
      <c r="ZQ43" s="621"/>
      <c r="ZR43" s="621"/>
      <c r="ZS43" s="621"/>
      <c r="ZT43" s="621"/>
      <c r="ZU43" s="621"/>
      <c r="ZV43" s="621"/>
      <c r="ZW43" s="621"/>
      <c r="ZX43" s="621"/>
      <c r="ZY43" s="621"/>
      <c r="ZZ43" s="621"/>
      <c r="AAA43" s="621"/>
      <c r="AAB43" s="621"/>
      <c r="AAC43" s="621"/>
      <c r="AAD43" s="621"/>
      <c r="AAE43" s="621"/>
      <c r="AAF43" s="621"/>
      <c r="AAG43" s="621"/>
      <c r="AAH43" s="621"/>
      <c r="AAI43" s="621"/>
      <c r="AAJ43" s="621"/>
      <c r="AAK43" s="621"/>
      <c r="AAL43" s="621"/>
      <c r="AAM43" s="621"/>
      <c r="AAN43" s="621"/>
      <c r="AAO43" s="621"/>
      <c r="AAP43" s="621"/>
      <c r="AAQ43" s="621"/>
      <c r="AAR43" s="621"/>
      <c r="AAS43" s="621"/>
      <c r="AAT43" s="621"/>
      <c r="AAU43" s="621"/>
      <c r="AAV43" s="621"/>
      <c r="AAW43" s="621"/>
      <c r="AAX43" s="621"/>
      <c r="AAY43" s="621"/>
      <c r="AAZ43" s="621"/>
      <c r="ABA43" s="621"/>
      <c r="ABB43" s="621"/>
      <c r="ABC43" s="621"/>
      <c r="ABD43" s="621"/>
      <c r="ABE43" s="621"/>
      <c r="ABF43" s="621"/>
      <c r="ABG43" s="621"/>
      <c r="ABH43" s="621"/>
      <c r="ABI43" s="621"/>
      <c r="ABJ43" s="621"/>
      <c r="ABK43" s="621"/>
      <c r="ABL43" s="621"/>
      <c r="ABM43" s="621"/>
      <c r="ABN43" s="621"/>
      <c r="ABO43" s="621"/>
      <c r="ABP43" s="621"/>
      <c r="ABQ43" s="621"/>
      <c r="ABR43" s="621"/>
      <c r="ABS43" s="621"/>
      <c r="ABT43" s="621"/>
      <c r="ABU43" s="621"/>
      <c r="ABV43" s="621"/>
      <c r="ABW43" s="621"/>
      <c r="ABX43" s="621"/>
      <c r="ABY43" s="621"/>
      <c r="ABZ43" s="621"/>
      <c r="ACA43" s="621"/>
      <c r="ACB43" s="621"/>
      <c r="ACC43" s="621"/>
      <c r="ACD43" s="621"/>
      <c r="ACE43" s="621"/>
      <c r="ACF43" s="621"/>
      <c r="ACG43" s="621"/>
      <c r="ACH43" s="621"/>
      <c r="ACI43" s="621"/>
      <c r="ACJ43" s="621"/>
      <c r="ACK43" s="621"/>
      <c r="ACL43" s="621"/>
      <c r="ACM43" s="621"/>
      <c r="ACN43" s="621"/>
      <c r="ACO43" s="621"/>
      <c r="ACP43" s="621"/>
      <c r="ACQ43" s="621"/>
      <c r="ACR43" s="621"/>
      <c r="ACS43" s="621"/>
      <c r="ACT43" s="621"/>
      <c r="ACU43" s="621"/>
      <c r="ACV43" s="621"/>
      <c r="ACW43" s="621"/>
      <c r="ACX43" s="621"/>
      <c r="ACY43" s="621"/>
      <c r="ACZ43" s="621"/>
      <c r="ADA43" s="621"/>
      <c r="ADB43" s="621"/>
      <c r="ADC43" s="621"/>
      <c r="ADD43" s="621"/>
      <c r="ADE43" s="621"/>
      <c r="ADF43" s="621"/>
      <c r="ADG43" s="621"/>
      <c r="ADH43" s="621"/>
      <c r="ADI43" s="621"/>
      <c r="ADJ43" s="621"/>
      <c r="ADK43" s="621"/>
      <c r="ADL43" s="621"/>
      <c r="ADM43" s="621"/>
      <c r="ADN43" s="621"/>
      <c r="ADO43" s="621"/>
      <c r="ADP43" s="621"/>
      <c r="ADQ43" s="621"/>
      <c r="ADR43" s="621"/>
      <c r="ADS43" s="621"/>
      <c r="ADT43" s="621"/>
      <c r="ADU43" s="621"/>
      <c r="ADV43" s="621"/>
      <c r="ADW43" s="621"/>
      <c r="ADX43" s="621"/>
      <c r="ADY43" s="621"/>
      <c r="ADZ43" s="621"/>
      <c r="AEA43" s="621"/>
      <c r="AEB43" s="621"/>
      <c r="AEC43" s="621"/>
      <c r="AED43" s="621"/>
      <c r="AEE43" s="621"/>
      <c r="AEF43" s="621"/>
      <c r="AEG43" s="621"/>
      <c r="AEH43" s="621"/>
      <c r="AEI43" s="621"/>
      <c r="AEJ43" s="621"/>
      <c r="AEK43" s="621"/>
      <c r="AEL43" s="621"/>
      <c r="AEM43" s="621"/>
      <c r="AEN43" s="621"/>
      <c r="AEO43" s="621"/>
      <c r="AEP43" s="621"/>
      <c r="AEQ43" s="621"/>
      <c r="AER43" s="621"/>
      <c r="AES43" s="621"/>
      <c r="AET43" s="621"/>
      <c r="AEU43" s="621"/>
      <c r="AEV43" s="621"/>
      <c r="AEW43" s="621"/>
      <c r="AEX43" s="621"/>
      <c r="AEY43" s="621"/>
      <c r="AEZ43" s="621"/>
      <c r="AFA43" s="621"/>
      <c r="AFB43" s="621"/>
      <c r="AFC43" s="621"/>
      <c r="AFD43" s="621"/>
      <c r="AFE43" s="621"/>
      <c r="AFF43" s="621"/>
      <c r="AFG43" s="621"/>
      <c r="AFH43" s="621"/>
      <c r="AFI43" s="621"/>
      <c r="AFJ43" s="621"/>
      <c r="AFK43" s="621"/>
      <c r="AFL43" s="621"/>
      <c r="AFM43" s="621"/>
      <c r="AFN43" s="621"/>
      <c r="AFO43" s="621"/>
      <c r="AFP43" s="621"/>
      <c r="AFQ43" s="621"/>
      <c r="AFR43" s="621"/>
      <c r="AFS43" s="621"/>
      <c r="AFT43" s="621"/>
      <c r="AFU43" s="621"/>
      <c r="AFV43" s="621"/>
      <c r="AFW43" s="621"/>
      <c r="AFX43" s="621"/>
      <c r="AFY43" s="621"/>
      <c r="AFZ43" s="621"/>
      <c r="AGA43" s="621"/>
      <c r="AGB43" s="621"/>
      <c r="AGC43" s="621"/>
      <c r="AGD43" s="621"/>
      <c r="AGE43" s="621"/>
      <c r="AGF43" s="621"/>
      <c r="AGG43" s="621"/>
      <c r="AGH43" s="621"/>
      <c r="AGI43" s="621"/>
      <c r="AGJ43" s="621"/>
      <c r="AGK43" s="621"/>
      <c r="AGL43" s="621"/>
      <c r="AGM43" s="621"/>
      <c r="AGN43" s="621"/>
      <c r="AGO43" s="621"/>
      <c r="AGP43" s="621"/>
      <c r="AGQ43" s="621"/>
      <c r="AGR43" s="621"/>
      <c r="AGS43" s="621"/>
      <c r="AGT43" s="621"/>
      <c r="AGU43" s="621"/>
      <c r="AGV43" s="621"/>
      <c r="AGW43" s="621"/>
      <c r="AGX43" s="621"/>
      <c r="AGY43" s="621"/>
      <c r="AGZ43" s="621"/>
      <c r="AHA43" s="621"/>
      <c r="AHB43" s="621"/>
      <c r="AHC43" s="621"/>
      <c r="AHD43" s="621"/>
      <c r="AHE43" s="621"/>
      <c r="AHF43" s="621"/>
      <c r="AHG43" s="621"/>
      <c r="AHH43" s="621"/>
      <c r="AHI43" s="621"/>
      <c r="AHJ43" s="621"/>
      <c r="AHK43" s="621"/>
      <c r="AHL43" s="621"/>
      <c r="AHM43" s="621"/>
      <c r="AHN43" s="621"/>
      <c r="AHO43" s="621"/>
      <c r="AHP43" s="621"/>
      <c r="AHQ43" s="621"/>
      <c r="AHR43" s="621"/>
      <c r="AHS43" s="621"/>
      <c r="AHT43" s="621"/>
      <c r="AHU43" s="621"/>
      <c r="AHV43" s="621"/>
      <c r="AHW43" s="621"/>
      <c r="AHX43" s="621"/>
      <c r="AHY43" s="621"/>
      <c r="AHZ43" s="621"/>
      <c r="AIA43" s="621"/>
      <c r="AIB43" s="621"/>
      <c r="AIC43" s="621"/>
      <c r="AID43" s="621"/>
      <c r="AIE43" s="621"/>
      <c r="AIF43" s="621"/>
      <c r="AIG43" s="621"/>
      <c r="AIH43" s="621"/>
      <c r="AII43" s="621"/>
      <c r="AIJ43" s="621"/>
      <c r="AIK43" s="621"/>
      <c r="AIL43" s="621"/>
      <c r="AIM43" s="621"/>
      <c r="AIN43" s="621"/>
      <c r="AIO43" s="621"/>
      <c r="AIP43" s="621"/>
      <c r="AIQ43" s="621"/>
      <c r="AIR43" s="621"/>
      <c r="AIS43" s="621"/>
      <c r="AIT43" s="621"/>
      <c r="AIU43" s="621"/>
      <c r="AIV43" s="621"/>
      <c r="AIW43" s="621"/>
      <c r="AIX43" s="621"/>
      <c r="AIY43" s="621"/>
      <c r="AIZ43" s="621"/>
      <c r="AJA43" s="621"/>
      <c r="AJB43" s="621"/>
      <c r="AJC43" s="621"/>
      <c r="AJD43" s="621"/>
      <c r="AJE43" s="621"/>
      <c r="AJF43" s="621"/>
      <c r="AJG43" s="621"/>
      <c r="AJH43" s="621"/>
      <c r="AJI43" s="621"/>
      <c r="AJJ43" s="621"/>
      <c r="AJK43" s="621"/>
      <c r="AJL43" s="621"/>
      <c r="AJM43" s="621"/>
      <c r="AJN43" s="621"/>
      <c r="AJO43" s="621"/>
      <c r="AJP43" s="621"/>
      <c r="AJQ43" s="621"/>
      <c r="AJR43" s="621"/>
      <c r="AJS43" s="621"/>
      <c r="AJT43" s="621"/>
      <c r="AJU43" s="621"/>
      <c r="AJV43" s="621"/>
      <c r="AJW43" s="621"/>
      <c r="AJX43" s="621"/>
      <c r="AJY43" s="621"/>
      <c r="AJZ43" s="621"/>
      <c r="AKA43" s="621"/>
      <c r="AKB43" s="621"/>
      <c r="AKC43" s="621"/>
      <c r="AKD43" s="621"/>
      <c r="AKE43" s="621"/>
      <c r="AKF43" s="621"/>
      <c r="AKG43" s="621"/>
      <c r="AKH43" s="621"/>
      <c r="AKI43" s="621"/>
      <c r="AKJ43" s="621"/>
      <c r="AKK43" s="621"/>
      <c r="AKL43" s="621"/>
      <c r="AKM43" s="621"/>
      <c r="AKN43" s="621"/>
      <c r="AKO43" s="621"/>
      <c r="AKP43" s="621"/>
      <c r="AKQ43" s="621"/>
      <c r="AKR43" s="621"/>
      <c r="AKS43" s="621"/>
      <c r="AKT43" s="621"/>
      <c r="AKU43" s="621"/>
      <c r="AKV43" s="621"/>
      <c r="AKW43" s="621"/>
      <c r="AKX43" s="621"/>
      <c r="AKY43" s="621"/>
      <c r="AKZ43" s="621"/>
      <c r="ALA43" s="621"/>
      <c r="ALB43" s="621"/>
      <c r="ALC43" s="621"/>
      <c r="ALD43" s="621"/>
      <c r="ALE43" s="621"/>
      <c r="ALF43" s="621"/>
      <c r="ALG43" s="621"/>
      <c r="ALH43" s="621"/>
      <c r="ALI43" s="621"/>
      <c r="ALJ43" s="621"/>
      <c r="ALK43" s="621"/>
      <c r="ALL43" s="621"/>
      <c r="ALM43" s="621"/>
      <c r="ALN43" s="621"/>
      <c r="ALO43" s="621"/>
      <c r="ALP43" s="621"/>
      <c r="ALQ43" s="621"/>
      <c r="ALR43" s="621"/>
      <c r="ALS43" s="621"/>
      <c r="ALT43" s="621"/>
      <c r="ALU43" s="621"/>
      <c r="ALV43" s="621"/>
      <c r="ALW43" s="621"/>
      <c r="ALX43" s="621"/>
      <c r="ALY43" s="621"/>
      <c r="ALZ43" s="621"/>
      <c r="AMA43" s="621"/>
      <c r="AMB43" s="621"/>
      <c r="AMC43" s="621"/>
      <c r="AMD43" s="621"/>
      <c r="AME43" s="621"/>
      <c r="AMF43" s="621"/>
      <c r="AMG43" s="621"/>
      <c r="AMH43" s="621"/>
      <c r="AMI43" s="621"/>
      <c r="AMJ43" s="621"/>
      <c r="AMK43" s="621"/>
    </row>
    <row r="44" spans="1:1025" ht="28.5" customHeight="1">
      <c r="A44" s="374" t="s">
        <v>360</v>
      </c>
      <c r="B44" s="375" t="s">
        <v>378</v>
      </c>
      <c r="C44" s="376">
        <f>'Weekly Machinery Ex'!J78</f>
        <v>8330</v>
      </c>
      <c r="D44" s="423">
        <f>'Weekly Machinery Ex'!K73</f>
        <v>8330</v>
      </c>
      <c r="E44" s="2043"/>
      <c r="F44" s="2043"/>
      <c r="G44" s="393"/>
      <c r="H44" s="414"/>
      <c r="I44" s="1497"/>
      <c r="J44" s="1498">
        <v>8400</v>
      </c>
      <c r="K44" s="593"/>
      <c r="L44" s="413"/>
      <c r="M44" s="416"/>
      <c r="N44" s="1446"/>
      <c r="O44" s="1446"/>
      <c r="P44" s="396"/>
      <c r="T44" s="397"/>
      <c r="U44" s="397"/>
      <c r="V44" s="328" t="s">
        <v>325</v>
      </c>
      <c r="W44" s="410">
        <v>26.501300000000001</v>
      </c>
      <c r="X44" s="410"/>
      <c r="Y44" s="411">
        <f t="shared" si="8"/>
        <v>0</v>
      </c>
      <c r="Z44" s="398"/>
      <c r="AA44" s="399"/>
      <c r="AB44" s="260"/>
      <c r="AC44" s="386"/>
      <c r="AD44" s="1482"/>
      <c r="AE44" s="1482"/>
      <c r="AF44" s="1482"/>
      <c r="AG44" s="1482"/>
      <c r="AH44" s="1482"/>
      <c r="AI44" s="1482"/>
      <c r="AJ44" s="1480"/>
      <c r="AK44" s="1481"/>
      <c r="AL44" s="1480"/>
      <c r="AM44" s="289"/>
      <c r="AN44" s="260"/>
      <c r="AO44" s="260"/>
      <c r="AQ44" s="621"/>
      <c r="AR44" s="621"/>
      <c r="AS44" s="621"/>
      <c r="AT44" s="621"/>
      <c r="AU44" s="621"/>
      <c r="AV44" s="621"/>
      <c r="AW44" s="621"/>
      <c r="AX44" s="621"/>
      <c r="AY44" s="621"/>
      <c r="AZ44" s="621"/>
      <c r="BA44" s="621"/>
      <c r="BB44" s="621"/>
      <c r="BC44" s="621"/>
      <c r="BD44" s="621"/>
      <c r="BE44" s="621"/>
      <c r="BF44" s="621"/>
      <c r="BG44" s="621"/>
      <c r="BH44" s="621"/>
      <c r="BI44" s="621"/>
      <c r="BJ44" s="621"/>
      <c r="BK44" s="621"/>
      <c r="BL44" s="621"/>
      <c r="BM44" s="621"/>
      <c r="BN44" s="621"/>
      <c r="BO44" s="621"/>
      <c r="BP44" s="621"/>
      <c r="BQ44" s="621"/>
      <c r="BR44" s="621"/>
      <c r="BS44" s="621"/>
      <c r="BT44" s="621"/>
      <c r="BU44" s="621"/>
      <c r="BV44" s="621"/>
      <c r="BW44" s="621"/>
      <c r="BX44" s="621"/>
      <c r="BY44" s="621"/>
      <c r="BZ44" s="621"/>
      <c r="CA44" s="621"/>
      <c r="CB44" s="621"/>
      <c r="CC44" s="621"/>
      <c r="CD44" s="621"/>
      <c r="CE44" s="621"/>
      <c r="CF44" s="621"/>
      <c r="CG44" s="621"/>
      <c r="CH44" s="621"/>
      <c r="CI44" s="621"/>
      <c r="CJ44" s="621"/>
      <c r="CK44" s="621"/>
      <c r="CL44" s="621"/>
      <c r="CM44" s="621"/>
      <c r="CN44" s="621"/>
      <c r="CO44" s="621"/>
      <c r="CP44" s="621"/>
      <c r="CQ44" s="621"/>
      <c r="CR44" s="621"/>
      <c r="CS44" s="621"/>
      <c r="CT44" s="621"/>
      <c r="CU44" s="621"/>
      <c r="CV44" s="621"/>
      <c r="CW44" s="621"/>
      <c r="CX44" s="621"/>
      <c r="CY44" s="621"/>
      <c r="CZ44" s="621"/>
      <c r="DA44" s="621"/>
      <c r="DB44" s="621"/>
      <c r="DC44" s="621"/>
      <c r="DD44" s="621"/>
      <c r="DE44" s="621"/>
      <c r="DF44" s="621"/>
      <c r="DG44" s="621"/>
      <c r="DH44" s="621"/>
      <c r="DI44" s="621"/>
      <c r="DJ44" s="621"/>
      <c r="DK44" s="621"/>
      <c r="DL44" s="621"/>
      <c r="DM44" s="621"/>
      <c r="DN44" s="621"/>
      <c r="DO44" s="621"/>
      <c r="DP44" s="621"/>
      <c r="DQ44" s="621"/>
      <c r="DR44" s="621"/>
      <c r="DS44" s="621"/>
      <c r="DT44" s="621"/>
      <c r="DU44" s="621"/>
      <c r="DV44" s="621"/>
      <c r="DW44" s="621"/>
      <c r="DX44" s="621"/>
      <c r="DY44" s="621"/>
      <c r="DZ44" s="621"/>
      <c r="EA44" s="621"/>
      <c r="EB44" s="621"/>
      <c r="EC44" s="621"/>
      <c r="ED44" s="621"/>
      <c r="EE44" s="621"/>
      <c r="EF44" s="621"/>
      <c r="EG44" s="621"/>
      <c r="EH44" s="621"/>
      <c r="EI44" s="621"/>
      <c r="EJ44" s="621"/>
      <c r="EK44" s="621"/>
      <c r="EL44" s="621"/>
      <c r="EM44" s="621"/>
      <c r="EN44" s="621"/>
      <c r="EO44" s="621"/>
      <c r="EP44" s="621"/>
      <c r="EQ44" s="621"/>
      <c r="ER44" s="621"/>
      <c r="ES44" s="621"/>
      <c r="ET44" s="621"/>
      <c r="EU44" s="621"/>
      <c r="EV44" s="621"/>
      <c r="EW44" s="621"/>
      <c r="EX44" s="621"/>
      <c r="EY44" s="621"/>
      <c r="EZ44" s="621"/>
      <c r="FA44" s="621"/>
      <c r="FB44" s="621"/>
      <c r="FC44" s="621"/>
      <c r="FD44" s="621"/>
      <c r="FE44" s="621"/>
      <c r="FF44" s="621"/>
      <c r="FG44" s="621"/>
      <c r="FH44" s="621"/>
      <c r="FI44" s="621"/>
      <c r="FJ44" s="621"/>
      <c r="FK44" s="621"/>
      <c r="FL44" s="621"/>
      <c r="FM44" s="621"/>
      <c r="FN44" s="621"/>
      <c r="FO44" s="621"/>
      <c r="FP44" s="621"/>
      <c r="FQ44" s="621"/>
      <c r="FR44" s="621"/>
      <c r="FS44" s="621"/>
      <c r="FT44" s="621"/>
      <c r="FU44" s="621"/>
      <c r="FV44" s="621"/>
      <c r="FW44" s="621"/>
      <c r="FX44" s="621"/>
      <c r="FY44" s="621"/>
      <c r="FZ44" s="621"/>
      <c r="GA44" s="621"/>
      <c r="GB44" s="621"/>
      <c r="GC44" s="621"/>
      <c r="GD44" s="621"/>
      <c r="GE44" s="621"/>
      <c r="GF44" s="621"/>
      <c r="GG44" s="621"/>
      <c r="GH44" s="621"/>
      <c r="GI44" s="621"/>
      <c r="GJ44" s="621"/>
      <c r="GK44" s="621"/>
      <c r="GL44" s="621"/>
      <c r="GM44" s="621"/>
      <c r="GN44" s="621"/>
      <c r="GO44" s="621"/>
      <c r="GP44" s="621"/>
      <c r="GQ44" s="621"/>
      <c r="GR44" s="621"/>
      <c r="GS44" s="621"/>
      <c r="GT44" s="621"/>
      <c r="GU44" s="621"/>
      <c r="GV44" s="621"/>
      <c r="GW44" s="621"/>
      <c r="GX44" s="621"/>
      <c r="GY44" s="621"/>
      <c r="GZ44" s="621"/>
      <c r="HA44" s="621"/>
      <c r="HB44" s="621"/>
      <c r="HC44" s="621"/>
      <c r="HD44" s="621"/>
      <c r="HE44" s="621"/>
      <c r="HF44" s="621"/>
      <c r="HG44" s="621"/>
      <c r="HH44" s="621"/>
      <c r="HI44" s="621"/>
      <c r="HJ44" s="621"/>
      <c r="HK44" s="621"/>
      <c r="HL44" s="621"/>
      <c r="HM44" s="621"/>
      <c r="HN44" s="621"/>
      <c r="HO44" s="621"/>
      <c r="HP44" s="621"/>
      <c r="HQ44" s="621"/>
      <c r="HR44" s="621"/>
      <c r="HS44" s="621"/>
      <c r="HT44" s="621"/>
      <c r="HU44" s="621"/>
      <c r="HV44" s="621"/>
      <c r="HW44" s="621"/>
      <c r="HX44" s="621"/>
      <c r="HY44" s="621"/>
      <c r="HZ44" s="621"/>
      <c r="IA44" s="621"/>
      <c r="IB44" s="621"/>
      <c r="IC44" s="621"/>
      <c r="ID44" s="621"/>
      <c r="IE44" s="621"/>
      <c r="IF44" s="621"/>
      <c r="IG44" s="621"/>
      <c r="IH44" s="621"/>
      <c r="II44" s="621"/>
      <c r="IJ44" s="621"/>
      <c r="IK44" s="621"/>
      <c r="IL44" s="621"/>
      <c r="IM44" s="621"/>
      <c r="IN44" s="621"/>
      <c r="IO44" s="621"/>
      <c r="IP44" s="621"/>
      <c r="IQ44" s="621"/>
      <c r="IR44" s="621"/>
      <c r="IS44" s="621"/>
      <c r="IT44" s="621"/>
      <c r="IU44" s="621"/>
      <c r="IV44" s="621"/>
      <c r="IW44" s="621"/>
      <c r="IX44" s="621"/>
      <c r="IY44" s="621"/>
      <c r="IZ44" s="621"/>
      <c r="JA44" s="621"/>
      <c r="JB44" s="621"/>
      <c r="JC44" s="621"/>
      <c r="JD44" s="621"/>
      <c r="JE44" s="621"/>
      <c r="JF44" s="621"/>
      <c r="JG44" s="621"/>
      <c r="JH44" s="621"/>
      <c r="JI44" s="621"/>
      <c r="JJ44" s="621"/>
      <c r="JK44" s="621"/>
      <c r="JL44" s="621"/>
      <c r="JM44" s="621"/>
      <c r="JN44" s="621"/>
      <c r="JO44" s="621"/>
      <c r="JP44" s="621"/>
      <c r="JQ44" s="621"/>
      <c r="JR44" s="621"/>
      <c r="JS44" s="621"/>
      <c r="JT44" s="621"/>
      <c r="JU44" s="621"/>
      <c r="JV44" s="621"/>
      <c r="JW44" s="621"/>
      <c r="JX44" s="621"/>
      <c r="JY44" s="621"/>
      <c r="JZ44" s="621"/>
      <c r="KA44" s="621"/>
      <c r="KB44" s="621"/>
      <c r="KC44" s="621"/>
      <c r="KD44" s="621"/>
      <c r="KE44" s="621"/>
      <c r="KF44" s="621"/>
      <c r="KG44" s="621"/>
      <c r="KH44" s="621"/>
      <c r="KI44" s="621"/>
      <c r="KJ44" s="621"/>
      <c r="KK44" s="621"/>
      <c r="KL44" s="621"/>
      <c r="KM44" s="621"/>
      <c r="KN44" s="621"/>
      <c r="KO44" s="621"/>
      <c r="KP44" s="621"/>
      <c r="KQ44" s="621"/>
      <c r="KR44" s="621"/>
      <c r="KS44" s="621"/>
      <c r="KT44" s="621"/>
      <c r="KU44" s="621"/>
      <c r="KV44" s="621"/>
      <c r="KW44" s="621"/>
      <c r="KX44" s="621"/>
      <c r="KY44" s="621"/>
      <c r="KZ44" s="621"/>
      <c r="LA44" s="621"/>
      <c r="LB44" s="621"/>
      <c r="LC44" s="621"/>
      <c r="LD44" s="621"/>
      <c r="LE44" s="621"/>
      <c r="LF44" s="621"/>
      <c r="LG44" s="621"/>
      <c r="LH44" s="621"/>
      <c r="LI44" s="621"/>
      <c r="LJ44" s="621"/>
      <c r="LK44" s="621"/>
      <c r="LL44" s="621"/>
      <c r="LM44" s="621"/>
      <c r="LN44" s="621"/>
      <c r="LO44" s="621"/>
      <c r="LP44" s="621"/>
      <c r="LQ44" s="621"/>
      <c r="LR44" s="621"/>
      <c r="LS44" s="621"/>
      <c r="LT44" s="621"/>
      <c r="LU44" s="621"/>
      <c r="LV44" s="621"/>
      <c r="LW44" s="621"/>
      <c r="LX44" s="621"/>
      <c r="LY44" s="621"/>
      <c r="LZ44" s="621"/>
      <c r="MA44" s="621"/>
      <c r="MB44" s="621"/>
      <c r="MC44" s="621"/>
      <c r="MD44" s="621"/>
      <c r="ME44" s="621"/>
      <c r="MF44" s="621"/>
      <c r="MG44" s="621"/>
      <c r="MH44" s="621"/>
      <c r="MI44" s="621"/>
      <c r="MJ44" s="621"/>
      <c r="MK44" s="621"/>
      <c r="ML44" s="621"/>
      <c r="MM44" s="621"/>
      <c r="MN44" s="621"/>
      <c r="MO44" s="621"/>
      <c r="MP44" s="621"/>
      <c r="MQ44" s="621"/>
      <c r="MR44" s="621"/>
      <c r="MS44" s="621"/>
      <c r="MT44" s="621"/>
      <c r="MU44" s="621"/>
      <c r="MV44" s="621"/>
      <c r="MW44" s="621"/>
      <c r="MX44" s="621"/>
      <c r="MY44" s="621"/>
      <c r="MZ44" s="621"/>
      <c r="NA44" s="621"/>
      <c r="NB44" s="621"/>
      <c r="NC44" s="621"/>
      <c r="ND44" s="621"/>
      <c r="NE44" s="621"/>
      <c r="NF44" s="621"/>
      <c r="NG44" s="621"/>
      <c r="NH44" s="621"/>
      <c r="NI44" s="621"/>
      <c r="NJ44" s="621"/>
      <c r="NK44" s="621"/>
      <c r="NL44" s="621"/>
      <c r="NM44" s="621"/>
      <c r="NN44" s="621"/>
      <c r="NO44" s="621"/>
      <c r="NP44" s="621"/>
      <c r="NQ44" s="621"/>
      <c r="NR44" s="621"/>
      <c r="NS44" s="621"/>
      <c r="NT44" s="621"/>
      <c r="NU44" s="621"/>
      <c r="NV44" s="621"/>
      <c r="NW44" s="621"/>
      <c r="NX44" s="621"/>
      <c r="NY44" s="621"/>
      <c r="NZ44" s="621"/>
      <c r="OA44" s="621"/>
      <c r="OB44" s="621"/>
      <c r="OC44" s="621"/>
      <c r="OD44" s="621"/>
      <c r="OE44" s="621"/>
      <c r="OF44" s="621"/>
      <c r="OG44" s="621"/>
      <c r="OH44" s="621"/>
      <c r="OI44" s="621"/>
      <c r="OJ44" s="621"/>
      <c r="OK44" s="621"/>
      <c r="OL44" s="621"/>
      <c r="OM44" s="621"/>
      <c r="ON44" s="621"/>
      <c r="OO44" s="621"/>
      <c r="OP44" s="621"/>
      <c r="OQ44" s="621"/>
      <c r="OR44" s="621"/>
      <c r="OS44" s="621"/>
      <c r="OT44" s="621"/>
      <c r="OU44" s="621"/>
      <c r="OV44" s="621"/>
      <c r="OW44" s="621"/>
      <c r="OX44" s="621"/>
      <c r="OY44" s="621"/>
      <c r="OZ44" s="621"/>
      <c r="PA44" s="621"/>
      <c r="PB44" s="621"/>
      <c r="PC44" s="621"/>
      <c r="PD44" s="621"/>
      <c r="PE44" s="621"/>
      <c r="PF44" s="621"/>
      <c r="PG44" s="621"/>
      <c r="PH44" s="621"/>
      <c r="PI44" s="621"/>
      <c r="PJ44" s="621"/>
      <c r="PK44" s="621"/>
      <c r="PL44" s="621"/>
      <c r="PM44" s="621"/>
      <c r="PN44" s="621"/>
      <c r="PO44" s="621"/>
      <c r="PP44" s="621"/>
      <c r="PQ44" s="621"/>
      <c r="PR44" s="621"/>
      <c r="PS44" s="621"/>
      <c r="PT44" s="621"/>
      <c r="PU44" s="621"/>
      <c r="PV44" s="621"/>
      <c r="PW44" s="621"/>
      <c r="PX44" s="621"/>
      <c r="PY44" s="621"/>
      <c r="PZ44" s="621"/>
      <c r="QA44" s="621"/>
      <c r="QB44" s="621"/>
      <c r="QC44" s="621"/>
      <c r="QD44" s="621"/>
      <c r="QE44" s="621"/>
      <c r="QF44" s="621"/>
      <c r="QG44" s="621"/>
      <c r="QH44" s="621"/>
      <c r="QI44" s="621"/>
      <c r="QJ44" s="621"/>
      <c r="QK44" s="621"/>
      <c r="QL44" s="621"/>
      <c r="QM44" s="621"/>
      <c r="QN44" s="621"/>
      <c r="QO44" s="621"/>
      <c r="QP44" s="621"/>
      <c r="QQ44" s="621"/>
      <c r="QR44" s="621"/>
      <c r="QS44" s="621"/>
      <c r="QT44" s="621"/>
      <c r="QU44" s="621"/>
      <c r="QV44" s="621"/>
      <c r="QW44" s="621"/>
      <c r="QX44" s="621"/>
      <c r="QY44" s="621"/>
      <c r="QZ44" s="621"/>
      <c r="RA44" s="621"/>
      <c r="RB44" s="621"/>
      <c r="RC44" s="621"/>
      <c r="RD44" s="621"/>
      <c r="RE44" s="621"/>
      <c r="RF44" s="621"/>
      <c r="RG44" s="621"/>
      <c r="RH44" s="621"/>
      <c r="RI44" s="621"/>
      <c r="RJ44" s="621"/>
      <c r="RK44" s="621"/>
      <c r="RL44" s="621"/>
      <c r="RM44" s="621"/>
      <c r="RN44" s="621"/>
      <c r="RO44" s="621"/>
      <c r="RP44" s="621"/>
      <c r="RQ44" s="621"/>
      <c r="RR44" s="621"/>
      <c r="RS44" s="621"/>
      <c r="RT44" s="621"/>
      <c r="RU44" s="621"/>
      <c r="RV44" s="621"/>
      <c r="RW44" s="621"/>
      <c r="RX44" s="621"/>
      <c r="RY44" s="621"/>
      <c r="RZ44" s="621"/>
      <c r="SA44" s="621"/>
      <c r="SB44" s="621"/>
      <c r="SC44" s="621"/>
      <c r="SD44" s="621"/>
      <c r="SE44" s="621"/>
      <c r="SF44" s="621"/>
      <c r="SG44" s="621"/>
      <c r="SH44" s="621"/>
      <c r="SI44" s="621"/>
      <c r="SJ44" s="621"/>
      <c r="SK44" s="621"/>
      <c r="SL44" s="621"/>
      <c r="SM44" s="621"/>
      <c r="SN44" s="621"/>
      <c r="SO44" s="621"/>
      <c r="SP44" s="621"/>
      <c r="SQ44" s="621"/>
      <c r="SR44" s="621"/>
      <c r="SS44" s="621"/>
      <c r="ST44" s="621"/>
      <c r="SU44" s="621"/>
      <c r="SV44" s="621"/>
      <c r="SW44" s="621"/>
      <c r="SX44" s="621"/>
      <c r="SY44" s="621"/>
      <c r="SZ44" s="621"/>
      <c r="TA44" s="621"/>
      <c r="TB44" s="621"/>
      <c r="TC44" s="621"/>
      <c r="TD44" s="621"/>
      <c r="TE44" s="621"/>
      <c r="TF44" s="621"/>
      <c r="TG44" s="621"/>
      <c r="TH44" s="621"/>
      <c r="TI44" s="621"/>
      <c r="TJ44" s="621"/>
      <c r="TK44" s="621"/>
      <c r="TL44" s="621"/>
      <c r="TM44" s="621"/>
      <c r="TN44" s="621"/>
      <c r="TO44" s="621"/>
      <c r="TP44" s="621"/>
      <c r="TQ44" s="621"/>
      <c r="TR44" s="621"/>
      <c r="TS44" s="621"/>
      <c r="TT44" s="621"/>
      <c r="TU44" s="621"/>
      <c r="TV44" s="621"/>
      <c r="TW44" s="621"/>
      <c r="TX44" s="621"/>
      <c r="TY44" s="621"/>
      <c r="TZ44" s="621"/>
      <c r="UA44" s="621"/>
      <c r="UB44" s="621"/>
      <c r="UC44" s="621"/>
      <c r="UD44" s="621"/>
      <c r="UE44" s="621"/>
      <c r="UF44" s="621"/>
      <c r="UG44" s="621"/>
      <c r="UH44" s="621"/>
      <c r="UI44" s="621"/>
      <c r="UJ44" s="621"/>
      <c r="UK44" s="621"/>
      <c r="UL44" s="621"/>
      <c r="UM44" s="621"/>
      <c r="UN44" s="621"/>
      <c r="UO44" s="621"/>
      <c r="UP44" s="621"/>
      <c r="UQ44" s="621"/>
      <c r="UR44" s="621"/>
      <c r="US44" s="621"/>
      <c r="UT44" s="621"/>
      <c r="UU44" s="621"/>
      <c r="UV44" s="621"/>
      <c r="UW44" s="621"/>
      <c r="UX44" s="621"/>
      <c r="UY44" s="621"/>
      <c r="UZ44" s="621"/>
      <c r="VA44" s="621"/>
      <c r="VB44" s="621"/>
      <c r="VC44" s="621"/>
      <c r="VD44" s="621"/>
      <c r="VE44" s="621"/>
      <c r="VF44" s="621"/>
      <c r="VG44" s="621"/>
      <c r="VH44" s="621"/>
      <c r="VI44" s="621"/>
      <c r="VJ44" s="621"/>
      <c r="VK44" s="621"/>
      <c r="VL44" s="621"/>
      <c r="VM44" s="621"/>
      <c r="VN44" s="621"/>
      <c r="VO44" s="621"/>
      <c r="VP44" s="621"/>
      <c r="VQ44" s="621"/>
      <c r="VR44" s="621"/>
      <c r="VS44" s="621"/>
      <c r="VT44" s="621"/>
      <c r="VU44" s="621"/>
      <c r="VV44" s="621"/>
      <c r="VW44" s="621"/>
      <c r="VX44" s="621"/>
      <c r="VY44" s="621"/>
      <c r="VZ44" s="621"/>
      <c r="WA44" s="621"/>
      <c r="WB44" s="621"/>
      <c r="WC44" s="621"/>
      <c r="WD44" s="621"/>
      <c r="WE44" s="621"/>
      <c r="WF44" s="621"/>
      <c r="WG44" s="621"/>
      <c r="WH44" s="621"/>
      <c r="WI44" s="621"/>
      <c r="WJ44" s="621"/>
      <c r="WK44" s="621"/>
      <c r="WL44" s="621"/>
      <c r="WM44" s="621"/>
      <c r="WN44" s="621"/>
      <c r="WO44" s="621"/>
      <c r="WP44" s="621"/>
      <c r="WQ44" s="621"/>
      <c r="WR44" s="621"/>
      <c r="WS44" s="621"/>
      <c r="WT44" s="621"/>
      <c r="WU44" s="621"/>
      <c r="WV44" s="621"/>
      <c r="WW44" s="621"/>
      <c r="WX44" s="621"/>
      <c r="WY44" s="621"/>
      <c r="WZ44" s="621"/>
      <c r="XA44" s="621"/>
      <c r="XB44" s="621"/>
      <c r="XC44" s="621"/>
      <c r="XD44" s="621"/>
      <c r="XE44" s="621"/>
      <c r="XF44" s="621"/>
      <c r="XG44" s="621"/>
      <c r="XH44" s="621"/>
      <c r="XI44" s="621"/>
      <c r="XJ44" s="621"/>
      <c r="XK44" s="621"/>
      <c r="XL44" s="621"/>
      <c r="XM44" s="621"/>
      <c r="XN44" s="621"/>
      <c r="XO44" s="621"/>
      <c r="XP44" s="621"/>
      <c r="XQ44" s="621"/>
      <c r="XR44" s="621"/>
      <c r="XS44" s="621"/>
      <c r="XT44" s="621"/>
      <c r="XU44" s="621"/>
      <c r="XV44" s="621"/>
      <c r="XW44" s="621"/>
      <c r="XX44" s="621"/>
      <c r="XY44" s="621"/>
      <c r="XZ44" s="621"/>
      <c r="YA44" s="621"/>
      <c r="YB44" s="621"/>
      <c r="YC44" s="621"/>
      <c r="YD44" s="621"/>
      <c r="YE44" s="621"/>
      <c r="YF44" s="621"/>
      <c r="YG44" s="621"/>
      <c r="YH44" s="621"/>
      <c r="YI44" s="621"/>
      <c r="YJ44" s="621"/>
      <c r="YK44" s="621"/>
      <c r="YL44" s="621"/>
      <c r="YM44" s="621"/>
      <c r="YN44" s="621"/>
      <c r="YO44" s="621"/>
      <c r="YP44" s="621"/>
      <c r="YQ44" s="621"/>
      <c r="YR44" s="621"/>
      <c r="YS44" s="621"/>
      <c r="YT44" s="621"/>
      <c r="YU44" s="621"/>
      <c r="YV44" s="621"/>
      <c r="YW44" s="621"/>
      <c r="YX44" s="621"/>
      <c r="YY44" s="621"/>
      <c r="YZ44" s="621"/>
      <c r="ZA44" s="621"/>
      <c r="ZB44" s="621"/>
      <c r="ZC44" s="621"/>
      <c r="ZD44" s="621"/>
      <c r="ZE44" s="621"/>
      <c r="ZF44" s="621"/>
      <c r="ZG44" s="621"/>
      <c r="ZH44" s="621"/>
      <c r="ZI44" s="621"/>
      <c r="ZJ44" s="621"/>
      <c r="ZK44" s="621"/>
      <c r="ZL44" s="621"/>
      <c r="ZM44" s="621"/>
      <c r="ZN44" s="621"/>
      <c r="ZO44" s="621"/>
      <c r="ZP44" s="621"/>
      <c r="ZQ44" s="621"/>
      <c r="ZR44" s="621"/>
      <c r="ZS44" s="621"/>
      <c r="ZT44" s="621"/>
      <c r="ZU44" s="621"/>
      <c r="ZV44" s="621"/>
      <c r="ZW44" s="621"/>
      <c r="ZX44" s="621"/>
      <c r="ZY44" s="621"/>
      <c r="ZZ44" s="621"/>
      <c r="AAA44" s="621"/>
      <c r="AAB44" s="621"/>
      <c r="AAC44" s="621"/>
      <c r="AAD44" s="621"/>
      <c r="AAE44" s="621"/>
      <c r="AAF44" s="621"/>
      <c r="AAG44" s="621"/>
      <c r="AAH44" s="621"/>
      <c r="AAI44" s="621"/>
      <c r="AAJ44" s="621"/>
      <c r="AAK44" s="621"/>
      <c r="AAL44" s="621"/>
      <c r="AAM44" s="621"/>
      <c r="AAN44" s="621"/>
      <c r="AAO44" s="621"/>
      <c r="AAP44" s="621"/>
      <c r="AAQ44" s="621"/>
      <c r="AAR44" s="621"/>
      <c r="AAS44" s="621"/>
      <c r="AAT44" s="621"/>
      <c r="AAU44" s="621"/>
      <c r="AAV44" s="621"/>
      <c r="AAW44" s="621"/>
      <c r="AAX44" s="621"/>
      <c r="AAY44" s="621"/>
      <c r="AAZ44" s="621"/>
      <c r="ABA44" s="621"/>
      <c r="ABB44" s="621"/>
      <c r="ABC44" s="621"/>
      <c r="ABD44" s="621"/>
      <c r="ABE44" s="621"/>
      <c r="ABF44" s="621"/>
      <c r="ABG44" s="621"/>
      <c r="ABH44" s="621"/>
      <c r="ABI44" s="621"/>
      <c r="ABJ44" s="621"/>
      <c r="ABK44" s="621"/>
      <c r="ABL44" s="621"/>
      <c r="ABM44" s="621"/>
      <c r="ABN44" s="621"/>
      <c r="ABO44" s="621"/>
      <c r="ABP44" s="621"/>
      <c r="ABQ44" s="621"/>
      <c r="ABR44" s="621"/>
      <c r="ABS44" s="621"/>
      <c r="ABT44" s="621"/>
      <c r="ABU44" s="621"/>
      <c r="ABV44" s="621"/>
      <c r="ABW44" s="621"/>
      <c r="ABX44" s="621"/>
      <c r="ABY44" s="621"/>
      <c r="ABZ44" s="621"/>
      <c r="ACA44" s="621"/>
      <c r="ACB44" s="621"/>
      <c r="ACC44" s="621"/>
      <c r="ACD44" s="621"/>
      <c r="ACE44" s="621"/>
      <c r="ACF44" s="621"/>
      <c r="ACG44" s="621"/>
      <c r="ACH44" s="621"/>
      <c r="ACI44" s="621"/>
      <c r="ACJ44" s="621"/>
      <c r="ACK44" s="621"/>
      <c r="ACL44" s="621"/>
      <c r="ACM44" s="621"/>
      <c r="ACN44" s="621"/>
      <c r="ACO44" s="621"/>
      <c r="ACP44" s="621"/>
      <c r="ACQ44" s="621"/>
      <c r="ACR44" s="621"/>
      <c r="ACS44" s="621"/>
      <c r="ACT44" s="621"/>
      <c r="ACU44" s="621"/>
      <c r="ACV44" s="621"/>
      <c r="ACW44" s="621"/>
      <c r="ACX44" s="621"/>
      <c r="ACY44" s="621"/>
      <c r="ACZ44" s="621"/>
      <c r="ADA44" s="621"/>
      <c r="ADB44" s="621"/>
      <c r="ADC44" s="621"/>
      <c r="ADD44" s="621"/>
      <c r="ADE44" s="621"/>
      <c r="ADF44" s="621"/>
      <c r="ADG44" s="621"/>
      <c r="ADH44" s="621"/>
      <c r="ADI44" s="621"/>
      <c r="ADJ44" s="621"/>
      <c r="ADK44" s="621"/>
      <c r="ADL44" s="621"/>
      <c r="ADM44" s="621"/>
      <c r="ADN44" s="621"/>
      <c r="ADO44" s="621"/>
      <c r="ADP44" s="621"/>
      <c r="ADQ44" s="621"/>
      <c r="ADR44" s="621"/>
      <c r="ADS44" s="621"/>
      <c r="ADT44" s="621"/>
      <c r="ADU44" s="621"/>
      <c r="ADV44" s="621"/>
      <c r="ADW44" s="621"/>
      <c r="ADX44" s="621"/>
      <c r="ADY44" s="621"/>
      <c r="ADZ44" s="621"/>
      <c r="AEA44" s="621"/>
      <c r="AEB44" s="621"/>
      <c r="AEC44" s="621"/>
      <c r="AED44" s="621"/>
      <c r="AEE44" s="621"/>
      <c r="AEF44" s="621"/>
      <c r="AEG44" s="621"/>
      <c r="AEH44" s="621"/>
      <c r="AEI44" s="621"/>
      <c r="AEJ44" s="621"/>
      <c r="AEK44" s="621"/>
      <c r="AEL44" s="621"/>
      <c r="AEM44" s="621"/>
      <c r="AEN44" s="621"/>
      <c r="AEO44" s="621"/>
      <c r="AEP44" s="621"/>
      <c r="AEQ44" s="621"/>
      <c r="AER44" s="621"/>
      <c r="AES44" s="621"/>
      <c r="AET44" s="621"/>
      <c r="AEU44" s="621"/>
      <c r="AEV44" s="621"/>
      <c r="AEW44" s="621"/>
      <c r="AEX44" s="621"/>
      <c r="AEY44" s="621"/>
      <c r="AEZ44" s="621"/>
      <c r="AFA44" s="621"/>
      <c r="AFB44" s="621"/>
      <c r="AFC44" s="621"/>
      <c r="AFD44" s="621"/>
      <c r="AFE44" s="621"/>
      <c r="AFF44" s="621"/>
      <c r="AFG44" s="621"/>
      <c r="AFH44" s="621"/>
      <c r="AFI44" s="621"/>
      <c r="AFJ44" s="621"/>
      <c r="AFK44" s="621"/>
      <c r="AFL44" s="621"/>
      <c r="AFM44" s="621"/>
      <c r="AFN44" s="621"/>
      <c r="AFO44" s="621"/>
      <c r="AFP44" s="621"/>
      <c r="AFQ44" s="621"/>
      <c r="AFR44" s="621"/>
      <c r="AFS44" s="621"/>
      <c r="AFT44" s="621"/>
      <c r="AFU44" s="621"/>
      <c r="AFV44" s="621"/>
      <c r="AFW44" s="621"/>
      <c r="AFX44" s="621"/>
      <c r="AFY44" s="621"/>
      <c r="AFZ44" s="621"/>
      <c r="AGA44" s="621"/>
      <c r="AGB44" s="621"/>
      <c r="AGC44" s="621"/>
      <c r="AGD44" s="621"/>
      <c r="AGE44" s="621"/>
      <c r="AGF44" s="621"/>
      <c r="AGG44" s="621"/>
      <c r="AGH44" s="621"/>
      <c r="AGI44" s="621"/>
      <c r="AGJ44" s="621"/>
      <c r="AGK44" s="621"/>
      <c r="AGL44" s="621"/>
      <c r="AGM44" s="621"/>
      <c r="AGN44" s="621"/>
      <c r="AGO44" s="621"/>
      <c r="AGP44" s="621"/>
      <c r="AGQ44" s="621"/>
      <c r="AGR44" s="621"/>
      <c r="AGS44" s="621"/>
      <c r="AGT44" s="621"/>
      <c r="AGU44" s="621"/>
      <c r="AGV44" s="621"/>
      <c r="AGW44" s="621"/>
      <c r="AGX44" s="621"/>
      <c r="AGY44" s="621"/>
      <c r="AGZ44" s="621"/>
      <c r="AHA44" s="621"/>
      <c r="AHB44" s="621"/>
      <c r="AHC44" s="621"/>
      <c r="AHD44" s="621"/>
      <c r="AHE44" s="621"/>
      <c r="AHF44" s="621"/>
      <c r="AHG44" s="621"/>
      <c r="AHH44" s="621"/>
      <c r="AHI44" s="621"/>
      <c r="AHJ44" s="621"/>
      <c r="AHK44" s="621"/>
      <c r="AHL44" s="621"/>
      <c r="AHM44" s="621"/>
      <c r="AHN44" s="621"/>
      <c r="AHO44" s="621"/>
      <c r="AHP44" s="621"/>
      <c r="AHQ44" s="621"/>
      <c r="AHR44" s="621"/>
      <c r="AHS44" s="621"/>
      <c r="AHT44" s="621"/>
      <c r="AHU44" s="621"/>
      <c r="AHV44" s="621"/>
      <c r="AHW44" s="621"/>
      <c r="AHX44" s="621"/>
      <c r="AHY44" s="621"/>
      <c r="AHZ44" s="621"/>
      <c r="AIA44" s="621"/>
      <c r="AIB44" s="621"/>
      <c r="AIC44" s="621"/>
      <c r="AID44" s="621"/>
      <c r="AIE44" s="621"/>
      <c r="AIF44" s="621"/>
      <c r="AIG44" s="621"/>
      <c r="AIH44" s="621"/>
      <c r="AII44" s="621"/>
      <c r="AIJ44" s="621"/>
      <c r="AIK44" s="621"/>
      <c r="AIL44" s="621"/>
      <c r="AIM44" s="621"/>
      <c r="AIN44" s="621"/>
      <c r="AIO44" s="621"/>
      <c r="AIP44" s="621"/>
      <c r="AIQ44" s="621"/>
      <c r="AIR44" s="621"/>
      <c r="AIS44" s="621"/>
      <c r="AIT44" s="621"/>
      <c r="AIU44" s="621"/>
      <c r="AIV44" s="621"/>
      <c r="AIW44" s="621"/>
      <c r="AIX44" s="621"/>
      <c r="AIY44" s="621"/>
      <c r="AIZ44" s="621"/>
      <c r="AJA44" s="621"/>
      <c r="AJB44" s="621"/>
      <c r="AJC44" s="621"/>
      <c r="AJD44" s="621"/>
      <c r="AJE44" s="621"/>
      <c r="AJF44" s="621"/>
      <c r="AJG44" s="621"/>
      <c r="AJH44" s="621"/>
      <c r="AJI44" s="621"/>
      <c r="AJJ44" s="621"/>
      <c r="AJK44" s="621"/>
      <c r="AJL44" s="621"/>
      <c r="AJM44" s="621"/>
      <c r="AJN44" s="621"/>
      <c r="AJO44" s="621"/>
      <c r="AJP44" s="621"/>
      <c r="AJQ44" s="621"/>
      <c r="AJR44" s="621"/>
      <c r="AJS44" s="621"/>
      <c r="AJT44" s="621"/>
      <c r="AJU44" s="621"/>
      <c r="AJV44" s="621"/>
      <c r="AJW44" s="621"/>
      <c r="AJX44" s="621"/>
      <c r="AJY44" s="621"/>
      <c r="AJZ44" s="621"/>
      <c r="AKA44" s="621"/>
      <c r="AKB44" s="621"/>
      <c r="AKC44" s="621"/>
      <c r="AKD44" s="621"/>
      <c r="AKE44" s="621"/>
      <c r="AKF44" s="621"/>
      <c r="AKG44" s="621"/>
      <c r="AKH44" s="621"/>
      <c r="AKI44" s="621"/>
      <c r="AKJ44" s="621"/>
      <c r="AKK44" s="621"/>
      <c r="AKL44" s="621"/>
      <c r="AKM44" s="621"/>
      <c r="AKN44" s="621"/>
      <c r="AKO44" s="621"/>
      <c r="AKP44" s="621"/>
      <c r="AKQ44" s="621"/>
      <c r="AKR44" s="621"/>
      <c r="AKS44" s="621"/>
      <c r="AKT44" s="621"/>
      <c r="AKU44" s="621"/>
      <c r="AKV44" s="621"/>
      <c r="AKW44" s="621"/>
      <c r="AKX44" s="621"/>
      <c r="AKY44" s="621"/>
      <c r="AKZ44" s="621"/>
      <c r="ALA44" s="621"/>
      <c r="ALB44" s="621"/>
      <c r="ALC44" s="621"/>
      <c r="ALD44" s="621"/>
      <c r="ALE44" s="621"/>
      <c r="ALF44" s="621"/>
      <c r="ALG44" s="621"/>
      <c r="ALH44" s="621"/>
      <c r="ALI44" s="621"/>
      <c r="ALJ44" s="621"/>
      <c r="ALK44" s="621"/>
      <c r="ALL44" s="621"/>
      <c r="ALM44" s="621"/>
      <c r="ALN44" s="621"/>
      <c r="ALO44" s="621"/>
      <c r="ALP44" s="621"/>
      <c r="ALQ44" s="621"/>
      <c r="ALR44" s="621"/>
      <c r="ALS44" s="621"/>
      <c r="ALT44" s="621"/>
      <c r="ALU44" s="621"/>
      <c r="ALV44" s="621"/>
      <c r="ALW44" s="621"/>
      <c r="ALX44" s="621"/>
      <c r="ALY44" s="621"/>
      <c r="ALZ44" s="621"/>
      <c r="AMA44" s="621"/>
      <c r="AMB44" s="621"/>
      <c r="AMC44" s="621"/>
      <c r="AMD44" s="621"/>
      <c r="AME44" s="621"/>
      <c r="AMF44" s="621"/>
      <c r="AMG44" s="621"/>
      <c r="AMH44" s="621"/>
      <c r="AMI44" s="621"/>
      <c r="AMJ44" s="621"/>
      <c r="AMK44" s="621"/>
    </row>
    <row r="45" spans="1:1025" ht="27.75" customHeight="1" thickBot="1">
      <c r="A45" s="374" t="s">
        <v>117</v>
      </c>
      <c r="B45" s="375" t="s">
        <v>379</v>
      </c>
      <c r="C45" s="376">
        <f>'Weekly Machinery Ex'!J31</f>
        <v>28560</v>
      </c>
      <c r="D45" s="423">
        <f>'Weekly Machinery Ex'!K31</f>
        <v>15470</v>
      </c>
      <c r="E45" s="2043"/>
      <c r="F45" s="2043"/>
      <c r="G45" s="393"/>
      <c r="H45" s="414"/>
      <c r="I45" s="1497"/>
      <c r="J45" s="1498">
        <v>2981.55</v>
      </c>
      <c r="K45" s="593"/>
      <c r="L45" s="413"/>
      <c r="M45" s="416"/>
      <c r="N45" s="1446"/>
      <c r="O45" s="1446"/>
      <c r="P45" s="396"/>
      <c r="T45" s="397"/>
      <c r="U45" s="397"/>
      <c r="V45" s="328"/>
      <c r="W45" s="410"/>
      <c r="X45" s="410"/>
      <c r="Y45" s="411"/>
      <c r="Z45" s="398"/>
      <c r="AA45" s="399"/>
      <c r="AB45" s="260"/>
      <c r="AC45" s="386"/>
      <c r="AD45" s="1482"/>
      <c r="AE45" s="1482"/>
      <c r="AF45" s="1482"/>
      <c r="AG45" s="1482"/>
      <c r="AH45" s="1482"/>
      <c r="AI45" s="1482"/>
      <c r="AJ45" s="1480"/>
      <c r="AK45" s="1481"/>
      <c r="AL45" s="1480"/>
      <c r="AM45" s="289"/>
      <c r="AN45" s="260"/>
      <c r="AO45" s="260"/>
      <c r="AQ45" s="621"/>
      <c r="AR45" s="621"/>
      <c r="AS45" s="621"/>
      <c r="AT45" s="621"/>
      <c r="AU45" s="621"/>
      <c r="AV45" s="621"/>
      <c r="AW45" s="621"/>
      <c r="AX45" s="621"/>
      <c r="AY45" s="621"/>
      <c r="AZ45" s="621"/>
      <c r="BA45" s="621"/>
      <c r="BB45" s="621"/>
      <c r="BC45" s="621"/>
      <c r="BD45" s="621"/>
      <c r="BE45" s="621"/>
      <c r="BF45" s="621"/>
      <c r="BG45" s="621"/>
      <c r="BH45" s="621"/>
      <c r="BI45" s="621"/>
      <c r="BJ45" s="621"/>
      <c r="BK45" s="621"/>
      <c r="BL45" s="621"/>
      <c r="BM45" s="621"/>
      <c r="BN45" s="621"/>
      <c r="BO45" s="621"/>
      <c r="BP45" s="621"/>
      <c r="BQ45" s="621"/>
      <c r="BR45" s="621"/>
      <c r="BS45" s="621"/>
      <c r="BT45" s="621"/>
      <c r="BU45" s="621"/>
      <c r="BV45" s="621"/>
      <c r="BW45" s="621"/>
      <c r="BX45" s="621"/>
      <c r="BY45" s="621"/>
      <c r="BZ45" s="621"/>
      <c r="CA45" s="621"/>
      <c r="CB45" s="621"/>
      <c r="CC45" s="621"/>
      <c r="CD45" s="621"/>
      <c r="CE45" s="621"/>
      <c r="CF45" s="621"/>
      <c r="CG45" s="621"/>
      <c r="CH45" s="621"/>
      <c r="CI45" s="621"/>
      <c r="CJ45" s="621"/>
      <c r="CK45" s="621"/>
      <c r="CL45" s="621"/>
      <c r="CM45" s="621"/>
      <c r="CN45" s="621"/>
      <c r="CO45" s="621"/>
      <c r="CP45" s="621"/>
      <c r="CQ45" s="621"/>
      <c r="CR45" s="621"/>
      <c r="CS45" s="621"/>
      <c r="CT45" s="621"/>
      <c r="CU45" s="621"/>
      <c r="CV45" s="621"/>
      <c r="CW45" s="621"/>
      <c r="CX45" s="621"/>
      <c r="CY45" s="621"/>
      <c r="CZ45" s="621"/>
      <c r="DA45" s="621"/>
      <c r="DB45" s="621"/>
      <c r="DC45" s="621"/>
      <c r="DD45" s="621"/>
      <c r="DE45" s="621"/>
      <c r="DF45" s="621"/>
      <c r="DG45" s="621"/>
      <c r="DH45" s="621"/>
      <c r="DI45" s="621"/>
      <c r="DJ45" s="621"/>
      <c r="DK45" s="621"/>
      <c r="DL45" s="621"/>
      <c r="DM45" s="621"/>
      <c r="DN45" s="621"/>
      <c r="DO45" s="621"/>
      <c r="DP45" s="621"/>
      <c r="DQ45" s="621"/>
      <c r="DR45" s="621"/>
      <c r="DS45" s="621"/>
      <c r="DT45" s="621"/>
      <c r="DU45" s="621"/>
      <c r="DV45" s="621"/>
      <c r="DW45" s="621"/>
      <c r="DX45" s="621"/>
      <c r="DY45" s="621"/>
      <c r="DZ45" s="621"/>
      <c r="EA45" s="621"/>
      <c r="EB45" s="621"/>
      <c r="EC45" s="621"/>
      <c r="ED45" s="621"/>
      <c r="EE45" s="621"/>
      <c r="EF45" s="621"/>
      <c r="EG45" s="621"/>
      <c r="EH45" s="621"/>
      <c r="EI45" s="621"/>
      <c r="EJ45" s="621"/>
      <c r="EK45" s="621"/>
      <c r="EL45" s="621"/>
      <c r="EM45" s="621"/>
      <c r="EN45" s="621"/>
      <c r="EO45" s="621"/>
      <c r="EP45" s="621"/>
      <c r="EQ45" s="621"/>
      <c r="ER45" s="621"/>
      <c r="ES45" s="621"/>
      <c r="ET45" s="621"/>
      <c r="EU45" s="621"/>
      <c r="EV45" s="621"/>
      <c r="EW45" s="621"/>
      <c r="EX45" s="621"/>
      <c r="EY45" s="621"/>
      <c r="EZ45" s="621"/>
      <c r="FA45" s="621"/>
      <c r="FB45" s="621"/>
      <c r="FC45" s="621"/>
      <c r="FD45" s="621"/>
      <c r="FE45" s="621"/>
      <c r="FF45" s="621"/>
      <c r="FG45" s="621"/>
      <c r="FH45" s="621"/>
      <c r="FI45" s="621"/>
      <c r="FJ45" s="621"/>
      <c r="FK45" s="621"/>
      <c r="FL45" s="621"/>
      <c r="FM45" s="621"/>
      <c r="FN45" s="621"/>
      <c r="FO45" s="621"/>
      <c r="FP45" s="621"/>
      <c r="FQ45" s="621"/>
      <c r="FR45" s="621"/>
      <c r="FS45" s="621"/>
      <c r="FT45" s="621"/>
      <c r="FU45" s="621"/>
      <c r="FV45" s="621"/>
      <c r="FW45" s="621"/>
      <c r="FX45" s="621"/>
      <c r="FY45" s="621"/>
      <c r="FZ45" s="621"/>
      <c r="GA45" s="621"/>
      <c r="GB45" s="621"/>
      <c r="GC45" s="621"/>
      <c r="GD45" s="621"/>
      <c r="GE45" s="621"/>
      <c r="GF45" s="621"/>
      <c r="GG45" s="621"/>
      <c r="GH45" s="621"/>
      <c r="GI45" s="621"/>
      <c r="GJ45" s="621"/>
      <c r="GK45" s="621"/>
      <c r="GL45" s="621"/>
      <c r="GM45" s="621"/>
      <c r="GN45" s="621"/>
      <c r="GO45" s="621"/>
      <c r="GP45" s="621"/>
      <c r="GQ45" s="621"/>
      <c r="GR45" s="621"/>
      <c r="GS45" s="621"/>
      <c r="GT45" s="621"/>
      <c r="GU45" s="621"/>
      <c r="GV45" s="621"/>
      <c r="GW45" s="621"/>
      <c r="GX45" s="621"/>
      <c r="GY45" s="621"/>
      <c r="GZ45" s="621"/>
      <c r="HA45" s="621"/>
      <c r="HB45" s="621"/>
      <c r="HC45" s="621"/>
      <c r="HD45" s="621"/>
      <c r="HE45" s="621"/>
      <c r="HF45" s="621"/>
      <c r="HG45" s="621"/>
      <c r="HH45" s="621"/>
      <c r="HI45" s="621"/>
      <c r="HJ45" s="621"/>
      <c r="HK45" s="621"/>
      <c r="HL45" s="621"/>
      <c r="HM45" s="621"/>
      <c r="HN45" s="621"/>
      <c r="HO45" s="621"/>
      <c r="HP45" s="621"/>
      <c r="HQ45" s="621"/>
      <c r="HR45" s="621"/>
      <c r="HS45" s="621"/>
      <c r="HT45" s="621"/>
      <c r="HU45" s="621"/>
      <c r="HV45" s="621"/>
      <c r="HW45" s="621"/>
      <c r="HX45" s="621"/>
      <c r="HY45" s="621"/>
      <c r="HZ45" s="621"/>
      <c r="IA45" s="621"/>
      <c r="IB45" s="621"/>
      <c r="IC45" s="621"/>
      <c r="ID45" s="621"/>
      <c r="IE45" s="621"/>
      <c r="IF45" s="621"/>
      <c r="IG45" s="621"/>
      <c r="IH45" s="621"/>
      <c r="II45" s="621"/>
      <c r="IJ45" s="621"/>
      <c r="IK45" s="621"/>
      <c r="IL45" s="621"/>
      <c r="IM45" s="621"/>
      <c r="IN45" s="621"/>
      <c r="IO45" s="621"/>
      <c r="IP45" s="621"/>
      <c r="IQ45" s="621"/>
      <c r="IR45" s="621"/>
      <c r="IS45" s="621"/>
      <c r="IT45" s="621"/>
      <c r="IU45" s="621"/>
      <c r="IV45" s="621"/>
      <c r="IW45" s="621"/>
      <c r="IX45" s="621"/>
      <c r="IY45" s="621"/>
      <c r="IZ45" s="621"/>
      <c r="JA45" s="621"/>
      <c r="JB45" s="621"/>
      <c r="JC45" s="621"/>
      <c r="JD45" s="621"/>
      <c r="JE45" s="621"/>
      <c r="JF45" s="621"/>
      <c r="JG45" s="621"/>
      <c r="JH45" s="621"/>
      <c r="JI45" s="621"/>
      <c r="JJ45" s="621"/>
      <c r="JK45" s="621"/>
      <c r="JL45" s="621"/>
      <c r="JM45" s="621"/>
      <c r="JN45" s="621"/>
      <c r="JO45" s="621"/>
      <c r="JP45" s="621"/>
      <c r="JQ45" s="621"/>
      <c r="JR45" s="621"/>
      <c r="JS45" s="621"/>
      <c r="JT45" s="621"/>
      <c r="JU45" s="621"/>
      <c r="JV45" s="621"/>
      <c r="JW45" s="621"/>
      <c r="JX45" s="621"/>
      <c r="JY45" s="621"/>
      <c r="JZ45" s="621"/>
      <c r="KA45" s="621"/>
      <c r="KB45" s="621"/>
      <c r="KC45" s="621"/>
      <c r="KD45" s="621"/>
      <c r="KE45" s="621"/>
      <c r="KF45" s="621"/>
      <c r="KG45" s="621"/>
      <c r="KH45" s="621"/>
      <c r="KI45" s="621"/>
      <c r="KJ45" s="621"/>
      <c r="KK45" s="621"/>
      <c r="KL45" s="621"/>
      <c r="KM45" s="621"/>
      <c r="KN45" s="621"/>
      <c r="KO45" s="621"/>
      <c r="KP45" s="621"/>
      <c r="KQ45" s="621"/>
      <c r="KR45" s="621"/>
      <c r="KS45" s="621"/>
      <c r="KT45" s="621"/>
      <c r="KU45" s="621"/>
      <c r="KV45" s="621"/>
      <c r="KW45" s="621"/>
      <c r="KX45" s="621"/>
      <c r="KY45" s="621"/>
      <c r="KZ45" s="621"/>
      <c r="LA45" s="621"/>
      <c r="LB45" s="621"/>
      <c r="LC45" s="621"/>
      <c r="LD45" s="621"/>
      <c r="LE45" s="621"/>
      <c r="LF45" s="621"/>
      <c r="LG45" s="621"/>
      <c r="LH45" s="621"/>
      <c r="LI45" s="621"/>
      <c r="LJ45" s="621"/>
      <c r="LK45" s="621"/>
      <c r="LL45" s="621"/>
      <c r="LM45" s="621"/>
      <c r="LN45" s="621"/>
      <c r="LO45" s="621"/>
      <c r="LP45" s="621"/>
      <c r="LQ45" s="621"/>
      <c r="LR45" s="621"/>
      <c r="LS45" s="621"/>
      <c r="LT45" s="621"/>
      <c r="LU45" s="621"/>
      <c r="LV45" s="621"/>
      <c r="LW45" s="621"/>
      <c r="LX45" s="621"/>
      <c r="LY45" s="621"/>
      <c r="LZ45" s="621"/>
      <c r="MA45" s="621"/>
      <c r="MB45" s="621"/>
      <c r="MC45" s="621"/>
      <c r="MD45" s="621"/>
      <c r="ME45" s="621"/>
      <c r="MF45" s="621"/>
      <c r="MG45" s="621"/>
      <c r="MH45" s="621"/>
      <c r="MI45" s="621"/>
      <c r="MJ45" s="621"/>
      <c r="MK45" s="621"/>
      <c r="ML45" s="621"/>
      <c r="MM45" s="621"/>
      <c r="MN45" s="621"/>
      <c r="MO45" s="621"/>
      <c r="MP45" s="621"/>
      <c r="MQ45" s="621"/>
      <c r="MR45" s="621"/>
      <c r="MS45" s="621"/>
      <c r="MT45" s="621"/>
      <c r="MU45" s="621"/>
      <c r="MV45" s="621"/>
      <c r="MW45" s="621"/>
      <c r="MX45" s="621"/>
      <c r="MY45" s="621"/>
      <c r="MZ45" s="621"/>
      <c r="NA45" s="621"/>
      <c r="NB45" s="621"/>
      <c r="NC45" s="621"/>
      <c r="ND45" s="621"/>
      <c r="NE45" s="621"/>
      <c r="NF45" s="621"/>
      <c r="NG45" s="621"/>
      <c r="NH45" s="621"/>
      <c r="NI45" s="621"/>
      <c r="NJ45" s="621"/>
      <c r="NK45" s="621"/>
      <c r="NL45" s="621"/>
      <c r="NM45" s="621"/>
      <c r="NN45" s="621"/>
      <c r="NO45" s="621"/>
      <c r="NP45" s="621"/>
      <c r="NQ45" s="621"/>
      <c r="NR45" s="621"/>
      <c r="NS45" s="621"/>
      <c r="NT45" s="621"/>
      <c r="NU45" s="621"/>
      <c r="NV45" s="621"/>
      <c r="NW45" s="621"/>
      <c r="NX45" s="621"/>
      <c r="NY45" s="621"/>
      <c r="NZ45" s="621"/>
      <c r="OA45" s="621"/>
      <c r="OB45" s="621"/>
      <c r="OC45" s="621"/>
      <c r="OD45" s="621"/>
      <c r="OE45" s="621"/>
      <c r="OF45" s="621"/>
      <c r="OG45" s="621"/>
      <c r="OH45" s="621"/>
      <c r="OI45" s="621"/>
      <c r="OJ45" s="621"/>
      <c r="OK45" s="621"/>
      <c r="OL45" s="621"/>
      <c r="OM45" s="621"/>
      <c r="ON45" s="621"/>
      <c r="OO45" s="621"/>
      <c r="OP45" s="621"/>
      <c r="OQ45" s="621"/>
      <c r="OR45" s="621"/>
      <c r="OS45" s="621"/>
      <c r="OT45" s="621"/>
      <c r="OU45" s="621"/>
      <c r="OV45" s="621"/>
      <c r="OW45" s="621"/>
      <c r="OX45" s="621"/>
      <c r="OY45" s="621"/>
      <c r="OZ45" s="621"/>
      <c r="PA45" s="621"/>
      <c r="PB45" s="621"/>
      <c r="PC45" s="621"/>
      <c r="PD45" s="621"/>
      <c r="PE45" s="621"/>
      <c r="PF45" s="621"/>
      <c r="PG45" s="621"/>
      <c r="PH45" s="621"/>
      <c r="PI45" s="621"/>
      <c r="PJ45" s="621"/>
      <c r="PK45" s="621"/>
      <c r="PL45" s="621"/>
      <c r="PM45" s="621"/>
      <c r="PN45" s="621"/>
      <c r="PO45" s="621"/>
      <c r="PP45" s="621"/>
      <c r="PQ45" s="621"/>
      <c r="PR45" s="621"/>
      <c r="PS45" s="621"/>
      <c r="PT45" s="621"/>
      <c r="PU45" s="621"/>
      <c r="PV45" s="621"/>
      <c r="PW45" s="621"/>
      <c r="PX45" s="621"/>
      <c r="PY45" s="621"/>
      <c r="PZ45" s="621"/>
      <c r="QA45" s="621"/>
      <c r="QB45" s="621"/>
      <c r="QC45" s="621"/>
      <c r="QD45" s="621"/>
      <c r="QE45" s="621"/>
      <c r="QF45" s="621"/>
      <c r="QG45" s="621"/>
      <c r="QH45" s="621"/>
      <c r="QI45" s="621"/>
      <c r="QJ45" s="621"/>
      <c r="QK45" s="621"/>
      <c r="QL45" s="621"/>
      <c r="QM45" s="621"/>
      <c r="QN45" s="621"/>
      <c r="QO45" s="621"/>
      <c r="QP45" s="621"/>
      <c r="QQ45" s="621"/>
      <c r="QR45" s="621"/>
      <c r="QS45" s="621"/>
      <c r="QT45" s="621"/>
      <c r="QU45" s="621"/>
      <c r="QV45" s="621"/>
      <c r="QW45" s="621"/>
      <c r="QX45" s="621"/>
      <c r="QY45" s="621"/>
      <c r="QZ45" s="621"/>
      <c r="RA45" s="621"/>
      <c r="RB45" s="621"/>
      <c r="RC45" s="621"/>
      <c r="RD45" s="621"/>
      <c r="RE45" s="621"/>
      <c r="RF45" s="621"/>
      <c r="RG45" s="621"/>
      <c r="RH45" s="621"/>
      <c r="RI45" s="621"/>
      <c r="RJ45" s="621"/>
      <c r="RK45" s="621"/>
      <c r="RL45" s="621"/>
      <c r="RM45" s="621"/>
      <c r="RN45" s="621"/>
      <c r="RO45" s="621"/>
      <c r="RP45" s="621"/>
      <c r="RQ45" s="621"/>
      <c r="RR45" s="621"/>
      <c r="RS45" s="621"/>
      <c r="RT45" s="621"/>
      <c r="RU45" s="621"/>
      <c r="RV45" s="621"/>
      <c r="RW45" s="621"/>
      <c r="RX45" s="621"/>
      <c r="RY45" s="621"/>
      <c r="RZ45" s="621"/>
      <c r="SA45" s="621"/>
      <c r="SB45" s="621"/>
      <c r="SC45" s="621"/>
      <c r="SD45" s="621"/>
      <c r="SE45" s="621"/>
      <c r="SF45" s="621"/>
      <c r="SG45" s="621"/>
      <c r="SH45" s="621"/>
      <c r="SI45" s="621"/>
      <c r="SJ45" s="621"/>
      <c r="SK45" s="621"/>
      <c r="SL45" s="621"/>
      <c r="SM45" s="621"/>
      <c r="SN45" s="621"/>
      <c r="SO45" s="621"/>
      <c r="SP45" s="621"/>
      <c r="SQ45" s="621"/>
      <c r="SR45" s="621"/>
      <c r="SS45" s="621"/>
      <c r="ST45" s="621"/>
      <c r="SU45" s="621"/>
      <c r="SV45" s="621"/>
      <c r="SW45" s="621"/>
      <c r="SX45" s="621"/>
      <c r="SY45" s="621"/>
      <c r="SZ45" s="621"/>
      <c r="TA45" s="621"/>
      <c r="TB45" s="621"/>
      <c r="TC45" s="621"/>
      <c r="TD45" s="621"/>
      <c r="TE45" s="621"/>
      <c r="TF45" s="621"/>
      <c r="TG45" s="621"/>
      <c r="TH45" s="621"/>
      <c r="TI45" s="621"/>
      <c r="TJ45" s="621"/>
      <c r="TK45" s="621"/>
      <c r="TL45" s="621"/>
      <c r="TM45" s="621"/>
      <c r="TN45" s="621"/>
      <c r="TO45" s="621"/>
      <c r="TP45" s="621"/>
      <c r="TQ45" s="621"/>
      <c r="TR45" s="621"/>
      <c r="TS45" s="621"/>
      <c r="TT45" s="621"/>
      <c r="TU45" s="621"/>
      <c r="TV45" s="621"/>
      <c r="TW45" s="621"/>
      <c r="TX45" s="621"/>
      <c r="TY45" s="621"/>
      <c r="TZ45" s="621"/>
      <c r="UA45" s="621"/>
      <c r="UB45" s="621"/>
      <c r="UC45" s="621"/>
      <c r="UD45" s="621"/>
      <c r="UE45" s="621"/>
      <c r="UF45" s="621"/>
      <c r="UG45" s="621"/>
      <c r="UH45" s="621"/>
      <c r="UI45" s="621"/>
      <c r="UJ45" s="621"/>
      <c r="UK45" s="621"/>
      <c r="UL45" s="621"/>
      <c r="UM45" s="621"/>
      <c r="UN45" s="621"/>
      <c r="UO45" s="621"/>
      <c r="UP45" s="621"/>
      <c r="UQ45" s="621"/>
      <c r="UR45" s="621"/>
      <c r="US45" s="621"/>
      <c r="UT45" s="621"/>
      <c r="UU45" s="621"/>
      <c r="UV45" s="621"/>
      <c r="UW45" s="621"/>
      <c r="UX45" s="621"/>
      <c r="UY45" s="621"/>
      <c r="UZ45" s="621"/>
      <c r="VA45" s="621"/>
      <c r="VB45" s="621"/>
      <c r="VC45" s="621"/>
      <c r="VD45" s="621"/>
      <c r="VE45" s="621"/>
      <c r="VF45" s="621"/>
      <c r="VG45" s="621"/>
      <c r="VH45" s="621"/>
      <c r="VI45" s="621"/>
      <c r="VJ45" s="621"/>
      <c r="VK45" s="621"/>
      <c r="VL45" s="621"/>
      <c r="VM45" s="621"/>
      <c r="VN45" s="621"/>
      <c r="VO45" s="621"/>
      <c r="VP45" s="621"/>
      <c r="VQ45" s="621"/>
      <c r="VR45" s="621"/>
      <c r="VS45" s="621"/>
      <c r="VT45" s="621"/>
      <c r="VU45" s="621"/>
      <c r="VV45" s="621"/>
      <c r="VW45" s="621"/>
      <c r="VX45" s="621"/>
      <c r="VY45" s="621"/>
      <c r="VZ45" s="621"/>
      <c r="WA45" s="621"/>
      <c r="WB45" s="621"/>
      <c r="WC45" s="621"/>
      <c r="WD45" s="621"/>
      <c r="WE45" s="621"/>
      <c r="WF45" s="621"/>
      <c r="WG45" s="621"/>
      <c r="WH45" s="621"/>
      <c r="WI45" s="621"/>
      <c r="WJ45" s="621"/>
      <c r="WK45" s="621"/>
      <c r="WL45" s="621"/>
      <c r="WM45" s="621"/>
      <c r="WN45" s="621"/>
      <c r="WO45" s="621"/>
      <c r="WP45" s="621"/>
      <c r="WQ45" s="621"/>
      <c r="WR45" s="621"/>
      <c r="WS45" s="621"/>
      <c r="WT45" s="621"/>
      <c r="WU45" s="621"/>
      <c r="WV45" s="621"/>
      <c r="WW45" s="621"/>
      <c r="WX45" s="621"/>
      <c r="WY45" s="621"/>
      <c r="WZ45" s="621"/>
      <c r="XA45" s="621"/>
      <c r="XB45" s="621"/>
      <c r="XC45" s="621"/>
      <c r="XD45" s="621"/>
      <c r="XE45" s="621"/>
      <c r="XF45" s="621"/>
      <c r="XG45" s="621"/>
      <c r="XH45" s="621"/>
      <c r="XI45" s="621"/>
      <c r="XJ45" s="621"/>
      <c r="XK45" s="621"/>
      <c r="XL45" s="621"/>
      <c r="XM45" s="621"/>
      <c r="XN45" s="621"/>
      <c r="XO45" s="621"/>
      <c r="XP45" s="621"/>
      <c r="XQ45" s="621"/>
      <c r="XR45" s="621"/>
      <c r="XS45" s="621"/>
      <c r="XT45" s="621"/>
      <c r="XU45" s="621"/>
      <c r="XV45" s="621"/>
      <c r="XW45" s="621"/>
      <c r="XX45" s="621"/>
      <c r="XY45" s="621"/>
      <c r="XZ45" s="621"/>
      <c r="YA45" s="621"/>
      <c r="YB45" s="621"/>
      <c r="YC45" s="621"/>
      <c r="YD45" s="621"/>
      <c r="YE45" s="621"/>
      <c r="YF45" s="621"/>
      <c r="YG45" s="621"/>
      <c r="YH45" s="621"/>
      <c r="YI45" s="621"/>
      <c r="YJ45" s="621"/>
      <c r="YK45" s="621"/>
      <c r="YL45" s="621"/>
      <c r="YM45" s="621"/>
      <c r="YN45" s="621"/>
      <c r="YO45" s="621"/>
      <c r="YP45" s="621"/>
      <c r="YQ45" s="621"/>
      <c r="YR45" s="621"/>
      <c r="YS45" s="621"/>
      <c r="YT45" s="621"/>
      <c r="YU45" s="621"/>
      <c r="YV45" s="621"/>
      <c r="YW45" s="621"/>
      <c r="YX45" s="621"/>
      <c r="YY45" s="621"/>
      <c r="YZ45" s="621"/>
      <c r="ZA45" s="621"/>
      <c r="ZB45" s="621"/>
      <c r="ZC45" s="621"/>
      <c r="ZD45" s="621"/>
      <c r="ZE45" s="621"/>
      <c r="ZF45" s="621"/>
      <c r="ZG45" s="621"/>
      <c r="ZH45" s="621"/>
      <c r="ZI45" s="621"/>
      <c r="ZJ45" s="621"/>
      <c r="ZK45" s="621"/>
      <c r="ZL45" s="621"/>
      <c r="ZM45" s="621"/>
      <c r="ZN45" s="621"/>
      <c r="ZO45" s="621"/>
      <c r="ZP45" s="621"/>
      <c r="ZQ45" s="621"/>
      <c r="ZR45" s="621"/>
      <c r="ZS45" s="621"/>
      <c r="ZT45" s="621"/>
      <c r="ZU45" s="621"/>
      <c r="ZV45" s="621"/>
      <c r="ZW45" s="621"/>
      <c r="ZX45" s="621"/>
      <c r="ZY45" s="621"/>
      <c r="ZZ45" s="621"/>
      <c r="AAA45" s="621"/>
      <c r="AAB45" s="621"/>
      <c r="AAC45" s="621"/>
      <c r="AAD45" s="621"/>
      <c r="AAE45" s="621"/>
      <c r="AAF45" s="621"/>
      <c r="AAG45" s="621"/>
      <c r="AAH45" s="621"/>
      <c r="AAI45" s="621"/>
      <c r="AAJ45" s="621"/>
      <c r="AAK45" s="621"/>
      <c r="AAL45" s="621"/>
      <c r="AAM45" s="621"/>
      <c r="AAN45" s="621"/>
      <c r="AAO45" s="621"/>
      <c r="AAP45" s="621"/>
      <c r="AAQ45" s="621"/>
      <c r="AAR45" s="621"/>
      <c r="AAS45" s="621"/>
      <c r="AAT45" s="621"/>
      <c r="AAU45" s="621"/>
      <c r="AAV45" s="621"/>
      <c r="AAW45" s="621"/>
      <c r="AAX45" s="621"/>
      <c r="AAY45" s="621"/>
      <c r="AAZ45" s="621"/>
      <c r="ABA45" s="621"/>
      <c r="ABB45" s="621"/>
      <c r="ABC45" s="621"/>
      <c r="ABD45" s="621"/>
      <c r="ABE45" s="621"/>
      <c r="ABF45" s="621"/>
      <c r="ABG45" s="621"/>
      <c r="ABH45" s="621"/>
      <c r="ABI45" s="621"/>
      <c r="ABJ45" s="621"/>
      <c r="ABK45" s="621"/>
      <c r="ABL45" s="621"/>
      <c r="ABM45" s="621"/>
      <c r="ABN45" s="621"/>
      <c r="ABO45" s="621"/>
      <c r="ABP45" s="621"/>
      <c r="ABQ45" s="621"/>
      <c r="ABR45" s="621"/>
      <c r="ABS45" s="621"/>
      <c r="ABT45" s="621"/>
      <c r="ABU45" s="621"/>
      <c r="ABV45" s="621"/>
      <c r="ABW45" s="621"/>
      <c r="ABX45" s="621"/>
      <c r="ABY45" s="621"/>
      <c r="ABZ45" s="621"/>
      <c r="ACA45" s="621"/>
      <c r="ACB45" s="621"/>
      <c r="ACC45" s="621"/>
      <c r="ACD45" s="621"/>
      <c r="ACE45" s="621"/>
      <c r="ACF45" s="621"/>
      <c r="ACG45" s="621"/>
      <c r="ACH45" s="621"/>
      <c r="ACI45" s="621"/>
      <c r="ACJ45" s="621"/>
      <c r="ACK45" s="621"/>
      <c r="ACL45" s="621"/>
      <c r="ACM45" s="621"/>
      <c r="ACN45" s="621"/>
      <c r="ACO45" s="621"/>
      <c r="ACP45" s="621"/>
      <c r="ACQ45" s="621"/>
      <c r="ACR45" s="621"/>
      <c r="ACS45" s="621"/>
      <c r="ACT45" s="621"/>
      <c r="ACU45" s="621"/>
      <c r="ACV45" s="621"/>
      <c r="ACW45" s="621"/>
      <c r="ACX45" s="621"/>
      <c r="ACY45" s="621"/>
      <c r="ACZ45" s="621"/>
      <c r="ADA45" s="621"/>
      <c r="ADB45" s="621"/>
      <c r="ADC45" s="621"/>
      <c r="ADD45" s="621"/>
      <c r="ADE45" s="621"/>
      <c r="ADF45" s="621"/>
      <c r="ADG45" s="621"/>
      <c r="ADH45" s="621"/>
      <c r="ADI45" s="621"/>
      <c r="ADJ45" s="621"/>
      <c r="ADK45" s="621"/>
      <c r="ADL45" s="621"/>
      <c r="ADM45" s="621"/>
      <c r="ADN45" s="621"/>
      <c r="ADO45" s="621"/>
      <c r="ADP45" s="621"/>
      <c r="ADQ45" s="621"/>
      <c r="ADR45" s="621"/>
      <c r="ADS45" s="621"/>
      <c r="ADT45" s="621"/>
      <c r="ADU45" s="621"/>
      <c r="ADV45" s="621"/>
      <c r="ADW45" s="621"/>
      <c r="ADX45" s="621"/>
      <c r="ADY45" s="621"/>
      <c r="ADZ45" s="621"/>
      <c r="AEA45" s="621"/>
      <c r="AEB45" s="621"/>
      <c r="AEC45" s="621"/>
      <c r="AED45" s="621"/>
      <c r="AEE45" s="621"/>
      <c r="AEF45" s="621"/>
      <c r="AEG45" s="621"/>
      <c r="AEH45" s="621"/>
      <c r="AEI45" s="621"/>
      <c r="AEJ45" s="621"/>
      <c r="AEK45" s="621"/>
      <c r="AEL45" s="621"/>
      <c r="AEM45" s="621"/>
      <c r="AEN45" s="621"/>
      <c r="AEO45" s="621"/>
      <c r="AEP45" s="621"/>
      <c r="AEQ45" s="621"/>
      <c r="AER45" s="621"/>
      <c r="AES45" s="621"/>
      <c r="AET45" s="621"/>
      <c r="AEU45" s="621"/>
      <c r="AEV45" s="621"/>
      <c r="AEW45" s="621"/>
      <c r="AEX45" s="621"/>
      <c r="AEY45" s="621"/>
      <c r="AEZ45" s="621"/>
      <c r="AFA45" s="621"/>
      <c r="AFB45" s="621"/>
      <c r="AFC45" s="621"/>
      <c r="AFD45" s="621"/>
      <c r="AFE45" s="621"/>
      <c r="AFF45" s="621"/>
      <c r="AFG45" s="621"/>
      <c r="AFH45" s="621"/>
      <c r="AFI45" s="621"/>
      <c r="AFJ45" s="621"/>
      <c r="AFK45" s="621"/>
      <c r="AFL45" s="621"/>
      <c r="AFM45" s="621"/>
      <c r="AFN45" s="621"/>
      <c r="AFO45" s="621"/>
      <c r="AFP45" s="621"/>
      <c r="AFQ45" s="621"/>
      <c r="AFR45" s="621"/>
      <c r="AFS45" s="621"/>
      <c r="AFT45" s="621"/>
      <c r="AFU45" s="621"/>
      <c r="AFV45" s="621"/>
      <c r="AFW45" s="621"/>
      <c r="AFX45" s="621"/>
      <c r="AFY45" s="621"/>
      <c r="AFZ45" s="621"/>
      <c r="AGA45" s="621"/>
      <c r="AGB45" s="621"/>
      <c r="AGC45" s="621"/>
      <c r="AGD45" s="621"/>
      <c r="AGE45" s="621"/>
      <c r="AGF45" s="621"/>
      <c r="AGG45" s="621"/>
      <c r="AGH45" s="621"/>
      <c r="AGI45" s="621"/>
      <c r="AGJ45" s="621"/>
      <c r="AGK45" s="621"/>
      <c r="AGL45" s="621"/>
      <c r="AGM45" s="621"/>
      <c r="AGN45" s="621"/>
      <c r="AGO45" s="621"/>
      <c r="AGP45" s="621"/>
      <c r="AGQ45" s="621"/>
      <c r="AGR45" s="621"/>
      <c r="AGS45" s="621"/>
      <c r="AGT45" s="621"/>
      <c r="AGU45" s="621"/>
      <c r="AGV45" s="621"/>
      <c r="AGW45" s="621"/>
      <c r="AGX45" s="621"/>
      <c r="AGY45" s="621"/>
      <c r="AGZ45" s="621"/>
      <c r="AHA45" s="621"/>
      <c r="AHB45" s="621"/>
      <c r="AHC45" s="621"/>
      <c r="AHD45" s="621"/>
      <c r="AHE45" s="621"/>
      <c r="AHF45" s="621"/>
      <c r="AHG45" s="621"/>
      <c r="AHH45" s="621"/>
      <c r="AHI45" s="621"/>
      <c r="AHJ45" s="621"/>
      <c r="AHK45" s="621"/>
      <c r="AHL45" s="621"/>
      <c r="AHM45" s="621"/>
      <c r="AHN45" s="621"/>
      <c r="AHO45" s="621"/>
      <c r="AHP45" s="621"/>
      <c r="AHQ45" s="621"/>
      <c r="AHR45" s="621"/>
      <c r="AHS45" s="621"/>
      <c r="AHT45" s="621"/>
      <c r="AHU45" s="621"/>
      <c r="AHV45" s="621"/>
      <c r="AHW45" s="621"/>
      <c r="AHX45" s="621"/>
      <c r="AHY45" s="621"/>
      <c r="AHZ45" s="621"/>
      <c r="AIA45" s="621"/>
      <c r="AIB45" s="621"/>
      <c r="AIC45" s="621"/>
      <c r="AID45" s="621"/>
      <c r="AIE45" s="621"/>
      <c r="AIF45" s="621"/>
      <c r="AIG45" s="621"/>
      <c r="AIH45" s="621"/>
      <c r="AII45" s="621"/>
      <c r="AIJ45" s="621"/>
      <c r="AIK45" s="621"/>
      <c r="AIL45" s="621"/>
      <c r="AIM45" s="621"/>
      <c r="AIN45" s="621"/>
      <c r="AIO45" s="621"/>
      <c r="AIP45" s="621"/>
      <c r="AIQ45" s="621"/>
      <c r="AIR45" s="621"/>
      <c r="AIS45" s="621"/>
      <c r="AIT45" s="621"/>
      <c r="AIU45" s="621"/>
      <c r="AIV45" s="621"/>
      <c r="AIW45" s="621"/>
      <c r="AIX45" s="621"/>
      <c r="AIY45" s="621"/>
      <c r="AIZ45" s="621"/>
      <c r="AJA45" s="621"/>
      <c r="AJB45" s="621"/>
      <c r="AJC45" s="621"/>
      <c r="AJD45" s="621"/>
      <c r="AJE45" s="621"/>
      <c r="AJF45" s="621"/>
      <c r="AJG45" s="621"/>
      <c r="AJH45" s="621"/>
      <c r="AJI45" s="621"/>
      <c r="AJJ45" s="621"/>
      <c r="AJK45" s="621"/>
      <c r="AJL45" s="621"/>
      <c r="AJM45" s="621"/>
      <c r="AJN45" s="621"/>
      <c r="AJO45" s="621"/>
      <c r="AJP45" s="621"/>
      <c r="AJQ45" s="621"/>
      <c r="AJR45" s="621"/>
      <c r="AJS45" s="621"/>
      <c r="AJT45" s="621"/>
      <c r="AJU45" s="621"/>
      <c r="AJV45" s="621"/>
      <c r="AJW45" s="621"/>
      <c r="AJX45" s="621"/>
      <c r="AJY45" s="621"/>
      <c r="AJZ45" s="621"/>
      <c r="AKA45" s="621"/>
      <c r="AKB45" s="621"/>
      <c r="AKC45" s="621"/>
      <c r="AKD45" s="621"/>
      <c r="AKE45" s="621"/>
      <c r="AKF45" s="621"/>
      <c r="AKG45" s="621"/>
      <c r="AKH45" s="621"/>
      <c r="AKI45" s="621"/>
      <c r="AKJ45" s="621"/>
      <c r="AKK45" s="621"/>
      <c r="AKL45" s="621"/>
      <c r="AKM45" s="621"/>
      <c r="AKN45" s="621"/>
      <c r="AKO45" s="621"/>
      <c r="AKP45" s="621"/>
      <c r="AKQ45" s="621"/>
      <c r="AKR45" s="621"/>
      <c r="AKS45" s="621"/>
      <c r="AKT45" s="621"/>
      <c r="AKU45" s="621"/>
      <c r="AKV45" s="621"/>
      <c r="AKW45" s="621"/>
      <c r="AKX45" s="621"/>
      <c r="AKY45" s="621"/>
      <c r="AKZ45" s="621"/>
      <c r="ALA45" s="621"/>
      <c r="ALB45" s="621"/>
      <c r="ALC45" s="621"/>
      <c r="ALD45" s="621"/>
      <c r="ALE45" s="621"/>
      <c r="ALF45" s="621"/>
      <c r="ALG45" s="621"/>
      <c r="ALH45" s="621"/>
      <c r="ALI45" s="621"/>
      <c r="ALJ45" s="621"/>
      <c r="ALK45" s="621"/>
      <c r="ALL45" s="621"/>
      <c r="ALM45" s="621"/>
      <c r="ALN45" s="621"/>
      <c r="ALO45" s="621"/>
      <c r="ALP45" s="621"/>
      <c r="ALQ45" s="621"/>
      <c r="ALR45" s="621"/>
      <c r="ALS45" s="621"/>
      <c r="ALT45" s="621"/>
      <c r="ALU45" s="621"/>
      <c r="ALV45" s="621"/>
      <c r="ALW45" s="621"/>
      <c r="ALX45" s="621"/>
      <c r="ALY45" s="621"/>
      <c r="ALZ45" s="621"/>
      <c r="AMA45" s="621"/>
      <c r="AMB45" s="621"/>
      <c r="AMC45" s="621"/>
      <c r="AMD45" s="621"/>
      <c r="AME45" s="621"/>
      <c r="AMF45" s="621"/>
      <c r="AMG45" s="621"/>
      <c r="AMH45" s="621"/>
      <c r="AMI45" s="621"/>
      <c r="AMJ45" s="621"/>
      <c r="AMK45" s="621"/>
    </row>
    <row r="46" spans="1:1025" ht="33" customHeight="1" thickBot="1">
      <c r="A46" s="374" t="s">
        <v>365</v>
      </c>
      <c r="B46" s="375" t="s">
        <v>380</v>
      </c>
      <c r="C46" s="376">
        <f t="shared" ref="C46" si="9">1.15*D46</f>
        <v>0</v>
      </c>
      <c r="D46" s="423"/>
      <c r="E46" s="2043"/>
      <c r="F46" s="2043"/>
      <c r="G46" s="393"/>
      <c r="H46" s="414"/>
      <c r="I46" s="1497"/>
      <c r="J46" s="1498">
        <v>16529.25</v>
      </c>
      <c r="K46" s="593">
        <v>0</v>
      </c>
      <c r="L46" s="413"/>
      <c r="M46" s="413"/>
      <c r="N46" s="2052"/>
      <c r="O46" s="2052"/>
      <c r="P46" s="272"/>
      <c r="T46" s="2053"/>
      <c r="U46" s="2053"/>
      <c r="V46" s="328" t="s">
        <v>327</v>
      </c>
      <c r="W46" s="410">
        <v>26.265000000000001</v>
      </c>
      <c r="X46" s="410"/>
      <c r="Y46" s="411"/>
      <c r="Z46" s="397">
        <v>5</v>
      </c>
      <c r="AA46" s="257"/>
      <c r="AB46" s="260"/>
      <c r="AC46" s="424"/>
      <c r="AD46" s="1515"/>
      <c r="AE46" s="1515"/>
      <c r="AF46" s="1515"/>
      <c r="AG46" s="1515"/>
      <c r="AH46" s="1515"/>
      <c r="AI46" s="1513">
        <f>SUM(AI4:AI45)</f>
        <v>37500</v>
      </c>
      <c r="AJ46" s="1513">
        <f>SUM(AJ4:AJ45)</f>
        <v>358125.00000000006</v>
      </c>
      <c r="AK46" s="1514" t="s">
        <v>381</v>
      </c>
      <c r="AL46" s="1513">
        <f>0.75*SUM(AL4:AL30)</f>
        <v>460674</v>
      </c>
      <c r="AM46" s="428">
        <f>AL46*0.01</f>
        <v>4606.74</v>
      </c>
      <c r="AN46" s="260"/>
      <c r="AO46" s="260"/>
      <c r="AQ46" s="621"/>
      <c r="AR46" s="621"/>
      <c r="AS46" s="621"/>
      <c r="AT46" s="621"/>
      <c r="AU46" s="621"/>
      <c r="AV46" s="621"/>
      <c r="AW46" s="621"/>
      <c r="AX46" s="621"/>
      <c r="AY46" s="621"/>
      <c r="AZ46" s="621"/>
      <c r="BA46" s="621"/>
      <c r="BB46" s="621"/>
      <c r="BC46" s="621"/>
      <c r="BD46" s="621"/>
      <c r="BE46" s="621"/>
      <c r="BF46" s="621"/>
      <c r="BG46" s="621"/>
      <c r="BH46" s="621"/>
      <c r="BI46" s="621"/>
      <c r="BJ46" s="621"/>
      <c r="BK46" s="621"/>
      <c r="BL46" s="621"/>
      <c r="BM46" s="621"/>
      <c r="BN46" s="621"/>
      <c r="BO46" s="621"/>
      <c r="BP46" s="621"/>
      <c r="BQ46" s="621"/>
      <c r="BR46" s="621"/>
      <c r="BS46" s="621"/>
      <c r="BT46" s="621"/>
      <c r="BU46" s="621"/>
      <c r="BV46" s="621"/>
      <c r="BW46" s="621"/>
      <c r="BX46" s="621"/>
      <c r="BY46" s="621"/>
      <c r="BZ46" s="621"/>
      <c r="CA46" s="621"/>
      <c r="CB46" s="621"/>
      <c r="CC46" s="621"/>
      <c r="CD46" s="621"/>
      <c r="CE46" s="621"/>
      <c r="CF46" s="621"/>
      <c r="CG46" s="621"/>
      <c r="CH46" s="621"/>
      <c r="CI46" s="621"/>
      <c r="CJ46" s="621"/>
      <c r="CK46" s="621"/>
      <c r="CL46" s="621"/>
      <c r="CM46" s="621"/>
      <c r="CN46" s="621"/>
      <c r="CO46" s="621"/>
      <c r="CP46" s="621"/>
      <c r="CQ46" s="621"/>
      <c r="CR46" s="621"/>
      <c r="CS46" s="621"/>
      <c r="CT46" s="621"/>
      <c r="CU46" s="621"/>
      <c r="CV46" s="621"/>
      <c r="CW46" s="621"/>
      <c r="CX46" s="621"/>
      <c r="CY46" s="621"/>
      <c r="CZ46" s="621"/>
      <c r="DA46" s="621"/>
      <c r="DB46" s="621"/>
      <c r="DC46" s="621"/>
      <c r="DD46" s="621"/>
      <c r="DE46" s="621"/>
      <c r="DF46" s="621"/>
      <c r="DG46" s="621"/>
      <c r="DH46" s="621"/>
      <c r="DI46" s="621"/>
      <c r="DJ46" s="621"/>
      <c r="DK46" s="621"/>
      <c r="DL46" s="621"/>
      <c r="DM46" s="621"/>
      <c r="DN46" s="621"/>
      <c r="DO46" s="621"/>
      <c r="DP46" s="621"/>
      <c r="DQ46" s="621"/>
      <c r="DR46" s="621"/>
      <c r="DS46" s="621"/>
      <c r="DT46" s="621"/>
      <c r="DU46" s="621"/>
      <c r="DV46" s="621"/>
      <c r="DW46" s="621"/>
      <c r="DX46" s="621"/>
      <c r="DY46" s="621"/>
      <c r="DZ46" s="621"/>
      <c r="EA46" s="621"/>
      <c r="EB46" s="621"/>
      <c r="EC46" s="621"/>
      <c r="ED46" s="621"/>
      <c r="EE46" s="621"/>
      <c r="EF46" s="621"/>
      <c r="EG46" s="621"/>
      <c r="EH46" s="621"/>
      <c r="EI46" s="621"/>
      <c r="EJ46" s="621"/>
      <c r="EK46" s="621"/>
      <c r="EL46" s="621"/>
      <c r="EM46" s="621"/>
      <c r="EN46" s="621"/>
      <c r="EO46" s="621"/>
      <c r="EP46" s="621"/>
      <c r="EQ46" s="621"/>
      <c r="ER46" s="621"/>
      <c r="ES46" s="621"/>
      <c r="ET46" s="621"/>
      <c r="EU46" s="621"/>
      <c r="EV46" s="621"/>
      <c r="EW46" s="621"/>
      <c r="EX46" s="621"/>
      <c r="EY46" s="621"/>
      <c r="EZ46" s="621"/>
      <c r="FA46" s="621"/>
      <c r="FB46" s="621"/>
      <c r="FC46" s="621"/>
      <c r="FD46" s="621"/>
      <c r="FE46" s="621"/>
      <c r="FF46" s="621"/>
      <c r="FG46" s="621"/>
      <c r="FH46" s="621"/>
      <c r="FI46" s="621"/>
      <c r="FJ46" s="621"/>
      <c r="FK46" s="621"/>
      <c r="FL46" s="621"/>
      <c r="FM46" s="621"/>
      <c r="FN46" s="621"/>
      <c r="FO46" s="621"/>
      <c r="FP46" s="621"/>
      <c r="FQ46" s="621"/>
      <c r="FR46" s="621"/>
      <c r="FS46" s="621"/>
      <c r="FT46" s="621"/>
      <c r="FU46" s="621"/>
      <c r="FV46" s="621"/>
      <c r="FW46" s="621"/>
      <c r="FX46" s="621"/>
      <c r="FY46" s="621"/>
      <c r="FZ46" s="621"/>
      <c r="GA46" s="621"/>
      <c r="GB46" s="621"/>
      <c r="GC46" s="621"/>
      <c r="GD46" s="621"/>
      <c r="GE46" s="621"/>
      <c r="GF46" s="621"/>
      <c r="GG46" s="621"/>
      <c r="GH46" s="621"/>
      <c r="GI46" s="621"/>
      <c r="GJ46" s="621"/>
      <c r="GK46" s="621"/>
      <c r="GL46" s="621"/>
      <c r="GM46" s="621"/>
      <c r="GN46" s="621"/>
      <c r="GO46" s="621"/>
      <c r="GP46" s="621"/>
      <c r="GQ46" s="621"/>
      <c r="GR46" s="621"/>
      <c r="GS46" s="621"/>
      <c r="GT46" s="621"/>
      <c r="GU46" s="621"/>
      <c r="GV46" s="621"/>
      <c r="GW46" s="621"/>
      <c r="GX46" s="621"/>
      <c r="GY46" s="621"/>
      <c r="GZ46" s="621"/>
      <c r="HA46" s="621"/>
      <c r="HB46" s="621"/>
      <c r="HC46" s="621"/>
      <c r="HD46" s="621"/>
      <c r="HE46" s="621"/>
      <c r="HF46" s="621"/>
      <c r="HG46" s="621"/>
      <c r="HH46" s="621"/>
      <c r="HI46" s="621"/>
      <c r="HJ46" s="621"/>
      <c r="HK46" s="621"/>
      <c r="HL46" s="621"/>
      <c r="HM46" s="621"/>
      <c r="HN46" s="621"/>
      <c r="HO46" s="621"/>
      <c r="HP46" s="621"/>
      <c r="HQ46" s="621"/>
      <c r="HR46" s="621"/>
      <c r="HS46" s="621"/>
      <c r="HT46" s="621"/>
      <c r="HU46" s="621"/>
      <c r="HV46" s="621"/>
      <c r="HW46" s="621"/>
      <c r="HX46" s="621"/>
      <c r="HY46" s="621"/>
      <c r="HZ46" s="621"/>
      <c r="IA46" s="621"/>
      <c r="IB46" s="621"/>
      <c r="IC46" s="621"/>
      <c r="ID46" s="621"/>
      <c r="IE46" s="621"/>
      <c r="IF46" s="621"/>
      <c r="IG46" s="621"/>
      <c r="IH46" s="621"/>
      <c r="II46" s="621"/>
      <c r="IJ46" s="621"/>
      <c r="IK46" s="621"/>
      <c r="IL46" s="621"/>
      <c r="IM46" s="621"/>
      <c r="IN46" s="621"/>
      <c r="IO46" s="621"/>
      <c r="IP46" s="621"/>
      <c r="IQ46" s="621"/>
      <c r="IR46" s="621"/>
      <c r="IS46" s="621"/>
      <c r="IT46" s="621"/>
      <c r="IU46" s="621"/>
      <c r="IV46" s="621"/>
      <c r="IW46" s="621"/>
      <c r="IX46" s="621"/>
      <c r="IY46" s="621"/>
      <c r="IZ46" s="621"/>
      <c r="JA46" s="621"/>
      <c r="JB46" s="621"/>
      <c r="JC46" s="621"/>
      <c r="JD46" s="621"/>
      <c r="JE46" s="621"/>
      <c r="JF46" s="621"/>
      <c r="JG46" s="621"/>
      <c r="JH46" s="621"/>
      <c r="JI46" s="621"/>
      <c r="JJ46" s="621"/>
      <c r="JK46" s="621"/>
      <c r="JL46" s="621"/>
      <c r="JM46" s="621"/>
      <c r="JN46" s="621"/>
      <c r="JO46" s="621"/>
      <c r="JP46" s="621"/>
      <c r="JQ46" s="621"/>
      <c r="JR46" s="621"/>
      <c r="JS46" s="621"/>
      <c r="JT46" s="621"/>
      <c r="JU46" s="621"/>
      <c r="JV46" s="621"/>
      <c r="JW46" s="621"/>
      <c r="JX46" s="621"/>
      <c r="JY46" s="621"/>
      <c r="JZ46" s="621"/>
      <c r="KA46" s="621"/>
      <c r="KB46" s="621"/>
      <c r="KC46" s="621"/>
      <c r="KD46" s="621"/>
      <c r="KE46" s="621"/>
      <c r="KF46" s="621"/>
      <c r="KG46" s="621"/>
      <c r="KH46" s="621"/>
      <c r="KI46" s="621"/>
      <c r="KJ46" s="621"/>
      <c r="KK46" s="621"/>
      <c r="KL46" s="621"/>
      <c r="KM46" s="621"/>
      <c r="KN46" s="621"/>
      <c r="KO46" s="621"/>
      <c r="KP46" s="621"/>
      <c r="KQ46" s="621"/>
      <c r="KR46" s="621"/>
      <c r="KS46" s="621"/>
      <c r="KT46" s="621"/>
      <c r="KU46" s="621"/>
      <c r="KV46" s="621"/>
      <c r="KW46" s="621"/>
      <c r="KX46" s="621"/>
      <c r="KY46" s="621"/>
      <c r="KZ46" s="621"/>
      <c r="LA46" s="621"/>
      <c r="LB46" s="621"/>
      <c r="LC46" s="621"/>
      <c r="LD46" s="621"/>
      <c r="LE46" s="621"/>
      <c r="LF46" s="621"/>
      <c r="LG46" s="621"/>
      <c r="LH46" s="621"/>
      <c r="LI46" s="621"/>
      <c r="LJ46" s="621"/>
      <c r="LK46" s="621"/>
      <c r="LL46" s="621"/>
      <c r="LM46" s="621"/>
      <c r="LN46" s="621"/>
      <c r="LO46" s="621"/>
      <c r="LP46" s="621"/>
      <c r="LQ46" s="621"/>
      <c r="LR46" s="621"/>
      <c r="LS46" s="621"/>
      <c r="LT46" s="621"/>
      <c r="LU46" s="621"/>
      <c r="LV46" s="621"/>
      <c r="LW46" s="621"/>
      <c r="LX46" s="621"/>
      <c r="LY46" s="621"/>
      <c r="LZ46" s="621"/>
      <c r="MA46" s="621"/>
      <c r="MB46" s="621"/>
      <c r="MC46" s="621"/>
      <c r="MD46" s="621"/>
      <c r="ME46" s="621"/>
      <c r="MF46" s="621"/>
      <c r="MG46" s="621"/>
      <c r="MH46" s="621"/>
      <c r="MI46" s="621"/>
      <c r="MJ46" s="621"/>
      <c r="MK46" s="621"/>
      <c r="ML46" s="621"/>
      <c r="MM46" s="621"/>
      <c r="MN46" s="621"/>
      <c r="MO46" s="621"/>
      <c r="MP46" s="621"/>
      <c r="MQ46" s="621"/>
      <c r="MR46" s="621"/>
      <c r="MS46" s="621"/>
      <c r="MT46" s="621"/>
      <c r="MU46" s="621"/>
      <c r="MV46" s="621"/>
      <c r="MW46" s="621"/>
      <c r="MX46" s="621"/>
      <c r="MY46" s="621"/>
      <c r="MZ46" s="621"/>
      <c r="NA46" s="621"/>
      <c r="NB46" s="621"/>
      <c r="NC46" s="621"/>
      <c r="ND46" s="621"/>
      <c r="NE46" s="621"/>
      <c r="NF46" s="621"/>
      <c r="NG46" s="621"/>
      <c r="NH46" s="621"/>
      <c r="NI46" s="621"/>
      <c r="NJ46" s="621"/>
      <c r="NK46" s="621"/>
      <c r="NL46" s="621"/>
      <c r="NM46" s="621"/>
      <c r="NN46" s="621"/>
      <c r="NO46" s="621"/>
      <c r="NP46" s="621"/>
      <c r="NQ46" s="621"/>
      <c r="NR46" s="621"/>
      <c r="NS46" s="621"/>
      <c r="NT46" s="621"/>
      <c r="NU46" s="621"/>
      <c r="NV46" s="621"/>
      <c r="NW46" s="621"/>
      <c r="NX46" s="621"/>
      <c r="NY46" s="621"/>
      <c r="NZ46" s="621"/>
      <c r="OA46" s="621"/>
      <c r="OB46" s="621"/>
      <c r="OC46" s="621"/>
      <c r="OD46" s="621"/>
      <c r="OE46" s="621"/>
      <c r="OF46" s="621"/>
      <c r="OG46" s="621"/>
      <c r="OH46" s="621"/>
      <c r="OI46" s="621"/>
      <c r="OJ46" s="621"/>
      <c r="OK46" s="621"/>
      <c r="OL46" s="621"/>
      <c r="OM46" s="621"/>
      <c r="ON46" s="621"/>
      <c r="OO46" s="621"/>
      <c r="OP46" s="621"/>
      <c r="OQ46" s="621"/>
      <c r="OR46" s="621"/>
      <c r="OS46" s="621"/>
      <c r="OT46" s="621"/>
      <c r="OU46" s="621"/>
      <c r="OV46" s="621"/>
      <c r="OW46" s="621"/>
      <c r="OX46" s="621"/>
      <c r="OY46" s="621"/>
      <c r="OZ46" s="621"/>
      <c r="PA46" s="621"/>
      <c r="PB46" s="621"/>
      <c r="PC46" s="621"/>
      <c r="PD46" s="621"/>
      <c r="PE46" s="621"/>
      <c r="PF46" s="621"/>
      <c r="PG46" s="621"/>
      <c r="PH46" s="621"/>
      <c r="PI46" s="621"/>
      <c r="PJ46" s="621"/>
      <c r="PK46" s="621"/>
      <c r="PL46" s="621"/>
      <c r="PM46" s="621"/>
      <c r="PN46" s="621"/>
      <c r="PO46" s="621"/>
      <c r="PP46" s="621"/>
      <c r="PQ46" s="621"/>
      <c r="PR46" s="621"/>
      <c r="PS46" s="621"/>
      <c r="PT46" s="621"/>
      <c r="PU46" s="621"/>
      <c r="PV46" s="621"/>
      <c r="PW46" s="621"/>
      <c r="PX46" s="621"/>
      <c r="PY46" s="621"/>
      <c r="PZ46" s="621"/>
      <c r="QA46" s="621"/>
      <c r="QB46" s="621"/>
      <c r="QC46" s="621"/>
      <c r="QD46" s="621"/>
      <c r="QE46" s="621"/>
      <c r="QF46" s="621"/>
      <c r="QG46" s="621"/>
      <c r="QH46" s="621"/>
      <c r="QI46" s="621"/>
      <c r="QJ46" s="621"/>
      <c r="QK46" s="621"/>
      <c r="QL46" s="621"/>
      <c r="QM46" s="621"/>
      <c r="QN46" s="621"/>
      <c r="QO46" s="621"/>
      <c r="QP46" s="621"/>
      <c r="QQ46" s="621"/>
      <c r="QR46" s="621"/>
      <c r="QS46" s="621"/>
      <c r="QT46" s="621"/>
      <c r="QU46" s="621"/>
      <c r="QV46" s="621"/>
      <c r="QW46" s="621"/>
      <c r="QX46" s="621"/>
      <c r="QY46" s="621"/>
      <c r="QZ46" s="621"/>
      <c r="RA46" s="621"/>
      <c r="RB46" s="621"/>
      <c r="RC46" s="621"/>
      <c r="RD46" s="621"/>
      <c r="RE46" s="621"/>
      <c r="RF46" s="621"/>
      <c r="RG46" s="621"/>
      <c r="RH46" s="621"/>
      <c r="RI46" s="621"/>
      <c r="RJ46" s="621"/>
      <c r="RK46" s="621"/>
      <c r="RL46" s="621"/>
      <c r="RM46" s="621"/>
      <c r="RN46" s="621"/>
      <c r="RO46" s="621"/>
      <c r="RP46" s="621"/>
      <c r="RQ46" s="621"/>
      <c r="RR46" s="621"/>
      <c r="RS46" s="621"/>
      <c r="RT46" s="621"/>
      <c r="RU46" s="621"/>
      <c r="RV46" s="621"/>
      <c r="RW46" s="621"/>
      <c r="RX46" s="621"/>
      <c r="RY46" s="621"/>
      <c r="RZ46" s="621"/>
      <c r="SA46" s="621"/>
      <c r="SB46" s="621"/>
      <c r="SC46" s="621"/>
      <c r="SD46" s="621"/>
      <c r="SE46" s="621"/>
      <c r="SF46" s="621"/>
      <c r="SG46" s="621"/>
      <c r="SH46" s="621"/>
      <c r="SI46" s="621"/>
      <c r="SJ46" s="621"/>
      <c r="SK46" s="621"/>
      <c r="SL46" s="621"/>
      <c r="SM46" s="621"/>
      <c r="SN46" s="621"/>
      <c r="SO46" s="621"/>
      <c r="SP46" s="621"/>
      <c r="SQ46" s="621"/>
      <c r="SR46" s="621"/>
      <c r="SS46" s="621"/>
      <c r="ST46" s="621"/>
      <c r="SU46" s="621"/>
      <c r="SV46" s="621"/>
      <c r="SW46" s="621"/>
      <c r="SX46" s="621"/>
      <c r="SY46" s="621"/>
      <c r="SZ46" s="621"/>
      <c r="TA46" s="621"/>
      <c r="TB46" s="621"/>
      <c r="TC46" s="621"/>
      <c r="TD46" s="621"/>
      <c r="TE46" s="621"/>
      <c r="TF46" s="621"/>
      <c r="TG46" s="621"/>
      <c r="TH46" s="621"/>
      <c r="TI46" s="621"/>
      <c r="TJ46" s="621"/>
      <c r="TK46" s="621"/>
      <c r="TL46" s="621"/>
      <c r="TM46" s="621"/>
      <c r="TN46" s="621"/>
      <c r="TO46" s="621"/>
      <c r="TP46" s="621"/>
      <c r="TQ46" s="621"/>
      <c r="TR46" s="621"/>
      <c r="TS46" s="621"/>
      <c r="TT46" s="621"/>
      <c r="TU46" s="621"/>
      <c r="TV46" s="621"/>
      <c r="TW46" s="621"/>
      <c r="TX46" s="621"/>
      <c r="TY46" s="621"/>
      <c r="TZ46" s="621"/>
      <c r="UA46" s="621"/>
      <c r="UB46" s="621"/>
      <c r="UC46" s="621"/>
      <c r="UD46" s="621"/>
      <c r="UE46" s="621"/>
      <c r="UF46" s="621"/>
      <c r="UG46" s="621"/>
      <c r="UH46" s="621"/>
      <c r="UI46" s="621"/>
      <c r="UJ46" s="621"/>
      <c r="UK46" s="621"/>
      <c r="UL46" s="621"/>
      <c r="UM46" s="621"/>
      <c r="UN46" s="621"/>
      <c r="UO46" s="621"/>
      <c r="UP46" s="621"/>
      <c r="UQ46" s="621"/>
      <c r="UR46" s="621"/>
      <c r="US46" s="621"/>
      <c r="UT46" s="621"/>
      <c r="UU46" s="621"/>
      <c r="UV46" s="621"/>
      <c r="UW46" s="621"/>
      <c r="UX46" s="621"/>
      <c r="UY46" s="621"/>
      <c r="UZ46" s="621"/>
      <c r="VA46" s="621"/>
      <c r="VB46" s="621"/>
      <c r="VC46" s="621"/>
      <c r="VD46" s="621"/>
      <c r="VE46" s="621"/>
      <c r="VF46" s="621"/>
      <c r="VG46" s="621"/>
      <c r="VH46" s="621"/>
      <c r="VI46" s="621"/>
      <c r="VJ46" s="621"/>
      <c r="VK46" s="621"/>
      <c r="VL46" s="621"/>
      <c r="VM46" s="621"/>
      <c r="VN46" s="621"/>
      <c r="VO46" s="621"/>
      <c r="VP46" s="621"/>
      <c r="VQ46" s="621"/>
      <c r="VR46" s="621"/>
      <c r="VS46" s="621"/>
      <c r="VT46" s="621"/>
      <c r="VU46" s="621"/>
      <c r="VV46" s="621"/>
      <c r="VW46" s="621"/>
      <c r="VX46" s="621"/>
      <c r="VY46" s="621"/>
      <c r="VZ46" s="621"/>
      <c r="WA46" s="621"/>
      <c r="WB46" s="621"/>
      <c r="WC46" s="621"/>
      <c r="WD46" s="621"/>
      <c r="WE46" s="621"/>
      <c r="WF46" s="621"/>
      <c r="WG46" s="621"/>
      <c r="WH46" s="621"/>
      <c r="WI46" s="621"/>
      <c r="WJ46" s="621"/>
      <c r="WK46" s="621"/>
      <c r="WL46" s="621"/>
      <c r="WM46" s="621"/>
      <c r="WN46" s="621"/>
      <c r="WO46" s="621"/>
      <c r="WP46" s="621"/>
      <c r="WQ46" s="621"/>
      <c r="WR46" s="621"/>
      <c r="WS46" s="621"/>
      <c r="WT46" s="621"/>
      <c r="WU46" s="621"/>
      <c r="WV46" s="621"/>
      <c r="WW46" s="621"/>
      <c r="WX46" s="621"/>
      <c r="WY46" s="621"/>
      <c r="WZ46" s="621"/>
      <c r="XA46" s="621"/>
      <c r="XB46" s="621"/>
      <c r="XC46" s="621"/>
      <c r="XD46" s="621"/>
      <c r="XE46" s="621"/>
      <c r="XF46" s="621"/>
      <c r="XG46" s="621"/>
      <c r="XH46" s="621"/>
      <c r="XI46" s="621"/>
      <c r="XJ46" s="621"/>
      <c r="XK46" s="621"/>
      <c r="XL46" s="621"/>
      <c r="XM46" s="621"/>
      <c r="XN46" s="621"/>
      <c r="XO46" s="621"/>
      <c r="XP46" s="621"/>
      <c r="XQ46" s="621"/>
      <c r="XR46" s="621"/>
      <c r="XS46" s="621"/>
      <c r="XT46" s="621"/>
      <c r="XU46" s="621"/>
      <c r="XV46" s="621"/>
      <c r="XW46" s="621"/>
      <c r="XX46" s="621"/>
      <c r="XY46" s="621"/>
      <c r="XZ46" s="621"/>
      <c r="YA46" s="621"/>
      <c r="YB46" s="621"/>
      <c r="YC46" s="621"/>
      <c r="YD46" s="621"/>
      <c r="YE46" s="621"/>
      <c r="YF46" s="621"/>
      <c r="YG46" s="621"/>
      <c r="YH46" s="621"/>
      <c r="YI46" s="621"/>
      <c r="YJ46" s="621"/>
      <c r="YK46" s="621"/>
      <c r="YL46" s="621"/>
      <c r="YM46" s="621"/>
      <c r="YN46" s="621"/>
      <c r="YO46" s="621"/>
      <c r="YP46" s="621"/>
      <c r="YQ46" s="621"/>
      <c r="YR46" s="621"/>
      <c r="YS46" s="621"/>
      <c r="YT46" s="621"/>
      <c r="YU46" s="621"/>
      <c r="YV46" s="621"/>
      <c r="YW46" s="621"/>
      <c r="YX46" s="621"/>
      <c r="YY46" s="621"/>
      <c r="YZ46" s="621"/>
      <c r="ZA46" s="621"/>
      <c r="ZB46" s="621"/>
      <c r="ZC46" s="621"/>
      <c r="ZD46" s="621"/>
      <c r="ZE46" s="621"/>
      <c r="ZF46" s="621"/>
      <c r="ZG46" s="621"/>
      <c r="ZH46" s="621"/>
      <c r="ZI46" s="621"/>
      <c r="ZJ46" s="621"/>
      <c r="ZK46" s="621"/>
      <c r="ZL46" s="621"/>
      <c r="ZM46" s="621"/>
      <c r="ZN46" s="621"/>
      <c r="ZO46" s="621"/>
      <c r="ZP46" s="621"/>
      <c r="ZQ46" s="621"/>
      <c r="ZR46" s="621"/>
      <c r="ZS46" s="621"/>
      <c r="ZT46" s="621"/>
      <c r="ZU46" s="621"/>
      <c r="ZV46" s="621"/>
      <c r="ZW46" s="621"/>
      <c r="ZX46" s="621"/>
      <c r="ZY46" s="621"/>
      <c r="ZZ46" s="621"/>
      <c r="AAA46" s="621"/>
      <c r="AAB46" s="621"/>
      <c r="AAC46" s="621"/>
      <c r="AAD46" s="621"/>
      <c r="AAE46" s="621"/>
      <c r="AAF46" s="621"/>
      <c r="AAG46" s="621"/>
      <c r="AAH46" s="621"/>
      <c r="AAI46" s="621"/>
      <c r="AAJ46" s="621"/>
      <c r="AAK46" s="621"/>
      <c r="AAL46" s="621"/>
      <c r="AAM46" s="621"/>
      <c r="AAN46" s="621"/>
      <c r="AAO46" s="621"/>
      <c r="AAP46" s="621"/>
      <c r="AAQ46" s="621"/>
      <c r="AAR46" s="621"/>
      <c r="AAS46" s="621"/>
      <c r="AAT46" s="621"/>
      <c r="AAU46" s="621"/>
      <c r="AAV46" s="621"/>
      <c r="AAW46" s="621"/>
      <c r="AAX46" s="621"/>
      <c r="AAY46" s="621"/>
      <c r="AAZ46" s="621"/>
      <c r="ABA46" s="621"/>
      <c r="ABB46" s="621"/>
      <c r="ABC46" s="621"/>
      <c r="ABD46" s="621"/>
      <c r="ABE46" s="621"/>
      <c r="ABF46" s="621"/>
      <c r="ABG46" s="621"/>
      <c r="ABH46" s="621"/>
      <c r="ABI46" s="621"/>
      <c r="ABJ46" s="621"/>
      <c r="ABK46" s="621"/>
      <c r="ABL46" s="621"/>
      <c r="ABM46" s="621"/>
      <c r="ABN46" s="621"/>
      <c r="ABO46" s="621"/>
      <c r="ABP46" s="621"/>
      <c r="ABQ46" s="621"/>
      <c r="ABR46" s="621"/>
      <c r="ABS46" s="621"/>
      <c r="ABT46" s="621"/>
      <c r="ABU46" s="621"/>
      <c r="ABV46" s="621"/>
      <c r="ABW46" s="621"/>
      <c r="ABX46" s="621"/>
      <c r="ABY46" s="621"/>
      <c r="ABZ46" s="621"/>
      <c r="ACA46" s="621"/>
      <c r="ACB46" s="621"/>
      <c r="ACC46" s="621"/>
      <c r="ACD46" s="621"/>
      <c r="ACE46" s="621"/>
      <c r="ACF46" s="621"/>
      <c r="ACG46" s="621"/>
      <c r="ACH46" s="621"/>
      <c r="ACI46" s="621"/>
      <c r="ACJ46" s="621"/>
      <c r="ACK46" s="621"/>
      <c r="ACL46" s="621"/>
      <c r="ACM46" s="621"/>
      <c r="ACN46" s="621"/>
      <c r="ACO46" s="621"/>
      <c r="ACP46" s="621"/>
      <c r="ACQ46" s="621"/>
      <c r="ACR46" s="621"/>
      <c r="ACS46" s="621"/>
      <c r="ACT46" s="621"/>
      <c r="ACU46" s="621"/>
      <c r="ACV46" s="621"/>
      <c r="ACW46" s="621"/>
      <c r="ACX46" s="621"/>
      <c r="ACY46" s="621"/>
      <c r="ACZ46" s="621"/>
      <c r="ADA46" s="621"/>
      <c r="ADB46" s="621"/>
      <c r="ADC46" s="621"/>
      <c r="ADD46" s="621"/>
      <c r="ADE46" s="621"/>
      <c r="ADF46" s="621"/>
      <c r="ADG46" s="621"/>
      <c r="ADH46" s="621"/>
      <c r="ADI46" s="621"/>
      <c r="ADJ46" s="621"/>
      <c r="ADK46" s="621"/>
      <c r="ADL46" s="621"/>
      <c r="ADM46" s="621"/>
      <c r="ADN46" s="621"/>
      <c r="ADO46" s="621"/>
      <c r="ADP46" s="621"/>
      <c r="ADQ46" s="621"/>
      <c r="ADR46" s="621"/>
      <c r="ADS46" s="621"/>
      <c r="ADT46" s="621"/>
      <c r="ADU46" s="621"/>
      <c r="ADV46" s="621"/>
      <c r="ADW46" s="621"/>
      <c r="ADX46" s="621"/>
      <c r="ADY46" s="621"/>
      <c r="ADZ46" s="621"/>
      <c r="AEA46" s="621"/>
      <c r="AEB46" s="621"/>
      <c r="AEC46" s="621"/>
      <c r="AED46" s="621"/>
      <c r="AEE46" s="621"/>
      <c r="AEF46" s="621"/>
      <c r="AEG46" s="621"/>
      <c r="AEH46" s="621"/>
      <c r="AEI46" s="621"/>
      <c r="AEJ46" s="621"/>
      <c r="AEK46" s="621"/>
      <c r="AEL46" s="621"/>
      <c r="AEM46" s="621"/>
      <c r="AEN46" s="621"/>
      <c r="AEO46" s="621"/>
      <c r="AEP46" s="621"/>
      <c r="AEQ46" s="621"/>
      <c r="AER46" s="621"/>
      <c r="AES46" s="621"/>
      <c r="AET46" s="621"/>
      <c r="AEU46" s="621"/>
      <c r="AEV46" s="621"/>
      <c r="AEW46" s="621"/>
      <c r="AEX46" s="621"/>
      <c r="AEY46" s="621"/>
      <c r="AEZ46" s="621"/>
      <c r="AFA46" s="621"/>
      <c r="AFB46" s="621"/>
      <c r="AFC46" s="621"/>
      <c r="AFD46" s="621"/>
      <c r="AFE46" s="621"/>
      <c r="AFF46" s="621"/>
      <c r="AFG46" s="621"/>
      <c r="AFH46" s="621"/>
      <c r="AFI46" s="621"/>
      <c r="AFJ46" s="621"/>
      <c r="AFK46" s="621"/>
      <c r="AFL46" s="621"/>
      <c r="AFM46" s="621"/>
      <c r="AFN46" s="621"/>
      <c r="AFO46" s="621"/>
      <c r="AFP46" s="621"/>
      <c r="AFQ46" s="621"/>
      <c r="AFR46" s="621"/>
      <c r="AFS46" s="621"/>
      <c r="AFT46" s="621"/>
      <c r="AFU46" s="621"/>
      <c r="AFV46" s="621"/>
      <c r="AFW46" s="621"/>
      <c r="AFX46" s="621"/>
      <c r="AFY46" s="621"/>
      <c r="AFZ46" s="621"/>
      <c r="AGA46" s="621"/>
      <c r="AGB46" s="621"/>
      <c r="AGC46" s="621"/>
      <c r="AGD46" s="621"/>
      <c r="AGE46" s="621"/>
      <c r="AGF46" s="621"/>
      <c r="AGG46" s="621"/>
      <c r="AGH46" s="621"/>
      <c r="AGI46" s="621"/>
      <c r="AGJ46" s="621"/>
      <c r="AGK46" s="621"/>
      <c r="AGL46" s="621"/>
      <c r="AGM46" s="621"/>
      <c r="AGN46" s="621"/>
      <c r="AGO46" s="621"/>
      <c r="AGP46" s="621"/>
      <c r="AGQ46" s="621"/>
      <c r="AGR46" s="621"/>
      <c r="AGS46" s="621"/>
      <c r="AGT46" s="621"/>
      <c r="AGU46" s="621"/>
      <c r="AGV46" s="621"/>
      <c r="AGW46" s="621"/>
      <c r="AGX46" s="621"/>
      <c r="AGY46" s="621"/>
      <c r="AGZ46" s="621"/>
      <c r="AHA46" s="621"/>
      <c r="AHB46" s="621"/>
      <c r="AHC46" s="621"/>
      <c r="AHD46" s="621"/>
      <c r="AHE46" s="621"/>
      <c r="AHF46" s="621"/>
      <c r="AHG46" s="621"/>
      <c r="AHH46" s="621"/>
      <c r="AHI46" s="621"/>
      <c r="AHJ46" s="621"/>
      <c r="AHK46" s="621"/>
      <c r="AHL46" s="621"/>
      <c r="AHM46" s="621"/>
      <c r="AHN46" s="621"/>
      <c r="AHO46" s="621"/>
      <c r="AHP46" s="621"/>
      <c r="AHQ46" s="621"/>
      <c r="AHR46" s="621"/>
      <c r="AHS46" s="621"/>
      <c r="AHT46" s="621"/>
      <c r="AHU46" s="621"/>
      <c r="AHV46" s="621"/>
      <c r="AHW46" s="621"/>
      <c r="AHX46" s="621"/>
      <c r="AHY46" s="621"/>
      <c r="AHZ46" s="621"/>
      <c r="AIA46" s="621"/>
      <c r="AIB46" s="621"/>
      <c r="AIC46" s="621"/>
      <c r="AID46" s="621"/>
      <c r="AIE46" s="621"/>
      <c r="AIF46" s="621"/>
      <c r="AIG46" s="621"/>
      <c r="AIH46" s="621"/>
      <c r="AII46" s="621"/>
      <c r="AIJ46" s="621"/>
      <c r="AIK46" s="621"/>
      <c r="AIL46" s="621"/>
      <c r="AIM46" s="621"/>
      <c r="AIN46" s="621"/>
      <c r="AIO46" s="621"/>
      <c r="AIP46" s="621"/>
      <c r="AIQ46" s="621"/>
      <c r="AIR46" s="621"/>
      <c r="AIS46" s="621"/>
      <c r="AIT46" s="621"/>
      <c r="AIU46" s="621"/>
      <c r="AIV46" s="621"/>
      <c r="AIW46" s="621"/>
      <c r="AIX46" s="621"/>
      <c r="AIY46" s="621"/>
      <c r="AIZ46" s="621"/>
      <c r="AJA46" s="621"/>
      <c r="AJB46" s="621"/>
      <c r="AJC46" s="621"/>
      <c r="AJD46" s="621"/>
      <c r="AJE46" s="621"/>
      <c r="AJF46" s="621"/>
      <c r="AJG46" s="621"/>
      <c r="AJH46" s="621"/>
      <c r="AJI46" s="621"/>
      <c r="AJJ46" s="621"/>
      <c r="AJK46" s="621"/>
      <c r="AJL46" s="621"/>
      <c r="AJM46" s="621"/>
      <c r="AJN46" s="621"/>
      <c r="AJO46" s="621"/>
      <c r="AJP46" s="621"/>
      <c r="AJQ46" s="621"/>
      <c r="AJR46" s="621"/>
      <c r="AJS46" s="621"/>
      <c r="AJT46" s="621"/>
      <c r="AJU46" s="621"/>
      <c r="AJV46" s="621"/>
      <c r="AJW46" s="621"/>
      <c r="AJX46" s="621"/>
      <c r="AJY46" s="621"/>
      <c r="AJZ46" s="621"/>
      <c r="AKA46" s="621"/>
      <c r="AKB46" s="621"/>
      <c r="AKC46" s="621"/>
      <c r="AKD46" s="621"/>
      <c r="AKE46" s="621"/>
      <c r="AKF46" s="621"/>
      <c r="AKG46" s="621"/>
      <c r="AKH46" s="621"/>
      <c r="AKI46" s="621"/>
      <c r="AKJ46" s="621"/>
      <c r="AKK46" s="621"/>
      <c r="AKL46" s="621"/>
      <c r="AKM46" s="621"/>
      <c r="AKN46" s="621"/>
      <c r="AKO46" s="621"/>
      <c r="AKP46" s="621"/>
      <c r="AKQ46" s="621"/>
      <c r="AKR46" s="621"/>
      <c r="AKS46" s="621"/>
      <c r="AKT46" s="621"/>
      <c r="AKU46" s="621"/>
      <c r="AKV46" s="621"/>
      <c r="AKW46" s="621"/>
      <c r="AKX46" s="621"/>
      <c r="AKY46" s="621"/>
      <c r="AKZ46" s="621"/>
      <c r="ALA46" s="621"/>
      <c r="ALB46" s="621"/>
      <c r="ALC46" s="621"/>
      <c r="ALD46" s="621"/>
      <c r="ALE46" s="621"/>
      <c r="ALF46" s="621"/>
      <c r="ALG46" s="621"/>
      <c r="ALH46" s="621"/>
      <c r="ALI46" s="621"/>
      <c r="ALJ46" s="621"/>
      <c r="ALK46" s="621"/>
      <c r="ALL46" s="621"/>
      <c r="ALM46" s="621"/>
      <c r="ALN46" s="621"/>
      <c r="ALO46" s="621"/>
      <c r="ALP46" s="621"/>
      <c r="ALQ46" s="621"/>
      <c r="ALR46" s="621"/>
      <c r="ALS46" s="621"/>
      <c r="ALT46" s="621"/>
      <c r="ALU46" s="621"/>
      <c r="ALV46" s="621"/>
      <c r="ALW46" s="621"/>
      <c r="ALX46" s="621"/>
      <c r="ALY46" s="621"/>
      <c r="ALZ46" s="621"/>
      <c r="AMA46" s="621"/>
      <c r="AMB46" s="621"/>
      <c r="AMC46" s="621"/>
      <c r="AMD46" s="621"/>
      <c r="AME46" s="621"/>
      <c r="AMF46" s="621"/>
      <c r="AMG46" s="621"/>
      <c r="AMH46" s="621"/>
      <c r="AMI46" s="621"/>
      <c r="AMJ46" s="621"/>
      <c r="AMK46" s="621"/>
    </row>
    <row r="47" spans="1:1025" ht="34.5" customHeight="1" thickBot="1">
      <c r="A47" s="374" t="s">
        <v>382</v>
      </c>
      <c r="B47" s="421" t="s">
        <v>302</v>
      </c>
      <c r="C47" s="421">
        <f>SUM(C48:C52)</f>
        <v>284585.65600000002</v>
      </c>
      <c r="D47" s="422">
        <f>D48+D49+D50+D52</f>
        <v>272035.03200000001</v>
      </c>
      <c r="E47" s="2043"/>
      <c r="F47" s="2043"/>
      <c r="G47" s="392"/>
      <c r="H47" s="429"/>
      <c r="I47" s="1497"/>
      <c r="J47" s="1498">
        <v>318171.44666666701</v>
      </c>
      <c r="K47" s="594">
        <f>+D47-J47</f>
        <v>-46136.414666666999</v>
      </c>
      <c r="P47" s="272"/>
      <c r="T47" s="397"/>
      <c r="U47" s="397"/>
      <c r="V47" s="328"/>
      <c r="W47" s="410"/>
      <c r="X47" s="410"/>
      <c r="Y47" s="411"/>
      <c r="Z47" s="397"/>
      <c r="AA47" s="257"/>
      <c r="AB47" s="260"/>
      <c r="AC47" s="430"/>
      <c r="AD47" s="1511"/>
      <c r="AE47" s="1511"/>
      <c r="AF47" s="1511"/>
      <c r="AG47" s="1511"/>
      <c r="AH47" s="1511"/>
      <c r="AI47" s="1511"/>
      <c r="AJ47" s="1511"/>
      <c r="AK47" s="1511" t="s">
        <v>383</v>
      </c>
      <c r="AL47" s="1511">
        <f>SUM(AL31:AL45)</f>
        <v>0</v>
      </c>
      <c r="AM47" s="260"/>
      <c r="AN47" s="260"/>
      <c r="AO47" s="260"/>
      <c r="AQ47" s="621"/>
      <c r="AR47" s="621"/>
      <c r="AS47" s="621"/>
      <c r="AT47" s="621"/>
      <c r="AU47" s="621"/>
      <c r="AV47" s="621"/>
      <c r="AW47" s="621"/>
      <c r="AX47" s="621"/>
      <c r="AY47" s="621"/>
      <c r="AZ47" s="621"/>
      <c r="BA47" s="621"/>
      <c r="BB47" s="621"/>
      <c r="BC47" s="621"/>
      <c r="BD47" s="621"/>
      <c r="BE47" s="621"/>
      <c r="BF47" s="621"/>
      <c r="BG47" s="621"/>
      <c r="BH47" s="621"/>
      <c r="BI47" s="621"/>
      <c r="BJ47" s="621"/>
      <c r="BK47" s="621"/>
      <c r="BL47" s="621"/>
      <c r="BM47" s="621"/>
      <c r="BN47" s="621"/>
      <c r="BO47" s="621"/>
      <c r="BP47" s="621"/>
      <c r="BQ47" s="621"/>
      <c r="BR47" s="621"/>
      <c r="BS47" s="621"/>
      <c r="BT47" s="621"/>
      <c r="BU47" s="621"/>
      <c r="BV47" s="621"/>
      <c r="BW47" s="621"/>
      <c r="BX47" s="621"/>
      <c r="BY47" s="621"/>
      <c r="BZ47" s="621"/>
      <c r="CA47" s="621"/>
      <c r="CB47" s="621"/>
      <c r="CC47" s="621"/>
      <c r="CD47" s="621"/>
      <c r="CE47" s="621"/>
      <c r="CF47" s="621"/>
      <c r="CG47" s="621"/>
      <c r="CH47" s="621"/>
      <c r="CI47" s="621"/>
      <c r="CJ47" s="621"/>
      <c r="CK47" s="621"/>
      <c r="CL47" s="621"/>
      <c r="CM47" s="621"/>
      <c r="CN47" s="621"/>
      <c r="CO47" s="621"/>
      <c r="CP47" s="621"/>
      <c r="CQ47" s="621"/>
      <c r="CR47" s="621"/>
      <c r="CS47" s="621"/>
      <c r="CT47" s="621"/>
      <c r="CU47" s="621"/>
      <c r="CV47" s="621"/>
      <c r="CW47" s="621"/>
      <c r="CX47" s="621"/>
      <c r="CY47" s="621"/>
      <c r="CZ47" s="621"/>
      <c r="DA47" s="621"/>
      <c r="DB47" s="621"/>
      <c r="DC47" s="621"/>
      <c r="DD47" s="621"/>
      <c r="DE47" s="621"/>
      <c r="DF47" s="621"/>
      <c r="DG47" s="621"/>
      <c r="DH47" s="621"/>
      <c r="DI47" s="621"/>
      <c r="DJ47" s="621"/>
      <c r="DK47" s="621"/>
      <c r="DL47" s="621"/>
      <c r="DM47" s="621"/>
      <c r="DN47" s="621"/>
      <c r="DO47" s="621"/>
      <c r="DP47" s="621"/>
      <c r="DQ47" s="621"/>
      <c r="DR47" s="621"/>
      <c r="DS47" s="621"/>
      <c r="DT47" s="621"/>
      <c r="DU47" s="621"/>
      <c r="DV47" s="621"/>
      <c r="DW47" s="621"/>
      <c r="DX47" s="621"/>
      <c r="DY47" s="621"/>
      <c r="DZ47" s="621"/>
      <c r="EA47" s="621"/>
      <c r="EB47" s="621"/>
      <c r="EC47" s="621"/>
      <c r="ED47" s="621"/>
      <c r="EE47" s="621"/>
      <c r="EF47" s="621"/>
      <c r="EG47" s="621"/>
      <c r="EH47" s="621"/>
      <c r="EI47" s="621"/>
      <c r="EJ47" s="621"/>
      <c r="EK47" s="621"/>
      <c r="EL47" s="621"/>
      <c r="EM47" s="621"/>
      <c r="EN47" s="621"/>
      <c r="EO47" s="621"/>
      <c r="EP47" s="621"/>
      <c r="EQ47" s="621"/>
      <c r="ER47" s="621"/>
      <c r="ES47" s="621"/>
      <c r="ET47" s="621"/>
      <c r="EU47" s="621"/>
      <c r="EV47" s="621"/>
      <c r="EW47" s="621"/>
      <c r="EX47" s="621"/>
      <c r="EY47" s="621"/>
      <c r="EZ47" s="621"/>
      <c r="FA47" s="621"/>
      <c r="FB47" s="621"/>
      <c r="FC47" s="621"/>
      <c r="FD47" s="621"/>
      <c r="FE47" s="621"/>
      <c r="FF47" s="621"/>
      <c r="FG47" s="621"/>
      <c r="FH47" s="621"/>
      <c r="FI47" s="621"/>
      <c r="FJ47" s="621"/>
      <c r="FK47" s="621"/>
      <c r="FL47" s="621"/>
      <c r="FM47" s="621"/>
      <c r="FN47" s="621"/>
      <c r="FO47" s="621"/>
      <c r="FP47" s="621"/>
      <c r="FQ47" s="621"/>
      <c r="FR47" s="621"/>
      <c r="FS47" s="621"/>
      <c r="FT47" s="621"/>
      <c r="FU47" s="621"/>
      <c r="FV47" s="621"/>
      <c r="FW47" s="621"/>
      <c r="FX47" s="621"/>
      <c r="FY47" s="621"/>
      <c r="FZ47" s="621"/>
      <c r="GA47" s="621"/>
      <c r="GB47" s="621"/>
      <c r="GC47" s="621"/>
      <c r="GD47" s="621"/>
      <c r="GE47" s="621"/>
      <c r="GF47" s="621"/>
      <c r="GG47" s="621"/>
      <c r="GH47" s="621"/>
      <c r="GI47" s="621"/>
      <c r="GJ47" s="621"/>
      <c r="GK47" s="621"/>
      <c r="GL47" s="621"/>
      <c r="GM47" s="621"/>
      <c r="GN47" s="621"/>
      <c r="GO47" s="621"/>
      <c r="GP47" s="621"/>
      <c r="GQ47" s="621"/>
      <c r="GR47" s="621"/>
      <c r="GS47" s="621"/>
      <c r="GT47" s="621"/>
      <c r="GU47" s="621"/>
      <c r="GV47" s="621"/>
      <c r="GW47" s="621"/>
      <c r="GX47" s="621"/>
      <c r="GY47" s="621"/>
      <c r="GZ47" s="621"/>
      <c r="HA47" s="621"/>
      <c r="HB47" s="621"/>
      <c r="HC47" s="621"/>
      <c r="HD47" s="621"/>
      <c r="HE47" s="621"/>
      <c r="HF47" s="621"/>
      <c r="HG47" s="621"/>
      <c r="HH47" s="621"/>
      <c r="HI47" s="621"/>
      <c r="HJ47" s="621"/>
      <c r="HK47" s="621"/>
      <c r="HL47" s="621"/>
      <c r="HM47" s="621"/>
      <c r="HN47" s="621"/>
      <c r="HO47" s="621"/>
      <c r="HP47" s="621"/>
      <c r="HQ47" s="621"/>
      <c r="HR47" s="621"/>
      <c r="HS47" s="621"/>
      <c r="HT47" s="621"/>
      <c r="HU47" s="621"/>
      <c r="HV47" s="621"/>
      <c r="HW47" s="621"/>
      <c r="HX47" s="621"/>
      <c r="HY47" s="621"/>
      <c r="HZ47" s="621"/>
      <c r="IA47" s="621"/>
      <c r="IB47" s="621"/>
      <c r="IC47" s="621"/>
      <c r="ID47" s="621"/>
      <c r="IE47" s="621"/>
      <c r="IF47" s="621"/>
      <c r="IG47" s="621"/>
      <c r="IH47" s="621"/>
      <c r="II47" s="621"/>
      <c r="IJ47" s="621"/>
      <c r="IK47" s="621"/>
      <c r="IL47" s="621"/>
      <c r="IM47" s="621"/>
      <c r="IN47" s="621"/>
      <c r="IO47" s="621"/>
      <c r="IP47" s="621"/>
      <c r="IQ47" s="621"/>
      <c r="IR47" s="621"/>
      <c r="IS47" s="621"/>
      <c r="IT47" s="621"/>
      <c r="IU47" s="621"/>
      <c r="IV47" s="621"/>
      <c r="IW47" s="621"/>
      <c r="IX47" s="621"/>
      <c r="IY47" s="621"/>
      <c r="IZ47" s="621"/>
      <c r="JA47" s="621"/>
      <c r="JB47" s="621"/>
      <c r="JC47" s="621"/>
      <c r="JD47" s="621"/>
      <c r="JE47" s="621"/>
      <c r="JF47" s="621"/>
      <c r="JG47" s="621"/>
      <c r="JH47" s="621"/>
      <c r="JI47" s="621"/>
      <c r="JJ47" s="621"/>
      <c r="JK47" s="621"/>
      <c r="JL47" s="621"/>
      <c r="JM47" s="621"/>
      <c r="JN47" s="621"/>
      <c r="JO47" s="621"/>
      <c r="JP47" s="621"/>
      <c r="JQ47" s="621"/>
      <c r="JR47" s="621"/>
      <c r="JS47" s="621"/>
      <c r="JT47" s="621"/>
      <c r="JU47" s="621"/>
      <c r="JV47" s="621"/>
      <c r="JW47" s="621"/>
      <c r="JX47" s="621"/>
      <c r="JY47" s="621"/>
      <c r="JZ47" s="621"/>
      <c r="KA47" s="621"/>
      <c r="KB47" s="621"/>
      <c r="KC47" s="621"/>
      <c r="KD47" s="621"/>
      <c r="KE47" s="621"/>
      <c r="KF47" s="621"/>
      <c r="KG47" s="621"/>
      <c r="KH47" s="621"/>
      <c r="KI47" s="621"/>
      <c r="KJ47" s="621"/>
      <c r="KK47" s="621"/>
      <c r="KL47" s="621"/>
      <c r="KM47" s="621"/>
      <c r="KN47" s="621"/>
      <c r="KO47" s="621"/>
      <c r="KP47" s="621"/>
      <c r="KQ47" s="621"/>
      <c r="KR47" s="621"/>
      <c r="KS47" s="621"/>
      <c r="KT47" s="621"/>
      <c r="KU47" s="621"/>
      <c r="KV47" s="621"/>
      <c r="KW47" s="621"/>
      <c r="KX47" s="621"/>
      <c r="KY47" s="621"/>
      <c r="KZ47" s="621"/>
      <c r="LA47" s="621"/>
      <c r="LB47" s="621"/>
      <c r="LC47" s="621"/>
      <c r="LD47" s="621"/>
      <c r="LE47" s="621"/>
      <c r="LF47" s="621"/>
      <c r="LG47" s="621"/>
      <c r="LH47" s="621"/>
      <c r="LI47" s="621"/>
      <c r="LJ47" s="621"/>
      <c r="LK47" s="621"/>
      <c r="LL47" s="621"/>
      <c r="LM47" s="621"/>
      <c r="LN47" s="621"/>
      <c r="LO47" s="621"/>
      <c r="LP47" s="621"/>
      <c r="LQ47" s="621"/>
      <c r="LR47" s="621"/>
      <c r="LS47" s="621"/>
      <c r="LT47" s="621"/>
      <c r="LU47" s="621"/>
      <c r="LV47" s="621"/>
      <c r="LW47" s="621"/>
      <c r="LX47" s="621"/>
      <c r="LY47" s="621"/>
      <c r="LZ47" s="621"/>
      <c r="MA47" s="621"/>
      <c r="MB47" s="621"/>
      <c r="MC47" s="621"/>
      <c r="MD47" s="621"/>
      <c r="ME47" s="621"/>
      <c r="MF47" s="621"/>
      <c r="MG47" s="621"/>
      <c r="MH47" s="621"/>
      <c r="MI47" s="621"/>
      <c r="MJ47" s="621"/>
      <c r="MK47" s="621"/>
      <c r="ML47" s="621"/>
      <c r="MM47" s="621"/>
      <c r="MN47" s="621"/>
      <c r="MO47" s="621"/>
      <c r="MP47" s="621"/>
      <c r="MQ47" s="621"/>
      <c r="MR47" s="621"/>
      <c r="MS47" s="621"/>
      <c r="MT47" s="621"/>
      <c r="MU47" s="621"/>
      <c r="MV47" s="621"/>
      <c r="MW47" s="621"/>
      <c r="MX47" s="621"/>
      <c r="MY47" s="621"/>
      <c r="MZ47" s="621"/>
      <c r="NA47" s="621"/>
      <c r="NB47" s="621"/>
      <c r="NC47" s="621"/>
      <c r="ND47" s="621"/>
      <c r="NE47" s="621"/>
      <c r="NF47" s="621"/>
      <c r="NG47" s="621"/>
      <c r="NH47" s="621"/>
      <c r="NI47" s="621"/>
      <c r="NJ47" s="621"/>
      <c r="NK47" s="621"/>
      <c r="NL47" s="621"/>
      <c r="NM47" s="621"/>
      <c r="NN47" s="621"/>
      <c r="NO47" s="621"/>
      <c r="NP47" s="621"/>
      <c r="NQ47" s="621"/>
      <c r="NR47" s="621"/>
      <c r="NS47" s="621"/>
      <c r="NT47" s="621"/>
      <c r="NU47" s="621"/>
      <c r="NV47" s="621"/>
      <c r="NW47" s="621"/>
      <c r="NX47" s="621"/>
      <c r="NY47" s="621"/>
      <c r="NZ47" s="621"/>
      <c r="OA47" s="621"/>
      <c r="OB47" s="621"/>
      <c r="OC47" s="621"/>
      <c r="OD47" s="621"/>
      <c r="OE47" s="621"/>
      <c r="OF47" s="621"/>
      <c r="OG47" s="621"/>
      <c r="OH47" s="621"/>
      <c r="OI47" s="621"/>
      <c r="OJ47" s="621"/>
      <c r="OK47" s="621"/>
      <c r="OL47" s="621"/>
      <c r="OM47" s="621"/>
      <c r="ON47" s="621"/>
      <c r="OO47" s="621"/>
      <c r="OP47" s="621"/>
      <c r="OQ47" s="621"/>
      <c r="OR47" s="621"/>
      <c r="OS47" s="621"/>
      <c r="OT47" s="621"/>
      <c r="OU47" s="621"/>
      <c r="OV47" s="621"/>
      <c r="OW47" s="621"/>
      <c r="OX47" s="621"/>
      <c r="OY47" s="621"/>
      <c r="OZ47" s="621"/>
      <c r="PA47" s="621"/>
      <c r="PB47" s="621"/>
      <c r="PC47" s="621"/>
      <c r="PD47" s="621"/>
      <c r="PE47" s="621"/>
      <c r="PF47" s="621"/>
      <c r="PG47" s="621"/>
      <c r="PH47" s="621"/>
      <c r="PI47" s="621"/>
      <c r="PJ47" s="621"/>
      <c r="PK47" s="621"/>
      <c r="PL47" s="621"/>
      <c r="PM47" s="621"/>
      <c r="PN47" s="621"/>
      <c r="PO47" s="621"/>
      <c r="PP47" s="621"/>
      <c r="PQ47" s="621"/>
      <c r="PR47" s="621"/>
      <c r="PS47" s="621"/>
      <c r="PT47" s="621"/>
      <c r="PU47" s="621"/>
      <c r="PV47" s="621"/>
      <c r="PW47" s="621"/>
      <c r="PX47" s="621"/>
      <c r="PY47" s="621"/>
      <c r="PZ47" s="621"/>
      <c r="QA47" s="621"/>
      <c r="QB47" s="621"/>
      <c r="QC47" s="621"/>
      <c r="QD47" s="621"/>
      <c r="QE47" s="621"/>
      <c r="QF47" s="621"/>
      <c r="QG47" s="621"/>
      <c r="QH47" s="621"/>
      <c r="QI47" s="621"/>
      <c r="QJ47" s="621"/>
      <c r="QK47" s="621"/>
      <c r="QL47" s="621"/>
      <c r="QM47" s="621"/>
      <c r="QN47" s="621"/>
      <c r="QO47" s="621"/>
      <c r="QP47" s="621"/>
      <c r="QQ47" s="621"/>
      <c r="QR47" s="621"/>
      <c r="QS47" s="621"/>
      <c r="QT47" s="621"/>
      <c r="QU47" s="621"/>
      <c r="QV47" s="621"/>
      <c r="QW47" s="621"/>
      <c r="QX47" s="621"/>
      <c r="QY47" s="621"/>
      <c r="QZ47" s="621"/>
      <c r="RA47" s="621"/>
      <c r="RB47" s="621"/>
      <c r="RC47" s="621"/>
      <c r="RD47" s="621"/>
      <c r="RE47" s="621"/>
      <c r="RF47" s="621"/>
      <c r="RG47" s="621"/>
      <c r="RH47" s="621"/>
      <c r="RI47" s="621"/>
      <c r="RJ47" s="621"/>
      <c r="RK47" s="621"/>
      <c r="RL47" s="621"/>
      <c r="RM47" s="621"/>
      <c r="RN47" s="621"/>
      <c r="RO47" s="621"/>
      <c r="RP47" s="621"/>
      <c r="RQ47" s="621"/>
      <c r="RR47" s="621"/>
      <c r="RS47" s="621"/>
      <c r="RT47" s="621"/>
      <c r="RU47" s="621"/>
      <c r="RV47" s="621"/>
      <c r="RW47" s="621"/>
      <c r="RX47" s="621"/>
      <c r="RY47" s="621"/>
      <c r="RZ47" s="621"/>
      <c r="SA47" s="621"/>
      <c r="SB47" s="621"/>
      <c r="SC47" s="621"/>
      <c r="SD47" s="621"/>
      <c r="SE47" s="621"/>
      <c r="SF47" s="621"/>
      <c r="SG47" s="621"/>
      <c r="SH47" s="621"/>
      <c r="SI47" s="621"/>
      <c r="SJ47" s="621"/>
      <c r="SK47" s="621"/>
      <c r="SL47" s="621"/>
      <c r="SM47" s="621"/>
      <c r="SN47" s="621"/>
      <c r="SO47" s="621"/>
      <c r="SP47" s="621"/>
      <c r="SQ47" s="621"/>
      <c r="SR47" s="621"/>
      <c r="SS47" s="621"/>
      <c r="ST47" s="621"/>
      <c r="SU47" s="621"/>
      <c r="SV47" s="621"/>
      <c r="SW47" s="621"/>
      <c r="SX47" s="621"/>
      <c r="SY47" s="621"/>
      <c r="SZ47" s="621"/>
      <c r="TA47" s="621"/>
      <c r="TB47" s="621"/>
      <c r="TC47" s="621"/>
      <c r="TD47" s="621"/>
      <c r="TE47" s="621"/>
      <c r="TF47" s="621"/>
      <c r="TG47" s="621"/>
      <c r="TH47" s="621"/>
      <c r="TI47" s="621"/>
      <c r="TJ47" s="621"/>
      <c r="TK47" s="621"/>
      <c r="TL47" s="621"/>
      <c r="TM47" s="621"/>
      <c r="TN47" s="621"/>
      <c r="TO47" s="621"/>
      <c r="TP47" s="621"/>
      <c r="TQ47" s="621"/>
      <c r="TR47" s="621"/>
      <c r="TS47" s="621"/>
      <c r="TT47" s="621"/>
      <c r="TU47" s="621"/>
      <c r="TV47" s="621"/>
      <c r="TW47" s="621"/>
      <c r="TX47" s="621"/>
      <c r="TY47" s="621"/>
      <c r="TZ47" s="621"/>
      <c r="UA47" s="621"/>
      <c r="UB47" s="621"/>
      <c r="UC47" s="621"/>
      <c r="UD47" s="621"/>
      <c r="UE47" s="621"/>
      <c r="UF47" s="621"/>
      <c r="UG47" s="621"/>
      <c r="UH47" s="621"/>
      <c r="UI47" s="621"/>
      <c r="UJ47" s="621"/>
      <c r="UK47" s="621"/>
      <c r="UL47" s="621"/>
      <c r="UM47" s="621"/>
      <c r="UN47" s="621"/>
      <c r="UO47" s="621"/>
      <c r="UP47" s="621"/>
      <c r="UQ47" s="621"/>
      <c r="UR47" s="621"/>
      <c r="US47" s="621"/>
      <c r="UT47" s="621"/>
      <c r="UU47" s="621"/>
      <c r="UV47" s="621"/>
      <c r="UW47" s="621"/>
      <c r="UX47" s="621"/>
      <c r="UY47" s="621"/>
      <c r="UZ47" s="621"/>
      <c r="VA47" s="621"/>
      <c r="VB47" s="621"/>
      <c r="VC47" s="621"/>
      <c r="VD47" s="621"/>
      <c r="VE47" s="621"/>
      <c r="VF47" s="621"/>
      <c r="VG47" s="621"/>
      <c r="VH47" s="621"/>
      <c r="VI47" s="621"/>
      <c r="VJ47" s="621"/>
      <c r="VK47" s="621"/>
      <c r="VL47" s="621"/>
      <c r="VM47" s="621"/>
      <c r="VN47" s="621"/>
      <c r="VO47" s="621"/>
      <c r="VP47" s="621"/>
      <c r="VQ47" s="621"/>
      <c r="VR47" s="621"/>
      <c r="VS47" s="621"/>
      <c r="VT47" s="621"/>
      <c r="VU47" s="621"/>
      <c r="VV47" s="621"/>
      <c r="VW47" s="621"/>
      <c r="VX47" s="621"/>
      <c r="VY47" s="621"/>
      <c r="VZ47" s="621"/>
      <c r="WA47" s="621"/>
      <c r="WB47" s="621"/>
      <c r="WC47" s="621"/>
      <c r="WD47" s="621"/>
      <c r="WE47" s="621"/>
      <c r="WF47" s="621"/>
      <c r="WG47" s="621"/>
      <c r="WH47" s="621"/>
      <c r="WI47" s="621"/>
      <c r="WJ47" s="621"/>
      <c r="WK47" s="621"/>
      <c r="WL47" s="621"/>
      <c r="WM47" s="621"/>
      <c r="WN47" s="621"/>
      <c r="WO47" s="621"/>
      <c r="WP47" s="621"/>
      <c r="WQ47" s="621"/>
      <c r="WR47" s="621"/>
      <c r="WS47" s="621"/>
      <c r="WT47" s="621"/>
      <c r="WU47" s="621"/>
      <c r="WV47" s="621"/>
      <c r="WW47" s="621"/>
      <c r="WX47" s="621"/>
      <c r="WY47" s="621"/>
      <c r="WZ47" s="621"/>
      <c r="XA47" s="621"/>
      <c r="XB47" s="621"/>
      <c r="XC47" s="621"/>
      <c r="XD47" s="621"/>
      <c r="XE47" s="621"/>
      <c r="XF47" s="621"/>
      <c r="XG47" s="621"/>
      <c r="XH47" s="621"/>
      <c r="XI47" s="621"/>
      <c r="XJ47" s="621"/>
      <c r="XK47" s="621"/>
      <c r="XL47" s="621"/>
      <c r="XM47" s="621"/>
      <c r="XN47" s="621"/>
      <c r="XO47" s="621"/>
      <c r="XP47" s="621"/>
      <c r="XQ47" s="621"/>
      <c r="XR47" s="621"/>
      <c r="XS47" s="621"/>
      <c r="XT47" s="621"/>
      <c r="XU47" s="621"/>
      <c r="XV47" s="621"/>
      <c r="XW47" s="621"/>
      <c r="XX47" s="621"/>
      <c r="XY47" s="621"/>
      <c r="XZ47" s="621"/>
      <c r="YA47" s="621"/>
      <c r="YB47" s="621"/>
      <c r="YC47" s="621"/>
      <c r="YD47" s="621"/>
      <c r="YE47" s="621"/>
      <c r="YF47" s="621"/>
      <c r="YG47" s="621"/>
      <c r="YH47" s="621"/>
      <c r="YI47" s="621"/>
      <c r="YJ47" s="621"/>
      <c r="YK47" s="621"/>
      <c r="YL47" s="621"/>
      <c r="YM47" s="621"/>
      <c r="YN47" s="621"/>
      <c r="YO47" s="621"/>
      <c r="YP47" s="621"/>
      <c r="YQ47" s="621"/>
      <c r="YR47" s="621"/>
      <c r="YS47" s="621"/>
      <c r="YT47" s="621"/>
      <c r="YU47" s="621"/>
      <c r="YV47" s="621"/>
      <c r="YW47" s="621"/>
      <c r="YX47" s="621"/>
      <c r="YY47" s="621"/>
      <c r="YZ47" s="621"/>
      <c r="ZA47" s="621"/>
      <c r="ZB47" s="621"/>
      <c r="ZC47" s="621"/>
      <c r="ZD47" s="621"/>
      <c r="ZE47" s="621"/>
      <c r="ZF47" s="621"/>
      <c r="ZG47" s="621"/>
      <c r="ZH47" s="621"/>
      <c r="ZI47" s="621"/>
      <c r="ZJ47" s="621"/>
      <c r="ZK47" s="621"/>
      <c r="ZL47" s="621"/>
      <c r="ZM47" s="621"/>
      <c r="ZN47" s="621"/>
      <c r="ZO47" s="621"/>
      <c r="ZP47" s="621"/>
      <c r="ZQ47" s="621"/>
      <c r="ZR47" s="621"/>
      <c r="ZS47" s="621"/>
      <c r="ZT47" s="621"/>
      <c r="ZU47" s="621"/>
      <c r="ZV47" s="621"/>
      <c r="ZW47" s="621"/>
      <c r="ZX47" s="621"/>
      <c r="ZY47" s="621"/>
      <c r="ZZ47" s="621"/>
      <c r="AAA47" s="621"/>
      <c r="AAB47" s="621"/>
      <c r="AAC47" s="621"/>
      <c r="AAD47" s="621"/>
      <c r="AAE47" s="621"/>
      <c r="AAF47" s="621"/>
      <c r="AAG47" s="621"/>
      <c r="AAH47" s="621"/>
      <c r="AAI47" s="621"/>
      <c r="AAJ47" s="621"/>
      <c r="AAK47" s="621"/>
      <c r="AAL47" s="621"/>
      <c r="AAM47" s="621"/>
      <c r="AAN47" s="621"/>
      <c r="AAO47" s="621"/>
      <c r="AAP47" s="621"/>
      <c r="AAQ47" s="621"/>
      <c r="AAR47" s="621"/>
      <c r="AAS47" s="621"/>
      <c r="AAT47" s="621"/>
      <c r="AAU47" s="621"/>
      <c r="AAV47" s="621"/>
      <c r="AAW47" s="621"/>
      <c r="AAX47" s="621"/>
      <c r="AAY47" s="621"/>
      <c r="AAZ47" s="621"/>
      <c r="ABA47" s="621"/>
      <c r="ABB47" s="621"/>
      <c r="ABC47" s="621"/>
      <c r="ABD47" s="621"/>
      <c r="ABE47" s="621"/>
      <c r="ABF47" s="621"/>
      <c r="ABG47" s="621"/>
      <c r="ABH47" s="621"/>
      <c r="ABI47" s="621"/>
      <c r="ABJ47" s="621"/>
      <c r="ABK47" s="621"/>
      <c r="ABL47" s="621"/>
      <c r="ABM47" s="621"/>
      <c r="ABN47" s="621"/>
      <c r="ABO47" s="621"/>
      <c r="ABP47" s="621"/>
      <c r="ABQ47" s="621"/>
      <c r="ABR47" s="621"/>
      <c r="ABS47" s="621"/>
      <c r="ABT47" s="621"/>
      <c r="ABU47" s="621"/>
      <c r="ABV47" s="621"/>
      <c r="ABW47" s="621"/>
      <c r="ABX47" s="621"/>
      <c r="ABY47" s="621"/>
      <c r="ABZ47" s="621"/>
      <c r="ACA47" s="621"/>
      <c r="ACB47" s="621"/>
      <c r="ACC47" s="621"/>
      <c r="ACD47" s="621"/>
      <c r="ACE47" s="621"/>
      <c r="ACF47" s="621"/>
      <c r="ACG47" s="621"/>
      <c r="ACH47" s="621"/>
      <c r="ACI47" s="621"/>
      <c r="ACJ47" s="621"/>
      <c r="ACK47" s="621"/>
      <c r="ACL47" s="621"/>
      <c r="ACM47" s="621"/>
      <c r="ACN47" s="621"/>
      <c r="ACO47" s="621"/>
      <c r="ACP47" s="621"/>
      <c r="ACQ47" s="621"/>
      <c r="ACR47" s="621"/>
      <c r="ACS47" s="621"/>
      <c r="ACT47" s="621"/>
      <c r="ACU47" s="621"/>
      <c r="ACV47" s="621"/>
      <c r="ACW47" s="621"/>
      <c r="ACX47" s="621"/>
      <c r="ACY47" s="621"/>
      <c r="ACZ47" s="621"/>
      <c r="ADA47" s="621"/>
      <c r="ADB47" s="621"/>
      <c r="ADC47" s="621"/>
      <c r="ADD47" s="621"/>
      <c r="ADE47" s="621"/>
      <c r="ADF47" s="621"/>
      <c r="ADG47" s="621"/>
      <c r="ADH47" s="621"/>
      <c r="ADI47" s="621"/>
      <c r="ADJ47" s="621"/>
      <c r="ADK47" s="621"/>
      <c r="ADL47" s="621"/>
      <c r="ADM47" s="621"/>
      <c r="ADN47" s="621"/>
      <c r="ADO47" s="621"/>
      <c r="ADP47" s="621"/>
      <c r="ADQ47" s="621"/>
      <c r="ADR47" s="621"/>
      <c r="ADS47" s="621"/>
      <c r="ADT47" s="621"/>
      <c r="ADU47" s="621"/>
      <c r="ADV47" s="621"/>
      <c r="ADW47" s="621"/>
      <c r="ADX47" s="621"/>
      <c r="ADY47" s="621"/>
      <c r="ADZ47" s="621"/>
      <c r="AEA47" s="621"/>
      <c r="AEB47" s="621"/>
      <c r="AEC47" s="621"/>
      <c r="AED47" s="621"/>
      <c r="AEE47" s="621"/>
      <c r="AEF47" s="621"/>
      <c r="AEG47" s="621"/>
      <c r="AEH47" s="621"/>
      <c r="AEI47" s="621"/>
      <c r="AEJ47" s="621"/>
      <c r="AEK47" s="621"/>
      <c r="AEL47" s="621"/>
      <c r="AEM47" s="621"/>
      <c r="AEN47" s="621"/>
      <c r="AEO47" s="621"/>
      <c r="AEP47" s="621"/>
      <c r="AEQ47" s="621"/>
      <c r="AER47" s="621"/>
      <c r="AES47" s="621"/>
      <c r="AET47" s="621"/>
      <c r="AEU47" s="621"/>
      <c r="AEV47" s="621"/>
      <c r="AEW47" s="621"/>
      <c r="AEX47" s="621"/>
      <c r="AEY47" s="621"/>
      <c r="AEZ47" s="621"/>
      <c r="AFA47" s="621"/>
      <c r="AFB47" s="621"/>
      <c r="AFC47" s="621"/>
      <c r="AFD47" s="621"/>
      <c r="AFE47" s="621"/>
      <c r="AFF47" s="621"/>
      <c r="AFG47" s="621"/>
      <c r="AFH47" s="621"/>
      <c r="AFI47" s="621"/>
      <c r="AFJ47" s="621"/>
      <c r="AFK47" s="621"/>
      <c r="AFL47" s="621"/>
      <c r="AFM47" s="621"/>
      <c r="AFN47" s="621"/>
      <c r="AFO47" s="621"/>
      <c r="AFP47" s="621"/>
      <c r="AFQ47" s="621"/>
      <c r="AFR47" s="621"/>
      <c r="AFS47" s="621"/>
      <c r="AFT47" s="621"/>
      <c r="AFU47" s="621"/>
      <c r="AFV47" s="621"/>
      <c r="AFW47" s="621"/>
      <c r="AFX47" s="621"/>
      <c r="AFY47" s="621"/>
      <c r="AFZ47" s="621"/>
      <c r="AGA47" s="621"/>
      <c r="AGB47" s="621"/>
      <c r="AGC47" s="621"/>
      <c r="AGD47" s="621"/>
      <c r="AGE47" s="621"/>
      <c r="AGF47" s="621"/>
      <c r="AGG47" s="621"/>
      <c r="AGH47" s="621"/>
      <c r="AGI47" s="621"/>
      <c r="AGJ47" s="621"/>
      <c r="AGK47" s="621"/>
      <c r="AGL47" s="621"/>
      <c r="AGM47" s="621"/>
      <c r="AGN47" s="621"/>
      <c r="AGO47" s="621"/>
      <c r="AGP47" s="621"/>
      <c r="AGQ47" s="621"/>
      <c r="AGR47" s="621"/>
      <c r="AGS47" s="621"/>
      <c r="AGT47" s="621"/>
      <c r="AGU47" s="621"/>
      <c r="AGV47" s="621"/>
      <c r="AGW47" s="621"/>
      <c r="AGX47" s="621"/>
      <c r="AGY47" s="621"/>
      <c r="AGZ47" s="621"/>
      <c r="AHA47" s="621"/>
      <c r="AHB47" s="621"/>
      <c r="AHC47" s="621"/>
      <c r="AHD47" s="621"/>
      <c r="AHE47" s="621"/>
      <c r="AHF47" s="621"/>
      <c r="AHG47" s="621"/>
      <c r="AHH47" s="621"/>
      <c r="AHI47" s="621"/>
      <c r="AHJ47" s="621"/>
      <c r="AHK47" s="621"/>
      <c r="AHL47" s="621"/>
      <c r="AHM47" s="621"/>
      <c r="AHN47" s="621"/>
      <c r="AHO47" s="621"/>
      <c r="AHP47" s="621"/>
      <c r="AHQ47" s="621"/>
      <c r="AHR47" s="621"/>
      <c r="AHS47" s="621"/>
      <c r="AHT47" s="621"/>
      <c r="AHU47" s="621"/>
      <c r="AHV47" s="621"/>
      <c r="AHW47" s="621"/>
      <c r="AHX47" s="621"/>
      <c r="AHY47" s="621"/>
      <c r="AHZ47" s="621"/>
      <c r="AIA47" s="621"/>
      <c r="AIB47" s="621"/>
      <c r="AIC47" s="621"/>
      <c r="AID47" s="621"/>
      <c r="AIE47" s="621"/>
      <c r="AIF47" s="621"/>
      <c r="AIG47" s="621"/>
      <c r="AIH47" s="621"/>
      <c r="AII47" s="621"/>
      <c r="AIJ47" s="621"/>
      <c r="AIK47" s="621"/>
      <c r="AIL47" s="621"/>
      <c r="AIM47" s="621"/>
      <c r="AIN47" s="621"/>
      <c r="AIO47" s="621"/>
      <c r="AIP47" s="621"/>
      <c r="AIQ47" s="621"/>
      <c r="AIR47" s="621"/>
      <c r="AIS47" s="621"/>
      <c r="AIT47" s="621"/>
      <c r="AIU47" s="621"/>
      <c r="AIV47" s="621"/>
      <c r="AIW47" s="621"/>
      <c r="AIX47" s="621"/>
      <c r="AIY47" s="621"/>
      <c r="AIZ47" s="621"/>
      <c r="AJA47" s="621"/>
      <c r="AJB47" s="621"/>
      <c r="AJC47" s="621"/>
      <c r="AJD47" s="621"/>
      <c r="AJE47" s="621"/>
      <c r="AJF47" s="621"/>
      <c r="AJG47" s="621"/>
      <c r="AJH47" s="621"/>
      <c r="AJI47" s="621"/>
      <c r="AJJ47" s="621"/>
      <c r="AJK47" s="621"/>
      <c r="AJL47" s="621"/>
      <c r="AJM47" s="621"/>
      <c r="AJN47" s="621"/>
      <c r="AJO47" s="621"/>
      <c r="AJP47" s="621"/>
      <c r="AJQ47" s="621"/>
      <c r="AJR47" s="621"/>
      <c r="AJS47" s="621"/>
      <c r="AJT47" s="621"/>
      <c r="AJU47" s="621"/>
      <c r="AJV47" s="621"/>
      <c r="AJW47" s="621"/>
      <c r="AJX47" s="621"/>
      <c r="AJY47" s="621"/>
      <c r="AJZ47" s="621"/>
      <c r="AKA47" s="621"/>
      <c r="AKB47" s="621"/>
      <c r="AKC47" s="621"/>
      <c r="AKD47" s="621"/>
      <c r="AKE47" s="621"/>
      <c r="AKF47" s="621"/>
      <c r="AKG47" s="621"/>
      <c r="AKH47" s="621"/>
      <c r="AKI47" s="621"/>
      <c r="AKJ47" s="621"/>
      <c r="AKK47" s="621"/>
      <c r="AKL47" s="621"/>
      <c r="AKM47" s="621"/>
      <c r="AKN47" s="621"/>
      <c r="AKO47" s="621"/>
      <c r="AKP47" s="621"/>
      <c r="AKQ47" s="621"/>
      <c r="AKR47" s="621"/>
      <c r="AKS47" s="621"/>
      <c r="AKT47" s="621"/>
      <c r="AKU47" s="621"/>
      <c r="AKV47" s="621"/>
      <c r="AKW47" s="621"/>
      <c r="AKX47" s="621"/>
      <c r="AKY47" s="621"/>
      <c r="AKZ47" s="621"/>
      <c r="ALA47" s="621"/>
      <c r="ALB47" s="621"/>
      <c r="ALC47" s="621"/>
      <c r="ALD47" s="621"/>
      <c r="ALE47" s="621"/>
      <c r="ALF47" s="621"/>
      <c r="ALG47" s="621"/>
      <c r="ALH47" s="621"/>
      <c r="ALI47" s="621"/>
      <c r="ALJ47" s="621"/>
      <c r="ALK47" s="621"/>
      <c r="ALL47" s="621"/>
      <c r="ALM47" s="621"/>
      <c r="ALN47" s="621"/>
      <c r="ALO47" s="621"/>
      <c r="ALP47" s="621"/>
      <c r="ALQ47" s="621"/>
      <c r="ALR47" s="621"/>
      <c r="ALS47" s="621"/>
      <c r="ALT47" s="621"/>
      <c r="ALU47" s="621"/>
      <c r="ALV47" s="621"/>
      <c r="ALW47" s="621"/>
      <c r="ALX47" s="621"/>
      <c r="ALY47" s="621"/>
      <c r="ALZ47" s="621"/>
      <c r="AMA47" s="621"/>
      <c r="AMB47" s="621"/>
      <c r="AMC47" s="621"/>
      <c r="AMD47" s="621"/>
      <c r="AME47" s="621"/>
      <c r="AMF47" s="621"/>
      <c r="AMG47" s="621"/>
      <c r="AMH47" s="621"/>
      <c r="AMI47" s="621"/>
      <c r="AMJ47" s="621"/>
      <c r="AMK47" s="621"/>
    </row>
    <row r="48" spans="1:1025" ht="31.5" customHeight="1" thickTop="1" thickBot="1">
      <c r="A48" s="374" t="s">
        <v>353</v>
      </c>
      <c r="B48" s="375" t="s">
        <v>376</v>
      </c>
      <c r="C48" s="376">
        <f>'Weekly Machinery Ex'!J96+'Weekly Machinery Ex'!J99+'Weekly Machinery Ex'!J100+'Weekly Machinery Ex'!J101</f>
        <v>119600</v>
      </c>
      <c r="D48" s="423">
        <f>'Weekly Machinery Ex'!K96+'Weekly Machinery Ex'!L96+'Weekly Machinery Ex'!K99+'Weekly Machinery Ex'!L99+'Weekly Machinery Ex'!K100+'Weekly Machinery Ex'!L100+'Weekly Machinery Ex'!K101+'Weekly Machinery Ex'!L101</f>
        <v>84644</v>
      </c>
      <c r="E48" s="2043"/>
      <c r="F48" s="2043"/>
      <c r="G48" s="392"/>
      <c r="H48" s="429"/>
      <c r="I48" s="1497"/>
      <c r="J48" s="1498">
        <v>67595</v>
      </c>
      <c r="K48" s="593"/>
      <c r="P48" s="272"/>
      <c r="Q48" s="432" t="s">
        <v>384</v>
      </c>
      <c r="R48" s="1512"/>
      <c r="S48" s="434"/>
      <c r="T48" s="272"/>
      <c r="U48" s="397"/>
      <c r="V48" s="328" t="s">
        <v>385</v>
      </c>
      <c r="W48" s="410">
        <v>5.75</v>
      </c>
      <c r="X48" s="410"/>
      <c r="Y48" s="411">
        <f t="shared" ref="Y48:Y54" si="10">W48*X48</f>
        <v>0</v>
      </c>
      <c r="Z48" s="397"/>
      <c r="AA48" s="257"/>
      <c r="AB48" s="260"/>
      <c r="AC48" s="430"/>
      <c r="AD48" s="1511"/>
      <c r="AE48" s="1471"/>
      <c r="AF48" s="2048" t="s">
        <v>386</v>
      </c>
      <c r="AG48" s="2048"/>
      <c r="AH48" s="2048"/>
      <c r="AI48" s="2048"/>
      <c r="AJ48" s="2048"/>
      <c r="AK48" s="2048"/>
      <c r="AL48" s="2048"/>
      <c r="AM48" s="2048"/>
      <c r="AN48" s="2049"/>
      <c r="AO48" s="2049"/>
      <c r="AP48" s="435" t="s">
        <v>279</v>
      </c>
      <c r="AQ48" s="621"/>
      <c r="AR48" s="621"/>
      <c r="AS48" s="621"/>
      <c r="AT48" s="621"/>
      <c r="AU48" s="621"/>
      <c r="AV48" s="621"/>
      <c r="AW48" s="621"/>
      <c r="AX48" s="621"/>
      <c r="AY48" s="621"/>
      <c r="AZ48" s="621"/>
      <c r="BA48" s="621"/>
      <c r="BB48" s="621"/>
      <c r="BC48" s="621"/>
      <c r="BD48" s="621"/>
      <c r="BE48" s="621"/>
      <c r="BF48" s="621"/>
      <c r="BG48" s="621"/>
      <c r="BH48" s="621"/>
      <c r="BI48" s="621"/>
      <c r="BJ48" s="621"/>
      <c r="BK48" s="621"/>
      <c r="BL48" s="621"/>
      <c r="BM48" s="621"/>
      <c r="BN48" s="621"/>
      <c r="BO48" s="621"/>
      <c r="BP48" s="621"/>
      <c r="BQ48" s="621"/>
      <c r="BR48" s="621"/>
      <c r="BS48" s="621"/>
      <c r="BT48" s="621"/>
      <c r="BU48" s="621"/>
      <c r="BV48" s="621"/>
      <c r="BW48" s="621"/>
      <c r="BX48" s="621"/>
      <c r="BY48" s="621"/>
      <c r="BZ48" s="621"/>
      <c r="CA48" s="621"/>
      <c r="CB48" s="621"/>
      <c r="CC48" s="621"/>
      <c r="CD48" s="621"/>
      <c r="CE48" s="621"/>
      <c r="CF48" s="621"/>
      <c r="CG48" s="621"/>
      <c r="CH48" s="621"/>
      <c r="CI48" s="621"/>
      <c r="CJ48" s="621"/>
      <c r="CK48" s="621"/>
      <c r="CL48" s="621"/>
      <c r="CM48" s="621"/>
      <c r="CN48" s="621"/>
      <c r="CO48" s="621"/>
      <c r="CP48" s="621"/>
      <c r="CQ48" s="621"/>
      <c r="CR48" s="621"/>
      <c r="CS48" s="621"/>
      <c r="CT48" s="621"/>
      <c r="CU48" s="621"/>
      <c r="CV48" s="621"/>
      <c r="CW48" s="621"/>
      <c r="CX48" s="621"/>
      <c r="CY48" s="621"/>
      <c r="CZ48" s="621"/>
      <c r="DA48" s="621"/>
      <c r="DB48" s="621"/>
      <c r="DC48" s="621"/>
      <c r="DD48" s="621"/>
      <c r="DE48" s="621"/>
      <c r="DF48" s="621"/>
      <c r="DG48" s="621"/>
      <c r="DH48" s="621"/>
      <c r="DI48" s="621"/>
      <c r="DJ48" s="621"/>
      <c r="DK48" s="621"/>
      <c r="DL48" s="621"/>
      <c r="DM48" s="621"/>
      <c r="DN48" s="621"/>
      <c r="DO48" s="621"/>
      <c r="DP48" s="621"/>
      <c r="DQ48" s="621"/>
      <c r="DR48" s="621"/>
      <c r="DS48" s="621"/>
      <c r="DT48" s="621"/>
      <c r="DU48" s="621"/>
      <c r="DV48" s="621"/>
      <c r="DW48" s="621"/>
      <c r="DX48" s="621"/>
      <c r="DY48" s="621"/>
      <c r="DZ48" s="621"/>
      <c r="EA48" s="621"/>
      <c r="EB48" s="621"/>
      <c r="EC48" s="621"/>
      <c r="ED48" s="621"/>
      <c r="EE48" s="621"/>
      <c r="EF48" s="621"/>
      <c r="EG48" s="621"/>
      <c r="EH48" s="621"/>
      <c r="EI48" s="621"/>
      <c r="EJ48" s="621"/>
      <c r="EK48" s="621"/>
      <c r="EL48" s="621"/>
      <c r="EM48" s="621"/>
      <c r="EN48" s="621"/>
      <c r="EO48" s="621"/>
      <c r="EP48" s="621"/>
      <c r="EQ48" s="621"/>
      <c r="ER48" s="621"/>
      <c r="ES48" s="621"/>
      <c r="ET48" s="621"/>
      <c r="EU48" s="621"/>
      <c r="EV48" s="621"/>
      <c r="EW48" s="621"/>
      <c r="EX48" s="621"/>
      <c r="EY48" s="621"/>
      <c r="EZ48" s="621"/>
      <c r="FA48" s="621"/>
      <c r="FB48" s="621"/>
      <c r="FC48" s="621"/>
      <c r="FD48" s="621"/>
      <c r="FE48" s="621"/>
      <c r="FF48" s="621"/>
      <c r="FG48" s="621"/>
      <c r="FH48" s="621"/>
      <c r="FI48" s="621"/>
      <c r="FJ48" s="621"/>
      <c r="FK48" s="621"/>
      <c r="FL48" s="621"/>
      <c r="FM48" s="621"/>
      <c r="FN48" s="621"/>
      <c r="FO48" s="621"/>
      <c r="FP48" s="621"/>
      <c r="FQ48" s="621"/>
      <c r="FR48" s="621"/>
      <c r="FS48" s="621"/>
      <c r="FT48" s="621"/>
      <c r="FU48" s="621"/>
      <c r="FV48" s="621"/>
      <c r="FW48" s="621"/>
      <c r="FX48" s="621"/>
      <c r="FY48" s="621"/>
      <c r="FZ48" s="621"/>
      <c r="GA48" s="621"/>
      <c r="GB48" s="621"/>
      <c r="GC48" s="621"/>
      <c r="GD48" s="621"/>
      <c r="GE48" s="621"/>
      <c r="GF48" s="621"/>
      <c r="GG48" s="621"/>
      <c r="GH48" s="621"/>
      <c r="GI48" s="621"/>
      <c r="GJ48" s="621"/>
      <c r="GK48" s="621"/>
      <c r="GL48" s="621"/>
      <c r="GM48" s="621"/>
      <c r="GN48" s="621"/>
      <c r="GO48" s="621"/>
      <c r="GP48" s="621"/>
      <c r="GQ48" s="621"/>
      <c r="GR48" s="621"/>
      <c r="GS48" s="621"/>
      <c r="GT48" s="621"/>
      <c r="GU48" s="621"/>
      <c r="GV48" s="621"/>
      <c r="GW48" s="621"/>
      <c r="GX48" s="621"/>
      <c r="GY48" s="621"/>
      <c r="GZ48" s="621"/>
      <c r="HA48" s="621"/>
      <c r="HB48" s="621"/>
      <c r="HC48" s="621"/>
      <c r="HD48" s="621"/>
      <c r="HE48" s="621"/>
      <c r="HF48" s="621"/>
      <c r="HG48" s="621"/>
      <c r="HH48" s="621"/>
      <c r="HI48" s="621"/>
      <c r="HJ48" s="621"/>
      <c r="HK48" s="621"/>
      <c r="HL48" s="621"/>
      <c r="HM48" s="621"/>
      <c r="HN48" s="621"/>
      <c r="HO48" s="621"/>
      <c r="HP48" s="621"/>
      <c r="HQ48" s="621"/>
      <c r="HR48" s="621"/>
      <c r="HS48" s="621"/>
      <c r="HT48" s="621"/>
      <c r="HU48" s="621"/>
      <c r="HV48" s="621"/>
      <c r="HW48" s="621"/>
      <c r="HX48" s="621"/>
      <c r="HY48" s="621"/>
      <c r="HZ48" s="621"/>
      <c r="IA48" s="621"/>
      <c r="IB48" s="621"/>
      <c r="IC48" s="621"/>
      <c r="ID48" s="621"/>
      <c r="IE48" s="621"/>
      <c r="IF48" s="621"/>
      <c r="IG48" s="621"/>
      <c r="IH48" s="621"/>
      <c r="II48" s="621"/>
      <c r="IJ48" s="621"/>
      <c r="IK48" s="621"/>
      <c r="IL48" s="621"/>
      <c r="IM48" s="621"/>
      <c r="IN48" s="621"/>
      <c r="IO48" s="621"/>
      <c r="IP48" s="621"/>
      <c r="IQ48" s="621"/>
      <c r="IR48" s="621"/>
      <c r="IS48" s="621"/>
      <c r="IT48" s="621"/>
      <c r="IU48" s="621"/>
      <c r="IV48" s="621"/>
      <c r="IW48" s="621"/>
      <c r="IX48" s="621"/>
      <c r="IY48" s="621"/>
      <c r="IZ48" s="621"/>
      <c r="JA48" s="621"/>
      <c r="JB48" s="621"/>
      <c r="JC48" s="621"/>
      <c r="JD48" s="621"/>
      <c r="JE48" s="621"/>
      <c r="JF48" s="621"/>
      <c r="JG48" s="621"/>
      <c r="JH48" s="621"/>
      <c r="JI48" s="621"/>
      <c r="JJ48" s="621"/>
      <c r="JK48" s="621"/>
      <c r="JL48" s="621"/>
      <c r="JM48" s="621"/>
      <c r="JN48" s="621"/>
      <c r="JO48" s="621"/>
      <c r="JP48" s="621"/>
      <c r="JQ48" s="621"/>
      <c r="JR48" s="621"/>
      <c r="JS48" s="621"/>
      <c r="JT48" s="621"/>
      <c r="JU48" s="621"/>
      <c r="JV48" s="621"/>
      <c r="JW48" s="621"/>
      <c r="JX48" s="621"/>
      <c r="JY48" s="621"/>
      <c r="JZ48" s="621"/>
      <c r="KA48" s="621"/>
      <c r="KB48" s="621"/>
      <c r="KC48" s="621"/>
      <c r="KD48" s="621"/>
      <c r="KE48" s="621"/>
      <c r="KF48" s="621"/>
      <c r="KG48" s="621"/>
      <c r="KH48" s="621"/>
      <c r="KI48" s="621"/>
      <c r="KJ48" s="621"/>
      <c r="KK48" s="621"/>
      <c r="KL48" s="621"/>
      <c r="KM48" s="621"/>
      <c r="KN48" s="621"/>
      <c r="KO48" s="621"/>
      <c r="KP48" s="621"/>
      <c r="KQ48" s="621"/>
      <c r="KR48" s="621"/>
      <c r="KS48" s="621"/>
      <c r="KT48" s="621"/>
      <c r="KU48" s="621"/>
      <c r="KV48" s="621"/>
      <c r="KW48" s="621"/>
      <c r="KX48" s="621"/>
      <c r="KY48" s="621"/>
      <c r="KZ48" s="621"/>
      <c r="LA48" s="621"/>
      <c r="LB48" s="621"/>
      <c r="LC48" s="621"/>
      <c r="LD48" s="621"/>
      <c r="LE48" s="621"/>
      <c r="LF48" s="621"/>
      <c r="LG48" s="621"/>
      <c r="LH48" s="621"/>
      <c r="LI48" s="621"/>
      <c r="LJ48" s="621"/>
      <c r="LK48" s="621"/>
      <c r="LL48" s="621"/>
      <c r="LM48" s="621"/>
      <c r="LN48" s="621"/>
      <c r="LO48" s="621"/>
      <c r="LP48" s="621"/>
      <c r="LQ48" s="621"/>
      <c r="LR48" s="621"/>
      <c r="LS48" s="621"/>
      <c r="LT48" s="621"/>
      <c r="LU48" s="621"/>
      <c r="LV48" s="621"/>
      <c r="LW48" s="621"/>
      <c r="LX48" s="621"/>
      <c r="LY48" s="621"/>
      <c r="LZ48" s="621"/>
      <c r="MA48" s="621"/>
      <c r="MB48" s="621"/>
      <c r="MC48" s="621"/>
      <c r="MD48" s="621"/>
      <c r="ME48" s="621"/>
      <c r="MF48" s="621"/>
      <c r="MG48" s="621"/>
      <c r="MH48" s="621"/>
      <c r="MI48" s="621"/>
      <c r="MJ48" s="621"/>
      <c r="MK48" s="621"/>
      <c r="ML48" s="621"/>
      <c r="MM48" s="621"/>
      <c r="MN48" s="621"/>
      <c r="MO48" s="621"/>
      <c r="MP48" s="621"/>
      <c r="MQ48" s="621"/>
      <c r="MR48" s="621"/>
      <c r="MS48" s="621"/>
      <c r="MT48" s="621"/>
      <c r="MU48" s="621"/>
      <c r="MV48" s="621"/>
      <c r="MW48" s="621"/>
      <c r="MX48" s="621"/>
      <c r="MY48" s="621"/>
      <c r="MZ48" s="621"/>
      <c r="NA48" s="621"/>
      <c r="NB48" s="621"/>
      <c r="NC48" s="621"/>
      <c r="ND48" s="621"/>
      <c r="NE48" s="621"/>
      <c r="NF48" s="621"/>
      <c r="NG48" s="621"/>
      <c r="NH48" s="621"/>
      <c r="NI48" s="621"/>
      <c r="NJ48" s="621"/>
      <c r="NK48" s="621"/>
      <c r="NL48" s="621"/>
      <c r="NM48" s="621"/>
      <c r="NN48" s="621"/>
      <c r="NO48" s="621"/>
      <c r="NP48" s="621"/>
      <c r="NQ48" s="621"/>
      <c r="NR48" s="621"/>
      <c r="NS48" s="621"/>
      <c r="NT48" s="621"/>
      <c r="NU48" s="621"/>
      <c r="NV48" s="621"/>
      <c r="NW48" s="621"/>
      <c r="NX48" s="621"/>
      <c r="NY48" s="621"/>
      <c r="NZ48" s="621"/>
      <c r="OA48" s="621"/>
      <c r="OB48" s="621"/>
      <c r="OC48" s="621"/>
      <c r="OD48" s="621"/>
      <c r="OE48" s="621"/>
      <c r="OF48" s="621"/>
      <c r="OG48" s="621"/>
      <c r="OH48" s="621"/>
      <c r="OI48" s="621"/>
      <c r="OJ48" s="621"/>
      <c r="OK48" s="621"/>
      <c r="OL48" s="621"/>
      <c r="OM48" s="621"/>
      <c r="ON48" s="621"/>
      <c r="OO48" s="621"/>
      <c r="OP48" s="621"/>
      <c r="OQ48" s="621"/>
      <c r="OR48" s="621"/>
      <c r="OS48" s="621"/>
      <c r="OT48" s="621"/>
      <c r="OU48" s="621"/>
      <c r="OV48" s="621"/>
      <c r="OW48" s="621"/>
      <c r="OX48" s="621"/>
      <c r="OY48" s="621"/>
      <c r="OZ48" s="621"/>
      <c r="PA48" s="621"/>
      <c r="PB48" s="621"/>
      <c r="PC48" s="621"/>
      <c r="PD48" s="621"/>
      <c r="PE48" s="621"/>
      <c r="PF48" s="621"/>
      <c r="PG48" s="621"/>
      <c r="PH48" s="621"/>
      <c r="PI48" s="621"/>
      <c r="PJ48" s="621"/>
      <c r="PK48" s="621"/>
      <c r="PL48" s="621"/>
      <c r="PM48" s="621"/>
      <c r="PN48" s="621"/>
      <c r="PO48" s="621"/>
      <c r="PP48" s="621"/>
      <c r="PQ48" s="621"/>
      <c r="PR48" s="621"/>
      <c r="PS48" s="621"/>
      <c r="PT48" s="621"/>
      <c r="PU48" s="621"/>
      <c r="PV48" s="621"/>
      <c r="PW48" s="621"/>
      <c r="PX48" s="621"/>
      <c r="PY48" s="621"/>
      <c r="PZ48" s="621"/>
      <c r="QA48" s="621"/>
      <c r="QB48" s="621"/>
      <c r="QC48" s="621"/>
      <c r="QD48" s="621"/>
      <c r="QE48" s="621"/>
      <c r="QF48" s="621"/>
      <c r="QG48" s="621"/>
      <c r="QH48" s="621"/>
      <c r="QI48" s="621"/>
      <c r="QJ48" s="621"/>
      <c r="QK48" s="621"/>
      <c r="QL48" s="621"/>
      <c r="QM48" s="621"/>
      <c r="QN48" s="621"/>
      <c r="QO48" s="621"/>
      <c r="QP48" s="621"/>
      <c r="QQ48" s="621"/>
      <c r="QR48" s="621"/>
      <c r="QS48" s="621"/>
      <c r="QT48" s="621"/>
      <c r="QU48" s="621"/>
      <c r="QV48" s="621"/>
      <c r="QW48" s="621"/>
      <c r="QX48" s="621"/>
      <c r="QY48" s="621"/>
      <c r="QZ48" s="621"/>
      <c r="RA48" s="621"/>
      <c r="RB48" s="621"/>
      <c r="RC48" s="621"/>
      <c r="RD48" s="621"/>
      <c r="RE48" s="621"/>
      <c r="RF48" s="621"/>
      <c r="RG48" s="621"/>
      <c r="RH48" s="621"/>
      <c r="RI48" s="621"/>
      <c r="RJ48" s="621"/>
      <c r="RK48" s="621"/>
      <c r="RL48" s="621"/>
      <c r="RM48" s="621"/>
      <c r="RN48" s="621"/>
      <c r="RO48" s="621"/>
      <c r="RP48" s="621"/>
      <c r="RQ48" s="621"/>
      <c r="RR48" s="621"/>
      <c r="RS48" s="621"/>
      <c r="RT48" s="621"/>
      <c r="RU48" s="621"/>
      <c r="RV48" s="621"/>
      <c r="RW48" s="621"/>
      <c r="RX48" s="621"/>
      <c r="RY48" s="621"/>
      <c r="RZ48" s="621"/>
      <c r="SA48" s="621"/>
      <c r="SB48" s="621"/>
      <c r="SC48" s="621"/>
      <c r="SD48" s="621"/>
      <c r="SE48" s="621"/>
      <c r="SF48" s="621"/>
      <c r="SG48" s="621"/>
      <c r="SH48" s="621"/>
      <c r="SI48" s="621"/>
      <c r="SJ48" s="621"/>
      <c r="SK48" s="621"/>
      <c r="SL48" s="621"/>
      <c r="SM48" s="621"/>
      <c r="SN48" s="621"/>
      <c r="SO48" s="621"/>
      <c r="SP48" s="621"/>
      <c r="SQ48" s="621"/>
      <c r="SR48" s="621"/>
      <c r="SS48" s="621"/>
      <c r="ST48" s="621"/>
      <c r="SU48" s="621"/>
      <c r="SV48" s="621"/>
      <c r="SW48" s="621"/>
      <c r="SX48" s="621"/>
      <c r="SY48" s="621"/>
      <c r="SZ48" s="621"/>
      <c r="TA48" s="621"/>
      <c r="TB48" s="621"/>
      <c r="TC48" s="621"/>
      <c r="TD48" s="621"/>
      <c r="TE48" s="621"/>
      <c r="TF48" s="621"/>
      <c r="TG48" s="621"/>
      <c r="TH48" s="621"/>
      <c r="TI48" s="621"/>
      <c r="TJ48" s="621"/>
      <c r="TK48" s="621"/>
      <c r="TL48" s="621"/>
      <c r="TM48" s="621"/>
      <c r="TN48" s="621"/>
      <c r="TO48" s="621"/>
      <c r="TP48" s="621"/>
      <c r="TQ48" s="621"/>
      <c r="TR48" s="621"/>
      <c r="TS48" s="621"/>
      <c r="TT48" s="621"/>
      <c r="TU48" s="621"/>
      <c r="TV48" s="621"/>
      <c r="TW48" s="621"/>
      <c r="TX48" s="621"/>
      <c r="TY48" s="621"/>
      <c r="TZ48" s="621"/>
      <c r="UA48" s="621"/>
      <c r="UB48" s="621"/>
      <c r="UC48" s="621"/>
      <c r="UD48" s="621"/>
      <c r="UE48" s="621"/>
      <c r="UF48" s="621"/>
      <c r="UG48" s="621"/>
      <c r="UH48" s="621"/>
      <c r="UI48" s="621"/>
      <c r="UJ48" s="621"/>
      <c r="UK48" s="621"/>
      <c r="UL48" s="621"/>
      <c r="UM48" s="621"/>
      <c r="UN48" s="621"/>
      <c r="UO48" s="621"/>
      <c r="UP48" s="621"/>
      <c r="UQ48" s="621"/>
      <c r="UR48" s="621"/>
      <c r="US48" s="621"/>
      <c r="UT48" s="621"/>
      <c r="UU48" s="621"/>
      <c r="UV48" s="621"/>
      <c r="UW48" s="621"/>
      <c r="UX48" s="621"/>
      <c r="UY48" s="621"/>
      <c r="UZ48" s="621"/>
      <c r="VA48" s="621"/>
      <c r="VB48" s="621"/>
      <c r="VC48" s="621"/>
      <c r="VD48" s="621"/>
      <c r="VE48" s="621"/>
      <c r="VF48" s="621"/>
      <c r="VG48" s="621"/>
      <c r="VH48" s="621"/>
      <c r="VI48" s="621"/>
      <c r="VJ48" s="621"/>
      <c r="VK48" s="621"/>
      <c r="VL48" s="621"/>
      <c r="VM48" s="621"/>
      <c r="VN48" s="621"/>
      <c r="VO48" s="621"/>
      <c r="VP48" s="621"/>
      <c r="VQ48" s="621"/>
      <c r="VR48" s="621"/>
      <c r="VS48" s="621"/>
      <c r="VT48" s="621"/>
      <c r="VU48" s="621"/>
      <c r="VV48" s="621"/>
      <c r="VW48" s="621"/>
      <c r="VX48" s="621"/>
      <c r="VY48" s="621"/>
      <c r="VZ48" s="621"/>
      <c r="WA48" s="621"/>
      <c r="WB48" s="621"/>
      <c r="WC48" s="621"/>
      <c r="WD48" s="621"/>
      <c r="WE48" s="621"/>
      <c r="WF48" s="621"/>
      <c r="WG48" s="621"/>
      <c r="WH48" s="621"/>
      <c r="WI48" s="621"/>
      <c r="WJ48" s="621"/>
      <c r="WK48" s="621"/>
      <c r="WL48" s="621"/>
      <c r="WM48" s="621"/>
      <c r="WN48" s="621"/>
      <c r="WO48" s="621"/>
      <c r="WP48" s="621"/>
      <c r="WQ48" s="621"/>
      <c r="WR48" s="621"/>
      <c r="WS48" s="621"/>
      <c r="WT48" s="621"/>
      <c r="WU48" s="621"/>
      <c r="WV48" s="621"/>
      <c r="WW48" s="621"/>
      <c r="WX48" s="621"/>
      <c r="WY48" s="621"/>
      <c r="WZ48" s="621"/>
      <c r="XA48" s="621"/>
      <c r="XB48" s="621"/>
      <c r="XC48" s="621"/>
      <c r="XD48" s="621"/>
      <c r="XE48" s="621"/>
      <c r="XF48" s="621"/>
      <c r="XG48" s="621"/>
      <c r="XH48" s="621"/>
      <c r="XI48" s="621"/>
      <c r="XJ48" s="621"/>
      <c r="XK48" s="621"/>
      <c r="XL48" s="621"/>
      <c r="XM48" s="621"/>
      <c r="XN48" s="621"/>
      <c r="XO48" s="621"/>
      <c r="XP48" s="621"/>
      <c r="XQ48" s="621"/>
      <c r="XR48" s="621"/>
      <c r="XS48" s="621"/>
      <c r="XT48" s="621"/>
      <c r="XU48" s="621"/>
      <c r="XV48" s="621"/>
      <c r="XW48" s="621"/>
      <c r="XX48" s="621"/>
      <c r="XY48" s="621"/>
      <c r="XZ48" s="621"/>
      <c r="YA48" s="621"/>
      <c r="YB48" s="621"/>
      <c r="YC48" s="621"/>
      <c r="YD48" s="621"/>
      <c r="YE48" s="621"/>
      <c r="YF48" s="621"/>
      <c r="YG48" s="621"/>
      <c r="YH48" s="621"/>
      <c r="YI48" s="621"/>
      <c r="YJ48" s="621"/>
      <c r="YK48" s="621"/>
      <c r="YL48" s="621"/>
      <c r="YM48" s="621"/>
      <c r="YN48" s="621"/>
      <c r="YO48" s="621"/>
      <c r="YP48" s="621"/>
      <c r="YQ48" s="621"/>
      <c r="YR48" s="621"/>
      <c r="YS48" s="621"/>
      <c r="YT48" s="621"/>
      <c r="YU48" s="621"/>
      <c r="YV48" s="621"/>
      <c r="YW48" s="621"/>
      <c r="YX48" s="621"/>
      <c r="YY48" s="621"/>
      <c r="YZ48" s="621"/>
      <c r="ZA48" s="621"/>
      <c r="ZB48" s="621"/>
      <c r="ZC48" s="621"/>
      <c r="ZD48" s="621"/>
      <c r="ZE48" s="621"/>
      <c r="ZF48" s="621"/>
      <c r="ZG48" s="621"/>
      <c r="ZH48" s="621"/>
      <c r="ZI48" s="621"/>
      <c r="ZJ48" s="621"/>
      <c r="ZK48" s="621"/>
      <c r="ZL48" s="621"/>
      <c r="ZM48" s="621"/>
      <c r="ZN48" s="621"/>
      <c r="ZO48" s="621"/>
      <c r="ZP48" s="621"/>
      <c r="ZQ48" s="621"/>
      <c r="ZR48" s="621"/>
      <c r="ZS48" s="621"/>
      <c r="ZT48" s="621"/>
      <c r="ZU48" s="621"/>
      <c r="ZV48" s="621"/>
      <c r="ZW48" s="621"/>
      <c r="ZX48" s="621"/>
      <c r="ZY48" s="621"/>
      <c r="ZZ48" s="621"/>
      <c r="AAA48" s="621"/>
      <c r="AAB48" s="621"/>
      <c r="AAC48" s="621"/>
      <c r="AAD48" s="621"/>
      <c r="AAE48" s="621"/>
      <c r="AAF48" s="621"/>
      <c r="AAG48" s="621"/>
      <c r="AAH48" s="621"/>
      <c r="AAI48" s="621"/>
      <c r="AAJ48" s="621"/>
      <c r="AAK48" s="621"/>
      <c r="AAL48" s="621"/>
      <c r="AAM48" s="621"/>
      <c r="AAN48" s="621"/>
      <c r="AAO48" s="621"/>
      <c r="AAP48" s="621"/>
      <c r="AAQ48" s="621"/>
      <c r="AAR48" s="621"/>
      <c r="AAS48" s="621"/>
      <c r="AAT48" s="621"/>
      <c r="AAU48" s="621"/>
      <c r="AAV48" s="621"/>
      <c r="AAW48" s="621"/>
      <c r="AAX48" s="621"/>
      <c r="AAY48" s="621"/>
      <c r="AAZ48" s="621"/>
      <c r="ABA48" s="621"/>
      <c r="ABB48" s="621"/>
      <c r="ABC48" s="621"/>
      <c r="ABD48" s="621"/>
      <c r="ABE48" s="621"/>
      <c r="ABF48" s="621"/>
      <c r="ABG48" s="621"/>
      <c r="ABH48" s="621"/>
      <c r="ABI48" s="621"/>
      <c r="ABJ48" s="621"/>
      <c r="ABK48" s="621"/>
      <c r="ABL48" s="621"/>
      <c r="ABM48" s="621"/>
      <c r="ABN48" s="621"/>
      <c r="ABO48" s="621"/>
      <c r="ABP48" s="621"/>
      <c r="ABQ48" s="621"/>
      <c r="ABR48" s="621"/>
      <c r="ABS48" s="621"/>
      <c r="ABT48" s="621"/>
      <c r="ABU48" s="621"/>
      <c r="ABV48" s="621"/>
      <c r="ABW48" s="621"/>
      <c r="ABX48" s="621"/>
      <c r="ABY48" s="621"/>
      <c r="ABZ48" s="621"/>
      <c r="ACA48" s="621"/>
      <c r="ACB48" s="621"/>
      <c r="ACC48" s="621"/>
      <c r="ACD48" s="621"/>
      <c r="ACE48" s="621"/>
      <c r="ACF48" s="621"/>
      <c r="ACG48" s="621"/>
      <c r="ACH48" s="621"/>
      <c r="ACI48" s="621"/>
      <c r="ACJ48" s="621"/>
      <c r="ACK48" s="621"/>
      <c r="ACL48" s="621"/>
      <c r="ACM48" s="621"/>
      <c r="ACN48" s="621"/>
      <c r="ACO48" s="621"/>
      <c r="ACP48" s="621"/>
      <c r="ACQ48" s="621"/>
      <c r="ACR48" s="621"/>
      <c r="ACS48" s="621"/>
      <c r="ACT48" s="621"/>
      <c r="ACU48" s="621"/>
      <c r="ACV48" s="621"/>
      <c r="ACW48" s="621"/>
      <c r="ACX48" s="621"/>
      <c r="ACY48" s="621"/>
      <c r="ACZ48" s="621"/>
      <c r="ADA48" s="621"/>
      <c r="ADB48" s="621"/>
      <c r="ADC48" s="621"/>
      <c r="ADD48" s="621"/>
      <c r="ADE48" s="621"/>
      <c r="ADF48" s="621"/>
      <c r="ADG48" s="621"/>
      <c r="ADH48" s="621"/>
      <c r="ADI48" s="621"/>
      <c r="ADJ48" s="621"/>
      <c r="ADK48" s="621"/>
      <c r="ADL48" s="621"/>
      <c r="ADM48" s="621"/>
      <c r="ADN48" s="621"/>
      <c r="ADO48" s="621"/>
      <c r="ADP48" s="621"/>
      <c r="ADQ48" s="621"/>
      <c r="ADR48" s="621"/>
      <c r="ADS48" s="621"/>
      <c r="ADT48" s="621"/>
      <c r="ADU48" s="621"/>
      <c r="ADV48" s="621"/>
      <c r="ADW48" s="621"/>
      <c r="ADX48" s="621"/>
      <c r="ADY48" s="621"/>
      <c r="ADZ48" s="621"/>
      <c r="AEA48" s="621"/>
      <c r="AEB48" s="621"/>
      <c r="AEC48" s="621"/>
      <c r="AED48" s="621"/>
      <c r="AEE48" s="621"/>
      <c r="AEF48" s="621"/>
      <c r="AEG48" s="621"/>
      <c r="AEH48" s="621"/>
      <c r="AEI48" s="621"/>
      <c r="AEJ48" s="621"/>
      <c r="AEK48" s="621"/>
      <c r="AEL48" s="621"/>
      <c r="AEM48" s="621"/>
      <c r="AEN48" s="621"/>
      <c r="AEO48" s="621"/>
      <c r="AEP48" s="621"/>
      <c r="AEQ48" s="621"/>
      <c r="AER48" s="621"/>
      <c r="AES48" s="621"/>
      <c r="AET48" s="621"/>
      <c r="AEU48" s="621"/>
      <c r="AEV48" s="621"/>
      <c r="AEW48" s="621"/>
      <c r="AEX48" s="621"/>
      <c r="AEY48" s="621"/>
      <c r="AEZ48" s="621"/>
      <c r="AFA48" s="621"/>
      <c r="AFB48" s="621"/>
      <c r="AFC48" s="621"/>
      <c r="AFD48" s="621"/>
      <c r="AFE48" s="621"/>
      <c r="AFF48" s="621"/>
      <c r="AFG48" s="621"/>
      <c r="AFH48" s="621"/>
      <c r="AFI48" s="621"/>
      <c r="AFJ48" s="621"/>
      <c r="AFK48" s="621"/>
      <c r="AFL48" s="621"/>
      <c r="AFM48" s="621"/>
      <c r="AFN48" s="621"/>
      <c r="AFO48" s="621"/>
      <c r="AFP48" s="621"/>
      <c r="AFQ48" s="621"/>
      <c r="AFR48" s="621"/>
      <c r="AFS48" s="621"/>
      <c r="AFT48" s="621"/>
      <c r="AFU48" s="621"/>
      <c r="AFV48" s="621"/>
      <c r="AFW48" s="621"/>
      <c r="AFX48" s="621"/>
      <c r="AFY48" s="621"/>
      <c r="AFZ48" s="621"/>
      <c r="AGA48" s="621"/>
      <c r="AGB48" s="621"/>
      <c r="AGC48" s="621"/>
      <c r="AGD48" s="621"/>
      <c r="AGE48" s="621"/>
      <c r="AGF48" s="621"/>
      <c r="AGG48" s="621"/>
      <c r="AGH48" s="621"/>
      <c r="AGI48" s="621"/>
      <c r="AGJ48" s="621"/>
      <c r="AGK48" s="621"/>
      <c r="AGL48" s="621"/>
      <c r="AGM48" s="621"/>
      <c r="AGN48" s="621"/>
      <c r="AGO48" s="621"/>
      <c r="AGP48" s="621"/>
      <c r="AGQ48" s="621"/>
      <c r="AGR48" s="621"/>
      <c r="AGS48" s="621"/>
      <c r="AGT48" s="621"/>
      <c r="AGU48" s="621"/>
      <c r="AGV48" s="621"/>
      <c r="AGW48" s="621"/>
      <c r="AGX48" s="621"/>
      <c r="AGY48" s="621"/>
      <c r="AGZ48" s="621"/>
      <c r="AHA48" s="621"/>
      <c r="AHB48" s="621"/>
      <c r="AHC48" s="621"/>
      <c r="AHD48" s="621"/>
      <c r="AHE48" s="621"/>
      <c r="AHF48" s="621"/>
      <c r="AHG48" s="621"/>
      <c r="AHH48" s="621"/>
      <c r="AHI48" s="621"/>
      <c r="AHJ48" s="621"/>
      <c r="AHK48" s="621"/>
      <c r="AHL48" s="621"/>
      <c r="AHM48" s="621"/>
      <c r="AHN48" s="621"/>
      <c r="AHO48" s="621"/>
      <c r="AHP48" s="621"/>
      <c r="AHQ48" s="621"/>
      <c r="AHR48" s="621"/>
      <c r="AHS48" s="621"/>
      <c r="AHT48" s="621"/>
      <c r="AHU48" s="621"/>
      <c r="AHV48" s="621"/>
      <c r="AHW48" s="621"/>
      <c r="AHX48" s="621"/>
      <c r="AHY48" s="621"/>
      <c r="AHZ48" s="621"/>
      <c r="AIA48" s="621"/>
      <c r="AIB48" s="621"/>
      <c r="AIC48" s="621"/>
      <c r="AID48" s="621"/>
      <c r="AIE48" s="621"/>
      <c r="AIF48" s="621"/>
      <c r="AIG48" s="621"/>
      <c r="AIH48" s="621"/>
      <c r="AII48" s="621"/>
      <c r="AIJ48" s="621"/>
      <c r="AIK48" s="621"/>
      <c r="AIL48" s="621"/>
      <c r="AIM48" s="621"/>
      <c r="AIN48" s="621"/>
      <c r="AIO48" s="621"/>
      <c r="AIP48" s="621"/>
      <c r="AIQ48" s="621"/>
      <c r="AIR48" s="621"/>
      <c r="AIS48" s="621"/>
      <c r="AIT48" s="621"/>
      <c r="AIU48" s="621"/>
      <c r="AIV48" s="621"/>
      <c r="AIW48" s="621"/>
      <c r="AIX48" s="621"/>
      <c r="AIY48" s="621"/>
      <c r="AIZ48" s="621"/>
      <c r="AJA48" s="621"/>
      <c r="AJB48" s="621"/>
      <c r="AJC48" s="621"/>
      <c r="AJD48" s="621"/>
      <c r="AJE48" s="621"/>
      <c r="AJF48" s="621"/>
      <c r="AJG48" s="621"/>
      <c r="AJH48" s="621"/>
      <c r="AJI48" s="621"/>
      <c r="AJJ48" s="621"/>
      <c r="AJK48" s="621"/>
      <c r="AJL48" s="621"/>
      <c r="AJM48" s="621"/>
      <c r="AJN48" s="621"/>
      <c r="AJO48" s="621"/>
      <c r="AJP48" s="621"/>
      <c r="AJQ48" s="621"/>
      <c r="AJR48" s="621"/>
      <c r="AJS48" s="621"/>
      <c r="AJT48" s="621"/>
      <c r="AJU48" s="621"/>
      <c r="AJV48" s="621"/>
      <c r="AJW48" s="621"/>
      <c r="AJX48" s="621"/>
      <c r="AJY48" s="621"/>
      <c r="AJZ48" s="621"/>
      <c r="AKA48" s="621"/>
      <c r="AKB48" s="621"/>
      <c r="AKC48" s="621"/>
      <c r="AKD48" s="621"/>
      <c r="AKE48" s="621"/>
      <c r="AKF48" s="621"/>
      <c r="AKG48" s="621"/>
      <c r="AKH48" s="621"/>
      <c r="AKI48" s="621"/>
      <c r="AKJ48" s="621"/>
      <c r="AKK48" s="621"/>
      <c r="AKL48" s="621"/>
      <c r="AKM48" s="621"/>
      <c r="AKN48" s="621"/>
      <c r="AKO48" s="621"/>
      <c r="AKP48" s="621"/>
      <c r="AKQ48" s="621"/>
      <c r="AKR48" s="621"/>
      <c r="AKS48" s="621"/>
      <c r="AKT48" s="621"/>
      <c r="AKU48" s="621"/>
      <c r="AKV48" s="621"/>
      <c r="AKW48" s="621"/>
      <c r="AKX48" s="621"/>
      <c r="AKY48" s="621"/>
      <c r="AKZ48" s="621"/>
      <c r="ALA48" s="621"/>
      <c r="ALB48" s="621"/>
      <c r="ALC48" s="621"/>
      <c r="ALD48" s="621"/>
      <c r="ALE48" s="621"/>
      <c r="ALF48" s="621"/>
      <c r="ALG48" s="621"/>
      <c r="ALH48" s="621"/>
      <c r="ALI48" s="621"/>
      <c r="ALJ48" s="621"/>
      <c r="ALK48" s="621"/>
      <c r="ALL48" s="621"/>
      <c r="ALM48" s="621"/>
      <c r="ALN48" s="621"/>
      <c r="ALO48" s="621"/>
      <c r="ALP48" s="621"/>
      <c r="ALQ48" s="621"/>
      <c r="ALR48" s="621"/>
      <c r="ALS48" s="621"/>
      <c r="ALT48" s="621"/>
      <c r="ALU48" s="621"/>
      <c r="ALV48" s="621"/>
      <c r="ALW48" s="621"/>
      <c r="ALX48" s="621"/>
      <c r="ALY48" s="621"/>
      <c r="ALZ48" s="621"/>
      <c r="AMA48" s="621"/>
      <c r="AMB48" s="621"/>
      <c r="AMC48" s="621"/>
      <c r="AMD48" s="621"/>
      <c r="AME48" s="621"/>
      <c r="AMF48" s="621"/>
      <c r="AMG48" s="621"/>
      <c r="AMH48" s="621"/>
      <c r="AMI48" s="621"/>
      <c r="AMJ48" s="621"/>
      <c r="AMK48" s="621"/>
    </row>
    <row r="49" spans="1:1025" ht="28.5" customHeight="1" thickBot="1">
      <c r="A49" s="374" t="s">
        <v>357</v>
      </c>
      <c r="B49" s="375" t="s">
        <v>377</v>
      </c>
      <c r="C49" s="376">
        <f>'Weekly Machinery Ex'!J97+'Weekly Machinery Ex'!J98+'Weekly Machinery Ex'!J102+'Weekly Machinery Ex'!J112+'Weekly Machinery Ex'!J113+'Weekly Machinery Ex'!J114</f>
        <v>50800</v>
      </c>
      <c r="D49" s="423">
        <f>'Weekly Machinery Ex'!K97+'Weekly Machinery Ex'!K98+'Weekly Machinery Ex'!K103+'Weekly Machinery Ex'!L103+'Weekly Machinery Ex'!K103+'Weekly Machinery Ex'!L103+'Weekly Machinery Ex'!K105+'Weekly Machinery Ex'!L105+'Weekly Machinery Ex'!K106+'Weekly Machinery Ex'!L106</f>
        <v>85269.652000000002</v>
      </c>
      <c r="E49" s="2043"/>
      <c r="F49" s="2043"/>
      <c r="G49" s="392"/>
      <c r="H49" s="429"/>
      <c r="I49" s="1497">
        <f>20034+39626</f>
        <v>59660</v>
      </c>
      <c r="J49" s="1498">
        <v>189626.44666666701</v>
      </c>
      <c r="K49" s="593"/>
      <c r="P49" s="272"/>
      <c r="Q49" s="436" t="s">
        <v>387</v>
      </c>
      <c r="R49" s="1495"/>
      <c r="S49" s="437"/>
      <c r="T49" s="272"/>
      <c r="U49" s="397"/>
      <c r="V49" s="328" t="s">
        <v>332</v>
      </c>
      <c r="W49" s="410">
        <v>10.5</v>
      </c>
      <c r="X49" s="410"/>
      <c r="Y49" s="411">
        <f t="shared" si="10"/>
        <v>0</v>
      </c>
      <c r="Z49" s="397"/>
      <c r="AA49" s="397"/>
      <c r="AE49" s="1471"/>
      <c r="AF49" s="1510" t="s">
        <v>13</v>
      </c>
      <c r="AG49" s="1509" t="s">
        <v>284</v>
      </c>
      <c r="AH49" s="1509" t="s">
        <v>285</v>
      </c>
      <c r="AI49" s="1509" t="s">
        <v>388</v>
      </c>
      <c r="AJ49" s="1509" t="s">
        <v>389</v>
      </c>
      <c r="AK49" s="1509" t="s">
        <v>286</v>
      </c>
      <c r="AL49" s="1509" t="s">
        <v>287</v>
      </c>
      <c r="AM49" s="1507" t="s">
        <v>390</v>
      </c>
      <c r="AN49" s="1508" t="s">
        <v>391</v>
      </c>
      <c r="AO49" s="1507" t="s">
        <v>392</v>
      </c>
      <c r="AP49" s="278"/>
      <c r="AQ49" s="621"/>
      <c r="AR49" s="621"/>
      <c r="AS49" s="621"/>
      <c r="AT49" s="621"/>
      <c r="AU49" s="621"/>
      <c r="AV49" s="621"/>
      <c r="AW49" s="621"/>
      <c r="AX49" s="621"/>
      <c r="AY49" s="621"/>
      <c r="AZ49" s="621"/>
      <c r="BA49" s="621"/>
      <c r="BB49" s="621"/>
      <c r="BC49" s="621"/>
      <c r="BD49" s="621"/>
      <c r="BE49" s="621"/>
      <c r="BF49" s="621"/>
      <c r="BG49" s="621"/>
      <c r="BH49" s="621"/>
      <c r="BI49" s="621"/>
      <c r="BJ49" s="621"/>
      <c r="BK49" s="621"/>
      <c r="BL49" s="621"/>
      <c r="BM49" s="621"/>
      <c r="BN49" s="621"/>
      <c r="BO49" s="621"/>
      <c r="BP49" s="621"/>
      <c r="BQ49" s="621"/>
      <c r="BR49" s="621"/>
      <c r="BS49" s="621"/>
      <c r="BT49" s="621"/>
      <c r="BU49" s="621"/>
      <c r="BV49" s="621"/>
      <c r="BW49" s="621"/>
      <c r="BX49" s="621"/>
      <c r="BY49" s="621"/>
      <c r="BZ49" s="621"/>
      <c r="CA49" s="621"/>
      <c r="CB49" s="621"/>
      <c r="CC49" s="621"/>
      <c r="CD49" s="621"/>
      <c r="CE49" s="621"/>
      <c r="CF49" s="621"/>
      <c r="CG49" s="621"/>
      <c r="CH49" s="621"/>
      <c r="CI49" s="621"/>
      <c r="CJ49" s="621"/>
      <c r="CK49" s="621"/>
      <c r="CL49" s="621"/>
      <c r="CM49" s="621"/>
      <c r="CN49" s="621"/>
      <c r="CO49" s="621"/>
      <c r="CP49" s="621"/>
      <c r="CQ49" s="621"/>
      <c r="CR49" s="621"/>
      <c r="CS49" s="621"/>
      <c r="CT49" s="621"/>
      <c r="CU49" s="621"/>
      <c r="CV49" s="621"/>
      <c r="CW49" s="621"/>
      <c r="CX49" s="621"/>
      <c r="CY49" s="621"/>
      <c r="CZ49" s="621"/>
      <c r="DA49" s="621"/>
      <c r="DB49" s="621"/>
      <c r="DC49" s="621"/>
      <c r="DD49" s="621"/>
      <c r="DE49" s="621"/>
      <c r="DF49" s="621"/>
      <c r="DG49" s="621"/>
      <c r="DH49" s="621"/>
      <c r="DI49" s="621"/>
      <c r="DJ49" s="621"/>
      <c r="DK49" s="621"/>
      <c r="DL49" s="621"/>
      <c r="DM49" s="621"/>
      <c r="DN49" s="621"/>
      <c r="DO49" s="621"/>
      <c r="DP49" s="621"/>
      <c r="DQ49" s="621"/>
      <c r="DR49" s="621"/>
      <c r="DS49" s="621"/>
      <c r="DT49" s="621"/>
      <c r="DU49" s="621"/>
      <c r="DV49" s="621"/>
      <c r="DW49" s="621"/>
      <c r="DX49" s="621"/>
      <c r="DY49" s="621"/>
      <c r="DZ49" s="621"/>
      <c r="EA49" s="621"/>
      <c r="EB49" s="621"/>
      <c r="EC49" s="621"/>
      <c r="ED49" s="621"/>
      <c r="EE49" s="621"/>
      <c r="EF49" s="621"/>
      <c r="EG49" s="621"/>
      <c r="EH49" s="621"/>
      <c r="EI49" s="621"/>
      <c r="EJ49" s="621"/>
      <c r="EK49" s="621"/>
      <c r="EL49" s="621"/>
      <c r="EM49" s="621"/>
      <c r="EN49" s="621"/>
      <c r="EO49" s="621"/>
      <c r="EP49" s="621"/>
      <c r="EQ49" s="621"/>
      <c r="ER49" s="621"/>
      <c r="ES49" s="621"/>
      <c r="ET49" s="621"/>
      <c r="EU49" s="621"/>
      <c r="EV49" s="621"/>
      <c r="EW49" s="621"/>
      <c r="EX49" s="621"/>
      <c r="EY49" s="621"/>
      <c r="EZ49" s="621"/>
      <c r="FA49" s="621"/>
      <c r="FB49" s="621"/>
      <c r="FC49" s="621"/>
      <c r="FD49" s="621"/>
      <c r="FE49" s="621"/>
      <c r="FF49" s="621"/>
      <c r="FG49" s="621"/>
      <c r="FH49" s="621"/>
      <c r="FI49" s="621"/>
      <c r="FJ49" s="621"/>
      <c r="FK49" s="621"/>
      <c r="FL49" s="621"/>
      <c r="FM49" s="621"/>
      <c r="FN49" s="621"/>
      <c r="FO49" s="621"/>
      <c r="FP49" s="621"/>
      <c r="FQ49" s="621"/>
      <c r="FR49" s="621"/>
      <c r="FS49" s="621"/>
      <c r="FT49" s="621"/>
      <c r="FU49" s="621"/>
      <c r="FV49" s="621"/>
      <c r="FW49" s="621"/>
      <c r="FX49" s="621"/>
      <c r="FY49" s="621"/>
      <c r="FZ49" s="621"/>
      <c r="GA49" s="621"/>
      <c r="GB49" s="621"/>
      <c r="GC49" s="621"/>
      <c r="GD49" s="621"/>
      <c r="GE49" s="621"/>
      <c r="GF49" s="621"/>
      <c r="GG49" s="621"/>
      <c r="GH49" s="621"/>
      <c r="GI49" s="621"/>
      <c r="GJ49" s="621"/>
      <c r="GK49" s="621"/>
      <c r="GL49" s="621"/>
      <c r="GM49" s="621"/>
      <c r="GN49" s="621"/>
      <c r="GO49" s="621"/>
      <c r="GP49" s="621"/>
      <c r="GQ49" s="621"/>
      <c r="GR49" s="621"/>
      <c r="GS49" s="621"/>
      <c r="GT49" s="621"/>
      <c r="GU49" s="621"/>
      <c r="GV49" s="621"/>
      <c r="GW49" s="621"/>
      <c r="GX49" s="621"/>
      <c r="GY49" s="621"/>
      <c r="GZ49" s="621"/>
      <c r="HA49" s="621"/>
      <c r="HB49" s="621"/>
      <c r="HC49" s="621"/>
      <c r="HD49" s="621"/>
      <c r="HE49" s="621"/>
      <c r="HF49" s="621"/>
      <c r="HG49" s="621"/>
      <c r="HH49" s="621"/>
      <c r="HI49" s="621"/>
      <c r="HJ49" s="621"/>
      <c r="HK49" s="621"/>
      <c r="HL49" s="621"/>
      <c r="HM49" s="621"/>
      <c r="HN49" s="621"/>
      <c r="HO49" s="621"/>
      <c r="HP49" s="621"/>
      <c r="HQ49" s="621"/>
      <c r="HR49" s="621"/>
      <c r="HS49" s="621"/>
      <c r="HT49" s="621"/>
      <c r="HU49" s="621"/>
      <c r="HV49" s="621"/>
      <c r="HW49" s="621"/>
      <c r="HX49" s="621"/>
      <c r="HY49" s="621"/>
      <c r="HZ49" s="621"/>
      <c r="IA49" s="621"/>
      <c r="IB49" s="621"/>
      <c r="IC49" s="621"/>
      <c r="ID49" s="621"/>
      <c r="IE49" s="621"/>
      <c r="IF49" s="621"/>
      <c r="IG49" s="621"/>
      <c r="IH49" s="621"/>
      <c r="II49" s="621"/>
      <c r="IJ49" s="621"/>
      <c r="IK49" s="621"/>
      <c r="IL49" s="621"/>
      <c r="IM49" s="621"/>
      <c r="IN49" s="621"/>
      <c r="IO49" s="621"/>
      <c r="IP49" s="621"/>
      <c r="IQ49" s="621"/>
      <c r="IR49" s="621"/>
      <c r="IS49" s="621"/>
      <c r="IT49" s="621"/>
      <c r="IU49" s="621"/>
      <c r="IV49" s="621"/>
      <c r="IW49" s="621"/>
      <c r="IX49" s="621"/>
      <c r="IY49" s="621"/>
      <c r="IZ49" s="621"/>
      <c r="JA49" s="621"/>
      <c r="JB49" s="621"/>
      <c r="JC49" s="621"/>
      <c r="JD49" s="621"/>
      <c r="JE49" s="621"/>
      <c r="JF49" s="621"/>
      <c r="JG49" s="621"/>
      <c r="JH49" s="621"/>
      <c r="JI49" s="621"/>
      <c r="JJ49" s="621"/>
      <c r="JK49" s="621"/>
      <c r="JL49" s="621"/>
      <c r="JM49" s="621"/>
      <c r="JN49" s="621"/>
      <c r="JO49" s="621"/>
      <c r="JP49" s="621"/>
      <c r="JQ49" s="621"/>
      <c r="JR49" s="621"/>
      <c r="JS49" s="621"/>
      <c r="JT49" s="621"/>
      <c r="JU49" s="621"/>
      <c r="JV49" s="621"/>
      <c r="JW49" s="621"/>
      <c r="JX49" s="621"/>
      <c r="JY49" s="621"/>
      <c r="JZ49" s="621"/>
      <c r="KA49" s="621"/>
      <c r="KB49" s="621"/>
      <c r="KC49" s="621"/>
      <c r="KD49" s="621"/>
      <c r="KE49" s="621"/>
      <c r="KF49" s="621"/>
      <c r="KG49" s="621"/>
      <c r="KH49" s="621"/>
      <c r="KI49" s="621"/>
      <c r="KJ49" s="621"/>
      <c r="KK49" s="621"/>
      <c r="KL49" s="621"/>
      <c r="KM49" s="621"/>
      <c r="KN49" s="621"/>
      <c r="KO49" s="621"/>
      <c r="KP49" s="621"/>
      <c r="KQ49" s="621"/>
      <c r="KR49" s="621"/>
      <c r="KS49" s="621"/>
      <c r="KT49" s="621"/>
      <c r="KU49" s="621"/>
      <c r="KV49" s="621"/>
      <c r="KW49" s="621"/>
      <c r="KX49" s="621"/>
      <c r="KY49" s="621"/>
      <c r="KZ49" s="621"/>
      <c r="LA49" s="621"/>
      <c r="LB49" s="621"/>
      <c r="LC49" s="621"/>
      <c r="LD49" s="621"/>
      <c r="LE49" s="621"/>
      <c r="LF49" s="621"/>
      <c r="LG49" s="621"/>
      <c r="LH49" s="621"/>
      <c r="LI49" s="621"/>
      <c r="LJ49" s="621"/>
      <c r="LK49" s="621"/>
      <c r="LL49" s="621"/>
      <c r="LM49" s="621"/>
      <c r="LN49" s="621"/>
      <c r="LO49" s="621"/>
      <c r="LP49" s="621"/>
      <c r="LQ49" s="621"/>
      <c r="LR49" s="621"/>
      <c r="LS49" s="621"/>
      <c r="LT49" s="621"/>
      <c r="LU49" s="621"/>
      <c r="LV49" s="621"/>
      <c r="LW49" s="621"/>
      <c r="LX49" s="621"/>
      <c r="LY49" s="621"/>
      <c r="LZ49" s="621"/>
      <c r="MA49" s="621"/>
      <c r="MB49" s="621"/>
      <c r="MC49" s="621"/>
      <c r="MD49" s="621"/>
      <c r="ME49" s="621"/>
      <c r="MF49" s="621"/>
      <c r="MG49" s="621"/>
      <c r="MH49" s="621"/>
      <c r="MI49" s="621"/>
      <c r="MJ49" s="621"/>
      <c r="MK49" s="621"/>
      <c r="ML49" s="621"/>
      <c r="MM49" s="621"/>
      <c r="MN49" s="621"/>
      <c r="MO49" s="621"/>
      <c r="MP49" s="621"/>
      <c r="MQ49" s="621"/>
      <c r="MR49" s="621"/>
      <c r="MS49" s="621"/>
      <c r="MT49" s="621"/>
      <c r="MU49" s="621"/>
      <c r="MV49" s="621"/>
      <c r="MW49" s="621"/>
      <c r="MX49" s="621"/>
      <c r="MY49" s="621"/>
      <c r="MZ49" s="621"/>
      <c r="NA49" s="621"/>
      <c r="NB49" s="621"/>
      <c r="NC49" s="621"/>
      <c r="ND49" s="621"/>
      <c r="NE49" s="621"/>
      <c r="NF49" s="621"/>
      <c r="NG49" s="621"/>
      <c r="NH49" s="621"/>
      <c r="NI49" s="621"/>
      <c r="NJ49" s="621"/>
      <c r="NK49" s="621"/>
      <c r="NL49" s="621"/>
      <c r="NM49" s="621"/>
      <c r="NN49" s="621"/>
      <c r="NO49" s="621"/>
      <c r="NP49" s="621"/>
      <c r="NQ49" s="621"/>
      <c r="NR49" s="621"/>
      <c r="NS49" s="621"/>
      <c r="NT49" s="621"/>
      <c r="NU49" s="621"/>
      <c r="NV49" s="621"/>
      <c r="NW49" s="621"/>
      <c r="NX49" s="621"/>
      <c r="NY49" s="621"/>
      <c r="NZ49" s="621"/>
      <c r="OA49" s="621"/>
      <c r="OB49" s="621"/>
      <c r="OC49" s="621"/>
      <c r="OD49" s="621"/>
      <c r="OE49" s="621"/>
      <c r="OF49" s="621"/>
      <c r="OG49" s="621"/>
      <c r="OH49" s="621"/>
      <c r="OI49" s="621"/>
      <c r="OJ49" s="621"/>
      <c r="OK49" s="621"/>
      <c r="OL49" s="621"/>
      <c r="OM49" s="621"/>
      <c r="ON49" s="621"/>
      <c r="OO49" s="621"/>
      <c r="OP49" s="621"/>
      <c r="OQ49" s="621"/>
      <c r="OR49" s="621"/>
      <c r="OS49" s="621"/>
      <c r="OT49" s="621"/>
      <c r="OU49" s="621"/>
      <c r="OV49" s="621"/>
      <c r="OW49" s="621"/>
      <c r="OX49" s="621"/>
      <c r="OY49" s="621"/>
      <c r="OZ49" s="621"/>
      <c r="PA49" s="621"/>
      <c r="PB49" s="621"/>
      <c r="PC49" s="621"/>
      <c r="PD49" s="621"/>
      <c r="PE49" s="621"/>
      <c r="PF49" s="621"/>
      <c r="PG49" s="621"/>
      <c r="PH49" s="621"/>
      <c r="PI49" s="621"/>
      <c r="PJ49" s="621"/>
      <c r="PK49" s="621"/>
      <c r="PL49" s="621"/>
      <c r="PM49" s="621"/>
      <c r="PN49" s="621"/>
      <c r="PO49" s="621"/>
      <c r="PP49" s="621"/>
      <c r="PQ49" s="621"/>
      <c r="PR49" s="621"/>
      <c r="PS49" s="621"/>
      <c r="PT49" s="621"/>
      <c r="PU49" s="621"/>
      <c r="PV49" s="621"/>
      <c r="PW49" s="621"/>
      <c r="PX49" s="621"/>
      <c r="PY49" s="621"/>
      <c r="PZ49" s="621"/>
      <c r="QA49" s="621"/>
      <c r="QB49" s="621"/>
      <c r="QC49" s="621"/>
      <c r="QD49" s="621"/>
      <c r="QE49" s="621"/>
      <c r="QF49" s="621"/>
      <c r="QG49" s="621"/>
      <c r="QH49" s="621"/>
      <c r="QI49" s="621"/>
      <c r="QJ49" s="621"/>
      <c r="QK49" s="621"/>
      <c r="QL49" s="621"/>
      <c r="QM49" s="621"/>
      <c r="QN49" s="621"/>
      <c r="QO49" s="621"/>
      <c r="QP49" s="621"/>
      <c r="QQ49" s="621"/>
      <c r="QR49" s="621"/>
      <c r="QS49" s="621"/>
      <c r="QT49" s="621"/>
      <c r="QU49" s="621"/>
      <c r="QV49" s="621"/>
      <c r="QW49" s="621"/>
      <c r="QX49" s="621"/>
      <c r="QY49" s="621"/>
      <c r="QZ49" s="621"/>
      <c r="RA49" s="621"/>
      <c r="RB49" s="621"/>
      <c r="RC49" s="621"/>
      <c r="RD49" s="621"/>
      <c r="RE49" s="621"/>
      <c r="RF49" s="621"/>
      <c r="RG49" s="621"/>
      <c r="RH49" s="621"/>
      <c r="RI49" s="621"/>
      <c r="RJ49" s="621"/>
      <c r="RK49" s="621"/>
      <c r="RL49" s="621"/>
      <c r="RM49" s="621"/>
      <c r="RN49" s="621"/>
      <c r="RO49" s="621"/>
      <c r="RP49" s="621"/>
      <c r="RQ49" s="621"/>
      <c r="RR49" s="621"/>
      <c r="RS49" s="621"/>
      <c r="RT49" s="621"/>
      <c r="RU49" s="621"/>
      <c r="RV49" s="621"/>
      <c r="RW49" s="621"/>
      <c r="RX49" s="621"/>
      <c r="RY49" s="621"/>
      <c r="RZ49" s="621"/>
      <c r="SA49" s="621"/>
      <c r="SB49" s="621"/>
      <c r="SC49" s="621"/>
      <c r="SD49" s="621"/>
      <c r="SE49" s="621"/>
      <c r="SF49" s="621"/>
      <c r="SG49" s="621"/>
      <c r="SH49" s="621"/>
      <c r="SI49" s="621"/>
      <c r="SJ49" s="621"/>
      <c r="SK49" s="621"/>
      <c r="SL49" s="621"/>
      <c r="SM49" s="621"/>
      <c r="SN49" s="621"/>
      <c r="SO49" s="621"/>
      <c r="SP49" s="621"/>
      <c r="SQ49" s="621"/>
      <c r="SR49" s="621"/>
      <c r="SS49" s="621"/>
      <c r="ST49" s="621"/>
      <c r="SU49" s="621"/>
      <c r="SV49" s="621"/>
      <c r="SW49" s="621"/>
      <c r="SX49" s="621"/>
      <c r="SY49" s="621"/>
      <c r="SZ49" s="621"/>
      <c r="TA49" s="621"/>
      <c r="TB49" s="621"/>
      <c r="TC49" s="621"/>
      <c r="TD49" s="621"/>
      <c r="TE49" s="621"/>
      <c r="TF49" s="621"/>
      <c r="TG49" s="621"/>
      <c r="TH49" s="621"/>
      <c r="TI49" s="621"/>
      <c r="TJ49" s="621"/>
      <c r="TK49" s="621"/>
      <c r="TL49" s="621"/>
      <c r="TM49" s="621"/>
      <c r="TN49" s="621"/>
      <c r="TO49" s="621"/>
      <c r="TP49" s="621"/>
      <c r="TQ49" s="621"/>
      <c r="TR49" s="621"/>
      <c r="TS49" s="621"/>
      <c r="TT49" s="621"/>
      <c r="TU49" s="621"/>
      <c r="TV49" s="621"/>
      <c r="TW49" s="621"/>
      <c r="TX49" s="621"/>
      <c r="TY49" s="621"/>
      <c r="TZ49" s="621"/>
      <c r="UA49" s="621"/>
      <c r="UB49" s="621"/>
      <c r="UC49" s="621"/>
      <c r="UD49" s="621"/>
      <c r="UE49" s="621"/>
      <c r="UF49" s="621"/>
      <c r="UG49" s="621"/>
      <c r="UH49" s="621"/>
      <c r="UI49" s="621"/>
      <c r="UJ49" s="621"/>
      <c r="UK49" s="621"/>
      <c r="UL49" s="621"/>
      <c r="UM49" s="621"/>
      <c r="UN49" s="621"/>
      <c r="UO49" s="621"/>
      <c r="UP49" s="621"/>
      <c r="UQ49" s="621"/>
      <c r="UR49" s="621"/>
      <c r="US49" s="621"/>
      <c r="UT49" s="621"/>
      <c r="UU49" s="621"/>
      <c r="UV49" s="621"/>
      <c r="UW49" s="621"/>
      <c r="UX49" s="621"/>
      <c r="UY49" s="621"/>
      <c r="UZ49" s="621"/>
      <c r="VA49" s="621"/>
      <c r="VB49" s="621"/>
      <c r="VC49" s="621"/>
      <c r="VD49" s="621"/>
      <c r="VE49" s="621"/>
      <c r="VF49" s="621"/>
      <c r="VG49" s="621"/>
      <c r="VH49" s="621"/>
      <c r="VI49" s="621"/>
      <c r="VJ49" s="621"/>
      <c r="VK49" s="621"/>
      <c r="VL49" s="621"/>
      <c r="VM49" s="621"/>
      <c r="VN49" s="621"/>
      <c r="VO49" s="621"/>
      <c r="VP49" s="621"/>
      <c r="VQ49" s="621"/>
      <c r="VR49" s="621"/>
      <c r="VS49" s="621"/>
      <c r="VT49" s="621"/>
      <c r="VU49" s="621"/>
      <c r="VV49" s="621"/>
      <c r="VW49" s="621"/>
      <c r="VX49" s="621"/>
      <c r="VY49" s="621"/>
      <c r="VZ49" s="621"/>
      <c r="WA49" s="621"/>
      <c r="WB49" s="621"/>
      <c r="WC49" s="621"/>
      <c r="WD49" s="621"/>
      <c r="WE49" s="621"/>
      <c r="WF49" s="621"/>
      <c r="WG49" s="621"/>
      <c r="WH49" s="621"/>
      <c r="WI49" s="621"/>
      <c r="WJ49" s="621"/>
      <c r="WK49" s="621"/>
      <c r="WL49" s="621"/>
      <c r="WM49" s="621"/>
      <c r="WN49" s="621"/>
      <c r="WO49" s="621"/>
      <c r="WP49" s="621"/>
      <c r="WQ49" s="621"/>
      <c r="WR49" s="621"/>
      <c r="WS49" s="621"/>
      <c r="WT49" s="621"/>
      <c r="WU49" s="621"/>
      <c r="WV49" s="621"/>
      <c r="WW49" s="621"/>
      <c r="WX49" s="621"/>
      <c r="WY49" s="621"/>
      <c r="WZ49" s="621"/>
      <c r="XA49" s="621"/>
      <c r="XB49" s="621"/>
      <c r="XC49" s="621"/>
      <c r="XD49" s="621"/>
      <c r="XE49" s="621"/>
      <c r="XF49" s="621"/>
      <c r="XG49" s="621"/>
      <c r="XH49" s="621"/>
      <c r="XI49" s="621"/>
      <c r="XJ49" s="621"/>
      <c r="XK49" s="621"/>
      <c r="XL49" s="621"/>
      <c r="XM49" s="621"/>
      <c r="XN49" s="621"/>
      <c r="XO49" s="621"/>
      <c r="XP49" s="621"/>
      <c r="XQ49" s="621"/>
      <c r="XR49" s="621"/>
      <c r="XS49" s="621"/>
      <c r="XT49" s="621"/>
      <c r="XU49" s="621"/>
      <c r="XV49" s="621"/>
      <c r="XW49" s="621"/>
      <c r="XX49" s="621"/>
      <c r="XY49" s="621"/>
      <c r="XZ49" s="621"/>
      <c r="YA49" s="621"/>
      <c r="YB49" s="621"/>
      <c r="YC49" s="621"/>
      <c r="YD49" s="621"/>
      <c r="YE49" s="621"/>
      <c r="YF49" s="621"/>
      <c r="YG49" s="621"/>
      <c r="YH49" s="621"/>
      <c r="YI49" s="621"/>
      <c r="YJ49" s="621"/>
      <c r="YK49" s="621"/>
      <c r="YL49" s="621"/>
      <c r="YM49" s="621"/>
      <c r="YN49" s="621"/>
      <c r="YO49" s="621"/>
      <c r="YP49" s="621"/>
      <c r="YQ49" s="621"/>
      <c r="YR49" s="621"/>
      <c r="YS49" s="621"/>
      <c r="YT49" s="621"/>
      <c r="YU49" s="621"/>
      <c r="YV49" s="621"/>
      <c r="YW49" s="621"/>
      <c r="YX49" s="621"/>
      <c r="YY49" s="621"/>
      <c r="YZ49" s="621"/>
      <c r="ZA49" s="621"/>
      <c r="ZB49" s="621"/>
      <c r="ZC49" s="621"/>
      <c r="ZD49" s="621"/>
      <c r="ZE49" s="621"/>
      <c r="ZF49" s="621"/>
      <c r="ZG49" s="621"/>
      <c r="ZH49" s="621"/>
      <c r="ZI49" s="621"/>
      <c r="ZJ49" s="621"/>
      <c r="ZK49" s="621"/>
      <c r="ZL49" s="621"/>
      <c r="ZM49" s="621"/>
      <c r="ZN49" s="621"/>
      <c r="ZO49" s="621"/>
      <c r="ZP49" s="621"/>
      <c r="ZQ49" s="621"/>
      <c r="ZR49" s="621"/>
      <c r="ZS49" s="621"/>
      <c r="ZT49" s="621"/>
      <c r="ZU49" s="621"/>
      <c r="ZV49" s="621"/>
      <c r="ZW49" s="621"/>
      <c r="ZX49" s="621"/>
      <c r="ZY49" s="621"/>
      <c r="ZZ49" s="621"/>
      <c r="AAA49" s="621"/>
      <c r="AAB49" s="621"/>
      <c r="AAC49" s="621"/>
      <c r="AAD49" s="621"/>
      <c r="AAE49" s="621"/>
      <c r="AAF49" s="621"/>
      <c r="AAG49" s="621"/>
      <c r="AAH49" s="621"/>
      <c r="AAI49" s="621"/>
      <c r="AAJ49" s="621"/>
      <c r="AAK49" s="621"/>
      <c r="AAL49" s="621"/>
      <c r="AAM49" s="621"/>
      <c r="AAN49" s="621"/>
      <c r="AAO49" s="621"/>
      <c r="AAP49" s="621"/>
      <c r="AAQ49" s="621"/>
      <c r="AAR49" s="621"/>
      <c r="AAS49" s="621"/>
      <c r="AAT49" s="621"/>
      <c r="AAU49" s="621"/>
      <c r="AAV49" s="621"/>
      <c r="AAW49" s="621"/>
      <c r="AAX49" s="621"/>
      <c r="AAY49" s="621"/>
      <c r="AAZ49" s="621"/>
      <c r="ABA49" s="621"/>
      <c r="ABB49" s="621"/>
      <c r="ABC49" s="621"/>
      <c r="ABD49" s="621"/>
      <c r="ABE49" s="621"/>
      <c r="ABF49" s="621"/>
      <c r="ABG49" s="621"/>
      <c r="ABH49" s="621"/>
      <c r="ABI49" s="621"/>
      <c r="ABJ49" s="621"/>
      <c r="ABK49" s="621"/>
      <c r="ABL49" s="621"/>
      <c r="ABM49" s="621"/>
      <c r="ABN49" s="621"/>
      <c r="ABO49" s="621"/>
      <c r="ABP49" s="621"/>
      <c r="ABQ49" s="621"/>
      <c r="ABR49" s="621"/>
      <c r="ABS49" s="621"/>
      <c r="ABT49" s="621"/>
      <c r="ABU49" s="621"/>
      <c r="ABV49" s="621"/>
      <c r="ABW49" s="621"/>
      <c r="ABX49" s="621"/>
      <c r="ABY49" s="621"/>
      <c r="ABZ49" s="621"/>
      <c r="ACA49" s="621"/>
      <c r="ACB49" s="621"/>
      <c r="ACC49" s="621"/>
      <c r="ACD49" s="621"/>
      <c r="ACE49" s="621"/>
      <c r="ACF49" s="621"/>
      <c r="ACG49" s="621"/>
      <c r="ACH49" s="621"/>
      <c r="ACI49" s="621"/>
      <c r="ACJ49" s="621"/>
      <c r="ACK49" s="621"/>
      <c r="ACL49" s="621"/>
      <c r="ACM49" s="621"/>
      <c r="ACN49" s="621"/>
      <c r="ACO49" s="621"/>
      <c r="ACP49" s="621"/>
      <c r="ACQ49" s="621"/>
      <c r="ACR49" s="621"/>
      <c r="ACS49" s="621"/>
      <c r="ACT49" s="621"/>
      <c r="ACU49" s="621"/>
      <c r="ACV49" s="621"/>
      <c r="ACW49" s="621"/>
      <c r="ACX49" s="621"/>
      <c r="ACY49" s="621"/>
      <c r="ACZ49" s="621"/>
      <c r="ADA49" s="621"/>
      <c r="ADB49" s="621"/>
      <c r="ADC49" s="621"/>
      <c r="ADD49" s="621"/>
      <c r="ADE49" s="621"/>
      <c r="ADF49" s="621"/>
      <c r="ADG49" s="621"/>
      <c r="ADH49" s="621"/>
      <c r="ADI49" s="621"/>
      <c r="ADJ49" s="621"/>
      <c r="ADK49" s="621"/>
      <c r="ADL49" s="621"/>
      <c r="ADM49" s="621"/>
      <c r="ADN49" s="621"/>
      <c r="ADO49" s="621"/>
      <c r="ADP49" s="621"/>
      <c r="ADQ49" s="621"/>
      <c r="ADR49" s="621"/>
      <c r="ADS49" s="621"/>
      <c r="ADT49" s="621"/>
      <c r="ADU49" s="621"/>
      <c r="ADV49" s="621"/>
      <c r="ADW49" s="621"/>
      <c r="ADX49" s="621"/>
      <c r="ADY49" s="621"/>
      <c r="ADZ49" s="621"/>
      <c r="AEA49" s="621"/>
      <c r="AEB49" s="621"/>
      <c r="AEC49" s="621"/>
      <c r="AED49" s="621"/>
      <c r="AEE49" s="621"/>
      <c r="AEF49" s="621"/>
      <c r="AEG49" s="621"/>
      <c r="AEH49" s="621"/>
      <c r="AEI49" s="621"/>
      <c r="AEJ49" s="621"/>
      <c r="AEK49" s="621"/>
      <c r="AEL49" s="621"/>
      <c r="AEM49" s="621"/>
      <c r="AEN49" s="621"/>
      <c r="AEO49" s="621"/>
      <c r="AEP49" s="621"/>
      <c r="AEQ49" s="621"/>
      <c r="AER49" s="621"/>
      <c r="AES49" s="621"/>
      <c r="AET49" s="621"/>
      <c r="AEU49" s="621"/>
      <c r="AEV49" s="621"/>
      <c r="AEW49" s="621"/>
      <c r="AEX49" s="621"/>
      <c r="AEY49" s="621"/>
      <c r="AEZ49" s="621"/>
      <c r="AFA49" s="621"/>
      <c r="AFB49" s="621"/>
      <c r="AFC49" s="621"/>
      <c r="AFD49" s="621"/>
      <c r="AFE49" s="621"/>
      <c r="AFF49" s="621"/>
      <c r="AFG49" s="621"/>
      <c r="AFH49" s="621"/>
      <c r="AFI49" s="621"/>
      <c r="AFJ49" s="621"/>
      <c r="AFK49" s="621"/>
      <c r="AFL49" s="621"/>
      <c r="AFM49" s="621"/>
      <c r="AFN49" s="621"/>
      <c r="AFO49" s="621"/>
      <c r="AFP49" s="621"/>
      <c r="AFQ49" s="621"/>
      <c r="AFR49" s="621"/>
      <c r="AFS49" s="621"/>
      <c r="AFT49" s="621"/>
      <c r="AFU49" s="621"/>
      <c r="AFV49" s="621"/>
      <c r="AFW49" s="621"/>
      <c r="AFX49" s="621"/>
      <c r="AFY49" s="621"/>
      <c r="AFZ49" s="621"/>
      <c r="AGA49" s="621"/>
      <c r="AGB49" s="621"/>
      <c r="AGC49" s="621"/>
      <c r="AGD49" s="621"/>
      <c r="AGE49" s="621"/>
      <c r="AGF49" s="621"/>
      <c r="AGG49" s="621"/>
      <c r="AGH49" s="621"/>
      <c r="AGI49" s="621"/>
      <c r="AGJ49" s="621"/>
      <c r="AGK49" s="621"/>
      <c r="AGL49" s="621"/>
      <c r="AGM49" s="621"/>
      <c r="AGN49" s="621"/>
      <c r="AGO49" s="621"/>
      <c r="AGP49" s="621"/>
      <c r="AGQ49" s="621"/>
      <c r="AGR49" s="621"/>
      <c r="AGS49" s="621"/>
      <c r="AGT49" s="621"/>
      <c r="AGU49" s="621"/>
      <c r="AGV49" s="621"/>
      <c r="AGW49" s="621"/>
      <c r="AGX49" s="621"/>
      <c r="AGY49" s="621"/>
      <c r="AGZ49" s="621"/>
      <c r="AHA49" s="621"/>
      <c r="AHB49" s="621"/>
      <c r="AHC49" s="621"/>
      <c r="AHD49" s="621"/>
      <c r="AHE49" s="621"/>
      <c r="AHF49" s="621"/>
      <c r="AHG49" s="621"/>
      <c r="AHH49" s="621"/>
      <c r="AHI49" s="621"/>
      <c r="AHJ49" s="621"/>
      <c r="AHK49" s="621"/>
      <c r="AHL49" s="621"/>
      <c r="AHM49" s="621"/>
      <c r="AHN49" s="621"/>
      <c r="AHO49" s="621"/>
      <c r="AHP49" s="621"/>
      <c r="AHQ49" s="621"/>
      <c r="AHR49" s="621"/>
      <c r="AHS49" s="621"/>
      <c r="AHT49" s="621"/>
      <c r="AHU49" s="621"/>
      <c r="AHV49" s="621"/>
      <c r="AHW49" s="621"/>
      <c r="AHX49" s="621"/>
      <c r="AHY49" s="621"/>
      <c r="AHZ49" s="621"/>
      <c r="AIA49" s="621"/>
      <c r="AIB49" s="621"/>
      <c r="AIC49" s="621"/>
      <c r="AID49" s="621"/>
      <c r="AIE49" s="621"/>
      <c r="AIF49" s="621"/>
      <c r="AIG49" s="621"/>
      <c r="AIH49" s="621"/>
      <c r="AII49" s="621"/>
      <c r="AIJ49" s="621"/>
      <c r="AIK49" s="621"/>
      <c r="AIL49" s="621"/>
      <c r="AIM49" s="621"/>
      <c r="AIN49" s="621"/>
      <c r="AIO49" s="621"/>
      <c r="AIP49" s="621"/>
      <c r="AIQ49" s="621"/>
      <c r="AIR49" s="621"/>
      <c r="AIS49" s="621"/>
      <c r="AIT49" s="621"/>
      <c r="AIU49" s="621"/>
      <c r="AIV49" s="621"/>
      <c r="AIW49" s="621"/>
      <c r="AIX49" s="621"/>
      <c r="AIY49" s="621"/>
      <c r="AIZ49" s="621"/>
      <c r="AJA49" s="621"/>
      <c r="AJB49" s="621"/>
      <c r="AJC49" s="621"/>
      <c r="AJD49" s="621"/>
      <c r="AJE49" s="621"/>
      <c r="AJF49" s="621"/>
      <c r="AJG49" s="621"/>
      <c r="AJH49" s="621"/>
      <c r="AJI49" s="621"/>
      <c r="AJJ49" s="621"/>
      <c r="AJK49" s="621"/>
      <c r="AJL49" s="621"/>
      <c r="AJM49" s="621"/>
      <c r="AJN49" s="621"/>
      <c r="AJO49" s="621"/>
      <c r="AJP49" s="621"/>
      <c r="AJQ49" s="621"/>
      <c r="AJR49" s="621"/>
      <c r="AJS49" s="621"/>
      <c r="AJT49" s="621"/>
      <c r="AJU49" s="621"/>
      <c r="AJV49" s="621"/>
      <c r="AJW49" s="621"/>
      <c r="AJX49" s="621"/>
      <c r="AJY49" s="621"/>
      <c r="AJZ49" s="621"/>
      <c r="AKA49" s="621"/>
      <c r="AKB49" s="621"/>
      <c r="AKC49" s="621"/>
      <c r="AKD49" s="621"/>
      <c r="AKE49" s="621"/>
      <c r="AKF49" s="621"/>
      <c r="AKG49" s="621"/>
      <c r="AKH49" s="621"/>
      <c r="AKI49" s="621"/>
      <c r="AKJ49" s="621"/>
      <c r="AKK49" s="621"/>
      <c r="AKL49" s="621"/>
      <c r="AKM49" s="621"/>
      <c r="AKN49" s="621"/>
      <c r="AKO49" s="621"/>
      <c r="AKP49" s="621"/>
      <c r="AKQ49" s="621"/>
      <c r="AKR49" s="621"/>
      <c r="AKS49" s="621"/>
      <c r="AKT49" s="621"/>
      <c r="AKU49" s="621"/>
      <c r="AKV49" s="621"/>
      <c r="AKW49" s="621"/>
      <c r="AKX49" s="621"/>
      <c r="AKY49" s="621"/>
      <c r="AKZ49" s="621"/>
      <c r="ALA49" s="621"/>
      <c r="ALB49" s="621"/>
      <c r="ALC49" s="621"/>
      <c r="ALD49" s="621"/>
      <c r="ALE49" s="621"/>
      <c r="ALF49" s="621"/>
      <c r="ALG49" s="621"/>
      <c r="ALH49" s="621"/>
      <c r="ALI49" s="621"/>
      <c r="ALJ49" s="621"/>
      <c r="ALK49" s="621"/>
      <c r="ALL49" s="621"/>
      <c r="ALM49" s="621"/>
      <c r="ALN49" s="621"/>
      <c r="ALO49" s="621"/>
      <c r="ALP49" s="621"/>
      <c r="ALQ49" s="621"/>
      <c r="ALR49" s="621"/>
      <c r="ALS49" s="621"/>
      <c r="ALT49" s="621"/>
      <c r="ALU49" s="621"/>
      <c r="ALV49" s="621"/>
      <c r="ALW49" s="621"/>
      <c r="ALX49" s="621"/>
      <c r="ALY49" s="621"/>
      <c r="ALZ49" s="621"/>
      <c r="AMA49" s="621"/>
      <c r="AMB49" s="621"/>
      <c r="AMC49" s="621"/>
      <c r="AMD49" s="621"/>
      <c r="AME49" s="621"/>
      <c r="AMF49" s="621"/>
      <c r="AMG49" s="621"/>
      <c r="AMH49" s="621"/>
      <c r="AMI49" s="621"/>
      <c r="AMJ49" s="621"/>
      <c r="AMK49" s="621"/>
    </row>
    <row r="50" spans="1:1025" ht="30.75" customHeight="1" thickTop="1">
      <c r="A50" s="374" t="s">
        <v>360</v>
      </c>
      <c r="B50" s="375" t="s">
        <v>378</v>
      </c>
      <c r="C50" s="376">
        <f>'Weekly Machinery Ex'!J142</f>
        <v>51100</v>
      </c>
      <c r="D50" s="423">
        <f>'Weekly Machinery Ex'!K142</f>
        <v>49550</v>
      </c>
      <c r="E50" s="2043"/>
      <c r="F50" s="2043"/>
      <c r="G50" s="392"/>
      <c r="H50" s="429"/>
      <c r="I50" s="1497"/>
      <c r="J50" s="1498">
        <v>60950</v>
      </c>
      <c r="K50" s="593"/>
      <c r="P50" s="272"/>
      <c r="Q50" s="436" t="s">
        <v>393</v>
      </c>
      <c r="R50" s="1495"/>
      <c r="S50" s="1503"/>
      <c r="T50" s="272"/>
      <c r="U50" s="397"/>
      <c r="V50" s="328" t="s">
        <v>338</v>
      </c>
      <c r="W50" s="410">
        <f>(27.18+39.63)/2</f>
        <v>33.405000000000001</v>
      </c>
      <c r="X50" s="410"/>
      <c r="Y50" s="411">
        <f t="shared" si="10"/>
        <v>0</v>
      </c>
      <c r="Z50" s="397"/>
      <c r="AA50" s="397"/>
      <c r="AE50" s="1471"/>
      <c r="AF50" s="1505"/>
      <c r="AG50" s="1506"/>
      <c r="AH50" s="1506"/>
      <c r="AI50" s="1506"/>
      <c r="AJ50" s="1506"/>
      <c r="AK50" s="1506"/>
      <c r="AL50" s="1506"/>
      <c r="AM50" s="1504"/>
      <c r="AN50" s="1505"/>
      <c r="AO50" s="1504"/>
      <c r="AP50" s="289"/>
      <c r="AQ50" s="621"/>
      <c r="AR50" s="621"/>
      <c r="AS50" s="621"/>
      <c r="AT50" s="621"/>
      <c r="AU50" s="621"/>
      <c r="AV50" s="621"/>
      <c r="AW50" s="621"/>
      <c r="AX50" s="621"/>
      <c r="AY50" s="621"/>
      <c r="AZ50" s="621"/>
      <c r="BA50" s="621"/>
      <c r="BB50" s="621"/>
      <c r="BC50" s="621"/>
      <c r="BD50" s="621"/>
      <c r="BE50" s="621"/>
      <c r="BF50" s="621"/>
      <c r="BG50" s="621"/>
      <c r="BH50" s="621"/>
      <c r="BI50" s="621"/>
      <c r="BJ50" s="621"/>
      <c r="BK50" s="621"/>
      <c r="BL50" s="621"/>
      <c r="BM50" s="621"/>
      <c r="BN50" s="621"/>
      <c r="BO50" s="621"/>
      <c r="BP50" s="621"/>
      <c r="BQ50" s="621"/>
      <c r="BR50" s="621"/>
      <c r="BS50" s="621"/>
      <c r="BT50" s="621"/>
      <c r="BU50" s="621"/>
      <c r="BV50" s="621"/>
      <c r="BW50" s="621"/>
      <c r="BX50" s="621"/>
      <c r="BY50" s="621"/>
      <c r="BZ50" s="621"/>
      <c r="CA50" s="621"/>
      <c r="CB50" s="621"/>
      <c r="CC50" s="621"/>
      <c r="CD50" s="621"/>
      <c r="CE50" s="621"/>
      <c r="CF50" s="621"/>
      <c r="CG50" s="621"/>
      <c r="CH50" s="621"/>
      <c r="CI50" s="621"/>
      <c r="CJ50" s="621"/>
      <c r="CK50" s="621"/>
      <c r="CL50" s="621"/>
      <c r="CM50" s="621"/>
      <c r="CN50" s="621"/>
      <c r="CO50" s="621"/>
      <c r="CP50" s="621"/>
      <c r="CQ50" s="621"/>
      <c r="CR50" s="621"/>
      <c r="CS50" s="621"/>
      <c r="CT50" s="621"/>
      <c r="CU50" s="621"/>
      <c r="CV50" s="621"/>
      <c r="CW50" s="621"/>
      <c r="CX50" s="621"/>
      <c r="CY50" s="621"/>
      <c r="CZ50" s="621"/>
      <c r="DA50" s="621"/>
      <c r="DB50" s="621"/>
      <c r="DC50" s="621"/>
      <c r="DD50" s="621"/>
      <c r="DE50" s="621"/>
      <c r="DF50" s="621"/>
      <c r="DG50" s="621"/>
      <c r="DH50" s="621"/>
      <c r="DI50" s="621"/>
      <c r="DJ50" s="621"/>
      <c r="DK50" s="621"/>
      <c r="DL50" s="621"/>
      <c r="DM50" s="621"/>
      <c r="DN50" s="621"/>
      <c r="DO50" s="621"/>
      <c r="DP50" s="621"/>
      <c r="DQ50" s="621"/>
      <c r="DR50" s="621"/>
      <c r="DS50" s="621"/>
      <c r="DT50" s="621"/>
      <c r="DU50" s="621"/>
      <c r="DV50" s="621"/>
      <c r="DW50" s="621"/>
      <c r="DX50" s="621"/>
      <c r="DY50" s="621"/>
      <c r="DZ50" s="621"/>
      <c r="EA50" s="621"/>
      <c r="EB50" s="621"/>
      <c r="EC50" s="621"/>
      <c r="ED50" s="621"/>
      <c r="EE50" s="621"/>
      <c r="EF50" s="621"/>
      <c r="EG50" s="621"/>
      <c r="EH50" s="621"/>
      <c r="EI50" s="621"/>
      <c r="EJ50" s="621"/>
      <c r="EK50" s="621"/>
      <c r="EL50" s="621"/>
      <c r="EM50" s="621"/>
      <c r="EN50" s="621"/>
      <c r="EO50" s="621"/>
      <c r="EP50" s="621"/>
      <c r="EQ50" s="621"/>
      <c r="ER50" s="621"/>
      <c r="ES50" s="621"/>
      <c r="ET50" s="621"/>
      <c r="EU50" s="621"/>
      <c r="EV50" s="621"/>
      <c r="EW50" s="621"/>
      <c r="EX50" s="621"/>
      <c r="EY50" s="621"/>
      <c r="EZ50" s="621"/>
      <c r="FA50" s="621"/>
      <c r="FB50" s="621"/>
      <c r="FC50" s="621"/>
      <c r="FD50" s="621"/>
      <c r="FE50" s="621"/>
      <c r="FF50" s="621"/>
      <c r="FG50" s="621"/>
      <c r="FH50" s="621"/>
      <c r="FI50" s="621"/>
      <c r="FJ50" s="621"/>
      <c r="FK50" s="621"/>
      <c r="FL50" s="621"/>
      <c r="FM50" s="621"/>
      <c r="FN50" s="621"/>
      <c r="FO50" s="621"/>
      <c r="FP50" s="621"/>
      <c r="FQ50" s="621"/>
      <c r="FR50" s="621"/>
      <c r="FS50" s="621"/>
      <c r="FT50" s="621"/>
      <c r="FU50" s="621"/>
      <c r="FV50" s="621"/>
      <c r="FW50" s="621"/>
      <c r="FX50" s="621"/>
      <c r="FY50" s="621"/>
      <c r="FZ50" s="621"/>
      <c r="GA50" s="621"/>
      <c r="GB50" s="621"/>
      <c r="GC50" s="621"/>
      <c r="GD50" s="621"/>
      <c r="GE50" s="621"/>
      <c r="GF50" s="621"/>
      <c r="GG50" s="621"/>
      <c r="GH50" s="621"/>
      <c r="GI50" s="621"/>
      <c r="GJ50" s="621"/>
      <c r="GK50" s="621"/>
      <c r="GL50" s="621"/>
      <c r="GM50" s="621"/>
      <c r="GN50" s="621"/>
      <c r="GO50" s="621"/>
      <c r="GP50" s="621"/>
      <c r="GQ50" s="621"/>
      <c r="GR50" s="621"/>
      <c r="GS50" s="621"/>
      <c r="GT50" s="621"/>
      <c r="GU50" s="621"/>
      <c r="GV50" s="621"/>
      <c r="GW50" s="621"/>
      <c r="GX50" s="621"/>
      <c r="GY50" s="621"/>
      <c r="GZ50" s="621"/>
      <c r="HA50" s="621"/>
      <c r="HB50" s="621"/>
      <c r="HC50" s="621"/>
      <c r="HD50" s="621"/>
      <c r="HE50" s="621"/>
      <c r="HF50" s="621"/>
      <c r="HG50" s="621"/>
      <c r="HH50" s="621"/>
      <c r="HI50" s="621"/>
      <c r="HJ50" s="621"/>
      <c r="HK50" s="621"/>
      <c r="HL50" s="621"/>
      <c r="HM50" s="621"/>
      <c r="HN50" s="621"/>
      <c r="HO50" s="621"/>
      <c r="HP50" s="621"/>
      <c r="HQ50" s="621"/>
      <c r="HR50" s="621"/>
      <c r="HS50" s="621"/>
      <c r="HT50" s="621"/>
      <c r="HU50" s="621"/>
      <c r="HV50" s="621"/>
      <c r="HW50" s="621"/>
      <c r="HX50" s="621"/>
      <c r="HY50" s="621"/>
      <c r="HZ50" s="621"/>
      <c r="IA50" s="621"/>
      <c r="IB50" s="621"/>
      <c r="IC50" s="621"/>
      <c r="ID50" s="621"/>
      <c r="IE50" s="621"/>
      <c r="IF50" s="621"/>
      <c r="IG50" s="621"/>
      <c r="IH50" s="621"/>
      <c r="II50" s="621"/>
      <c r="IJ50" s="621"/>
      <c r="IK50" s="621"/>
      <c r="IL50" s="621"/>
      <c r="IM50" s="621"/>
      <c r="IN50" s="621"/>
      <c r="IO50" s="621"/>
      <c r="IP50" s="621"/>
      <c r="IQ50" s="621"/>
      <c r="IR50" s="621"/>
      <c r="IS50" s="621"/>
      <c r="IT50" s="621"/>
      <c r="IU50" s="621"/>
      <c r="IV50" s="621"/>
      <c r="IW50" s="621"/>
      <c r="IX50" s="621"/>
      <c r="IY50" s="621"/>
      <c r="IZ50" s="621"/>
      <c r="JA50" s="621"/>
      <c r="JB50" s="621"/>
      <c r="JC50" s="621"/>
      <c r="JD50" s="621"/>
      <c r="JE50" s="621"/>
      <c r="JF50" s="621"/>
      <c r="JG50" s="621"/>
      <c r="JH50" s="621"/>
      <c r="JI50" s="621"/>
      <c r="JJ50" s="621"/>
      <c r="JK50" s="621"/>
      <c r="JL50" s="621"/>
      <c r="JM50" s="621"/>
      <c r="JN50" s="621"/>
      <c r="JO50" s="621"/>
      <c r="JP50" s="621"/>
      <c r="JQ50" s="621"/>
      <c r="JR50" s="621"/>
      <c r="JS50" s="621"/>
      <c r="JT50" s="621"/>
      <c r="JU50" s="621"/>
      <c r="JV50" s="621"/>
      <c r="JW50" s="621"/>
      <c r="JX50" s="621"/>
      <c r="JY50" s="621"/>
      <c r="JZ50" s="621"/>
      <c r="KA50" s="621"/>
      <c r="KB50" s="621"/>
      <c r="KC50" s="621"/>
      <c r="KD50" s="621"/>
      <c r="KE50" s="621"/>
      <c r="KF50" s="621"/>
      <c r="KG50" s="621"/>
      <c r="KH50" s="621"/>
      <c r="KI50" s="621"/>
      <c r="KJ50" s="621"/>
      <c r="KK50" s="621"/>
      <c r="KL50" s="621"/>
      <c r="KM50" s="621"/>
      <c r="KN50" s="621"/>
      <c r="KO50" s="621"/>
      <c r="KP50" s="621"/>
      <c r="KQ50" s="621"/>
      <c r="KR50" s="621"/>
      <c r="KS50" s="621"/>
      <c r="KT50" s="621"/>
      <c r="KU50" s="621"/>
      <c r="KV50" s="621"/>
      <c r="KW50" s="621"/>
      <c r="KX50" s="621"/>
      <c r="KY50" s="621"/>
      <c r="KZ50" s="621"/>
      <c r="LA50" s="621"/>
      <c r="LB50" s="621"/>
      <c r="LC50" s="621"/>
      <c r="LD50" s="621"/>
      <c r="LE50" s="621"/>
      <c r="LF50" s="621"/>
      <c r="LG50" s="621"/>
      <c r="LH50" s="621"/>
      <c r="LI50" s="621"/>
      <c r="LJ50" s="621"/>
      <c r="LK50" s="621"/>
      <c r="LL50" s="621"/>
      <c r="LM50" s="621"/>
      <c r="LN50" s="621"/>
      <c r="LO50" s="621"/>
      <c r="LP50" s="621"/>
      <c r="LQ50" s="621"/>
      <c r="LR50" s="621"/>
      <c r="LS50" s="621"/>
      <c r="LT50" s="621"/>
      <c r="LU50" s="621"/>
      <c r="LV50" s="621"/>
      <c r="LW50" s="621"/>
      <c r="LX50" s="621"/>
      <c r="LY50" s="621"/>
      <c r="LZ50" s="621"/>
      <c r="MA50" s="621"/>
      <c r="MB50" s="621"/>
      <c r="MC50" s="621"/>
      <c r="MD50" s="621"/>
      <c r="ME50" s="621"/>
      <c r="MF50" s="621"/>
      <c r="MG50" s="621"/>
      <c r="MH50" s="621"/>
      <c r="MI50" s="621"/>
      <c r="MJ50" s="621"/>
      <c r="MK50" s="621"/>
      <c r="ML50" s="621"/>
      <c r="MM50" s="621"/>
      <c r="MN50" s="621"/>
      <c r="MO50" s="621"/>
      <c r="MP50" s="621"/>
      <c r="MQ50" s="621"/>
      <c r="MR50" s="621"/>
      <c r="MS50" s="621"/>
      <c r="MT50" s="621"/>
      <c r="MU50" s="621"/>
      <c r="MV50" s="621"/>
      <c r="MW50" s="621"/>
      <c r="MX50" s="621"/>
      <c r="MY50" s="621"/>
      <c r="MZ50" s="621"/>
      <c r="NA50" s="621"/>
      <c r="NB50" s="621"/>
      <c r="NC50" s="621"/>
      <c r="ND50" s="621"/>
      <c r="NE50" s="621"/>
      <c r="NF50" s="621"/>
      <c r="NG50" s="621"/>
      <c r="NH50" s="621"/>
      <c r="NI50" s="621"/>
      <c r="NJ50" s="621"/>
      <c r="NK50" s="621"/>
      <c r="NL50" s="621"/>
      <c r="NM50" s="621"/>
      <c r="NN50" s="621"/>
      <c r="NO50" s="621"/>
      <c r="NP50" s="621"/>
      <c r="NQ50" s="621"/>
      <c r="NR50" s="621"/>
      <c r="NS50" s="621"/>
      <c r="NT50" s="621"/>
      <c r="NU50" s="621"/>
      <c r="NV50" s="621"/>
      <c r="NW50" s="621"/>
      <c r="NX50" s="621"/>
      <c r="NY50" s="621"/>
      <c r="NZ50" s="621"/>
      <c r="OA50" s="621"/>
      <c r="OB50" s="621"/>
      <c r="OC50" s="621"/>
      <c r="OD50" s="621"/>
      <c r="OE50" s="621"/>
      <c r="OF50" s="621"/>
      <c r="OG50" s="621"/>
      <c r="OH50" s="621"/>
      <c r="OI50" s="621"/>
      <c r="OJ50" s="621"/>
      <c r="OK50" s="621"/>
      <c r="OL50" s="621"/>
      <c r="OM50" s="621"/>
      <c r="ON50" s="621"/>
      <c r="OO50" s="621"/>
      <c r="OP50" s="621"/>
      <c r="OQ50" s="621"/>
      <c r="OR50" s="621"/>
      <c r="OS50" s="621"/>
      <c r="OT50" s="621"/>
      <c r="OU50" s="621"/>
      <c r="OV50" s="621"/>
      <c r="OW50" s="621"/>
      <c r="OX50" s="621"/>
      <c r="OY50" s="621"/>
      <c r="OZ50" s="621"/>
      <c r="PA50" s="621"/>
      <c r="PB50" s="621"/>
      <c r="PC50" s="621"/>
      <c r="PD50" s="621"/>
      <c r="PE50" s="621"/>
      <c r="PF50" s="621"/>
      <c r="PG50" s="621"/>
      <c r="PH50" s="621"/>
      <c r="PI50" s="621"/>
      <c r="PJ50" s="621"/>
      <c r="PK50" s="621"/>
      <c r="PL50" s="621"/>
      <c r="PM50" s="621"/>
      <c r="PN50" s="621"/>
      <c r="PO50" s="621"/>
      <c r="PP50" s="621"/>
      <c r="PQ50" s="621"/>
      <c r="PR50" s="621"/>
      <c r="PS50" s="621"/>
      <c r="PT50" s="621"/>
      <c r="PU50" s="621"/>
      <c r="PV50" s="621"/>
      <c r="PW50" s="621"/>
      <c r="PX50" s="621"/>
      <c r="PY50" s="621"/>
      <c r="PZ50" s="621"/>
      <c r="QA50" s="621"/>
      <c r="QB50" s="621"/>
      <c r="QC50" s="621"/>
      <c r="QD50" s="621"/>
      <c r="QE50" s="621"/>
      <c r="QF50" s="621"/>
      <c r="QG50" s="621"/>
      <c r="QH50" s="621"/>
      <c r="QI50" s="621"/>
      <c r="QJ50" s="621"/>
      <c r="QK50" s="621"/>
      <c r="QL50" s="621"/>
      <c r="QM50" s="621"/>
      <c r="QN50" s="621"/>
      <c r="QO50" s="621"/>
      <c r="QP50" s="621"/>
      <c r="QQ50" s="621"/>
      <c r="QR50" s="621"/>
      <c r="QS50" s="621"/>
      <c r="QT50" s="621"/>
      <c r="QU50" s="621"/>
      <c r="QV50" s="621"/>
      <c r="QW50" s="621"/>
      <c r="QX50" s="621"/>
      <c r="QY50" s="621"/>
      <c r="QZ50" s="621"/>
      <c r="RA50" s="621"/>
      <c r="RB50" s="621"/>
      <c r="RC50" s="621"/>
      <c r="RD50" s="621"/>
      <c r="RE50" s="621"/>
      <c r="RF50" s="621"/>
      <c r="RG50" s="621"/>
      <c r="RH50" s="621"/>
      <c r="RI50" s="621"/>
      <c r="RJ50" s="621"/>
      <c r="RK50" s="621"/>
      <c r="RL50" s="621"/>
      <c r="RM50" s="621"/>
      <c r="RN50" s="621"/>
      <c r="RO50" s="621"/>
      <c r="RP50" s="621"/>
      <c r="RQ50" s="621"/>
      <c r="RR50" s="621"/>
      <c r="RS50" s="621"/>
      <c r="RT50" s="621"/>
      <c r="RU50" s="621"/>
      <c r="RV50" s="621"/>
      <c r="RW50" s="621"/>
      <c r="RX50" s="621"/>
      <c r="RY50" s="621"/>
      <c r="RZ50" s="621"/>
      <c r="SA50" s="621"/>
      <c r="SB50" s="621"/>
      <c r="SC50" s="621"/>
      <c r="SD50" s="621"/>
      <c r="SE50" s="621"/>
      <c r="SF50" s="621"/>
      <c r="SG50" s="621"/>
      <c r="SH50" s="621"/>
      <c r="SI50" s="621"/>
      <c r="SJ50" s="621"/>
      <c r="SK50" s="621"/>
      <c r="SL50" s="621"/>
      <c r="SM50" s="621"/>
      <c r="SN50" s="621"/>
      <c r="SO50" s="621"/>
      <c r="SP50" s="621"/>
      <c r="SQ50" s="621"/>
      <c r="SR50" s="621"/>
      <c r="SS50" s="621"/>
      <c r="ST50" s="621"/>
      <c r="SU50" s="621"/>
      <c r="SV50" s="621"/>
      <c r="SW50" s="621"/>
      <c r="SX50" s="621"/>
      <c r="SY50" s="621"/>
      <c r="SZ50" s="621"/>
      <c r="TA50" s="621"/>
      <c r="TB50" s="621"/>
      <c r="TC50" s="621"/>
      <c r="TD50" s="621"/>
      <c r="TE50" s="621"/>
      <c r="TF50" s="621"/>
      <c r="TG50" s="621"/>
      <c r="TH50" s="621"/>
      <c r="TI50" s="621"/>
      <c r="TJ50" s="621"/>
      <c r="TK50" s="621"/>
      <c r="TL50" s="621"/>
      <c r="TM50" s="621"/>
      <c r="TN50" s="621"/>
      <c r="TO50" s="621"/>
      <c r="TP50" s="621"/>
      <c r="TQ50" s="621"/>
      <c r="TR50" s="621"/>
      <c r="TS50" s="621"/>
      <c r="TT50" s="621"/>
      <c r="TU50" s="621"/>
      <c r="TV50" s="621"/>
      <c r="TW50" s="621"/>
      <c r="TX50" s="621"/>
      <c r="TY50" s="621"/>
      <c r="TZ50" s="621"/>
      <c r="UA50" s="621"/>
      <c r="UB50" s="621"/>
      <c r="UC50" s="621"/>
      <c r="UD50" s="621"/>
      <c r="UE50" s="621"/>
      <c r="UF50" s="621"/>
      <c r="UG50" s="621"/>
      <c r="UH50" s="621"/>
      <c r="UI50" s="621"/>
      <c r="UJ50" s="621"/>
      <c r="UK50" s="621"/>
      <c r="UL50" s="621"/>
      <c r="UM50" s="621"/>
      <c r="UN50" s="621"/>
      <c r="UO50" s="621"/>
      <c r="UP50" s="621"/>
      <c r="UQ50" s="621"/>
      <c r="UR50" s="621"/>
      <c r="US50" s="621"/>
      <c r="UT50" s="621"/>
      <c r="UU50" s="621"/>
      <c r="UV50" s="621"/>
      <c r="UW50" s="621"/>
      <c r="UX50" s="621"/>
      <c r="UY50" s="621"/>
      <c r="UZ50" s="621"/>
      <c r="VA50" s="621"/>
      <c r="VB50" s="621"/>
      <c r="VC50" s="621"/>
      <c r="VD50" s="621"/>
      <c r="VE50" s="621"/>
      <c r="VF50" s="621"/>
      <c r="VG50" s="621"/>
      <c r="VH50" s="621"/>
      <c r="VI50" s="621"/>
      <c r="VJ50" s="621"/>
      <c r="VK50" s="621"/>
      <c r="VL50" s="621"/>
      <c r="VM50" s="621"/>
      <c r="VN50" s="621"/>
      <c r="VO50" s="621"/>
      <c r="VP50" s="621"/>
      <c r="VQ50" s="621"/>
      <c r="VR50" s="621"/>
      <c r="VS50" s="621"/>
      <c r="VT50" s="621"/>
      <c r="VU50" s="621"/>
      <c r="VV50" s="621"/>
      <c r="VW50" s="621"/>
      <c r="VX50" s="621"/>
      <c r="VY50" s="621"/>
      <c r="VZ50" s="621"/>
      <c r="WA50" s="621"/>
      <c r="WB50" s="621"/>
      <c r="WC50" s="621"/>
      <c r="WD50" s="621"/>
      <c r="WE50" s="621"/>
      <c r="WF50" s="621"/>
      <c r="WG50" s="621"/>
      <c r="WH50" s="621"/>
      <c r="WI50" s="621"/>
      <c r="WJ50" s="621"/>
      <c r="WK50" s="621"/>
      <c r="WL50" s="621"/>
      <c r="WM50" s="621"/>
      <c r="WN50" s="621"/>
      <c r="WO50" s="621"/>
      <c r="WP50" s="621"/>
      <c r="WQ50" s="621"/>
      <c r="WR50" s="621"/>
      <c r="WS50" s="621"/>
      <c r="WT50" s="621"/>
      <c r="WU50" s="621"/>
      <c r="WV50" s="621"/>
      <c r="WW50" s="621"/>
      <c r="WX50" s="621"/>
      <c r="WY50" s="621"/>
      <c r="WZ50" s="621"/>
      <c r="XA50" s="621"/>
      <c r="XB50" s="621"/>
      <c r="XC50" s="621"/>
      <c r="XD50" s="621"/>
      <c r="XE50" s="621"/>
      <c r="XF50" s="621"/>
      <c r="XG50" s="621"/>
      <c r="XH50" s="621"/>
      <c r="XI50" s="621"/>
      <c r="XJ50" s="621"/>
      <c r="XK50" s="621"/>
      <c r="XL50" s="621"/>
      <c r="XM50" s="621"/>
      <c r="XN50" s="621"/>
      <c r="XO50" s="621"/>
      <c r="XP50" s="621"/>
      <c r="XQ50" s="621"/>
      <c r="XR50" s="621"/>
      <c r="XS50" s="621"/>
      <c r="XT50" s="621"/>
      <c r="XU50" s="621"/>
      <c r="XV50" s="621"/>
      <c r="XW50" s="621"/>
      <c r="XX50" s="621"/>
      <c r="XY50" s="621"/>
      <c r="XZ50" s="621"/>
      <c r="YA50" s="621"/>
      <c r="YB50" s="621"/>
      <c r="YC50" s="621"/>
      <c r="YD50" s="621"/>
      <c r="YE50" s="621"/>
      <c r="YF50" s="621"/>
      <c r="YG50" s="621"/>
      <c r="YH50" s="621"/>
      <c r="YI50" s="621"/>
      <c r="YJ50" s="621"/>
      <c r="YK50" s="621"/>
      <c r="YL50" s="621"/>
      <c r="YM50" s="621"/>
      <c r="YN50" s="621"/>
      <c r="YO50" s="621"/>
      <c r="YP50" s="621"/>
      <c r="YQ50" s="621"/>
      <c r="YR50" s="621"/>
      <c r="YS50" s="621"/>
      <c r="YT50" s="621"/>
      <c r="YU50" s="621"/>
      <c r="YV50" s="621"/>
      <c r="YW50" s="621"/>
      <c r="YX50" s="621"/>
      <c r="YY50" s="621"/>
      <c r="YZ50" s="621"/>
      <c r="ZA50" s="621"/>
      <c r="ZB50" s="621"/>
      <c r="ZC50" s="621"/>
      <c r="ZD50" s="621"/>
      <c r="ZE50" s="621"/>
      <c r="ZF50" s="621"/>
      <c r="ZG50" s="621"/>
      <c r="ZH50" s="621"/>
      <c r="ZI50" s="621"/>
      <c r="ZJ50" s="621"/>
      <c r="ZK50" s="621"/>
      <c r="ZL50" s="621"/>
      <c r="ZM50" s="621"/>
      <c r="ZN50" s="621"/>
      <c r="ZO50" s="621"/>
      <c r="ZP50" s="621"/>
      <c r="ZQ50" s="621"/>
      <c r="ZR50" s="621"/>
      <c r="ZS50" s="621"/>
      <c r="ZT50" s="621"/>
      <c r="ZU50" s="621"/>
      <c r="ZV50" s="621"/>
      <c r="ZW50" s="621"/>
      <c r="ZX50" s="621"/>
      <c r="ZY50" s="621"/>
      <c r="ZZ50" s="621"/>
      <c r="AAA50" s="621"/>
      <c r="AAB50" s="621"/>
      <c r="AAC50" s="621"/>
      <c r="AAD50" s="621"/>
      <c r="AAE50" s="621"/>
      <c r="AAF50" s="621"/>
      <c r="AAG50" s="621"/>
      <c r="AAH50" s="621"/>
      <c r="AAI50" s="621"/>
      <c r="AAJ50" s="621"/>
      <c r="AAK50" s="621"/>
      <c r="AAL50" s="621"/>
      <c r="AAM50" s="621"/>
      <c r="AAN50" s="621"/>
      <c r="AAO50" s="621"/>
      <c r="AAP50" s="621"/>
      <c r="AAQ50" s="621"/>
      <c r="AAR50" s="621"/>
      <c r="AAS50" s="621"/>
      <c r="AAT50" s="621"/>
      <c r="AAU50" s="621"/>
      <c r="AAV50" s="621"/>
      <c r="AAW50" s="621"/>
      <c r="AAX50" s="621"/>
      <c r="AAY50" s="621"/>
      <c r="AAZ50" s="621"/>
      <c r="ABA50" s="621"/>
      <c r="ABB50" s="621"/>
      <c r="ABC50" s="621"/>
      <c r="ABD50" s="621"/>
      <c r="ABE50" s="621"/>
      <c r="ABF50" s="621"/>
      <c r="ABG50" s="621"/>
      <c r="ABH50" s="621"/>
      <c r="ABI50" s="621"/>
      <c r="ABJ50" s="621"/>
      <c r="ABK50" s="621"/>
      <c r="ABL50" s="621"/>
      <c r="ABM50" s="621"/>
      <c r="ABN50" s="621"/>
      <c r="ABO50" s="621"/>
      <c r="ABP50" s="621"/>
      <c r="ABQ50" s="621"/>
      <c r="ABR50" s="621"/>
      <c r="ABS50" s="621"/>
      <c r="ABT50" s="621"/>
      <c r="ABU50" s="621"/>
      <c r="ABV50" s="621"/>
      <c r="ABW50" s="621"/>
      <c r="ABX50" s="621"/>
      <c r="ABY50" s="621"/>
      <c r="ABZ50" s="621"/>
      <c r="ACA50" s="621"/>
      <c r="ACB50" s="621"/>
      <c r="ACC50" s="621"/>
      <c r="ACD50" s="621"/>
      <c r="ACE50" s="621"/>
      <c r="ACF50" s="621"/>
      <c r="ACG50" s="621"/>
      <c r="ACH50" s="621"/>
      <c r="ACI50" s="621"/>
      <c r="ACJ50" s="621"/>
      <c r="ACK50" s="621"/>
      <c r="ACL50" s="621"/>
      <c r="ACM50" s="621"/>
      <c r="ACN50" s="621"/>
      <c r="ACO50" s="621"/>
      <c r="ACP50" s="621"/>
      <c r="ACQ50" s="621"/>
      <c r="ACR50" s="621"/>
      <c r="ACS50" s="621"/>
      <c r="ACT50" s="621"/>
      <c r="ACU50" s="621"/>
      <c r="ACV50" s="621"/>
      <c r="ACW50" s="621"/>
      <c r="ACX50" s="621"/>
      <c r="ACY50" s="621"/>
      <c r="ACZ50" s="621"/>
      <c r="ADA50" s="621"/>
      <c r="ADB50" s="621"/>
      <c r="ADC50" s="621"/>
      <c r="ADD50" s="621"/>
      <c r="ADE50" s="621"/>
      <c r="ADF50" s="621"/>
      <c r="ADG50" s="621"/>
      <c r="ADH50" s="621"/>
      <c r="ADI50" s="621"/>
      <c r="ADJ50" s="621"/>
      <c r="ADK50" s="621"/>
      <c r="ADL50" s="621"/>
      <c r="ADM50" s="621"/>
      <c r="ADN50" s="621"/>
      <c r="ADO50" s="621"/>
      <c r="ADP50" s="621"/>
      <c r="ADQ50" s="621"/>
      <c r="ADR50" s="621"/>
      <c r="ADS50" s="621"/>
      <c r="ADT50" s="621"/>
      <c r="ADU50" s="621"/>
      <c r="ADV50" s="621"/>
      <c r="ADW50" s="621"/>
      <c r="ADX50" s="621"/>
      <c r="ADY50" s="621"/>
      <c r="ADZ50" s="621"/>
      <c r="AEA50" s="621"/>
      <c r="AEB50" s="621"/>
      <c r="AEC50" s="621"/>
      <c r="AED50" s="621"/>
      <c r="AEE50" s="621"/>
      <c r="AEF50" s="621"/>
      <c r="AEG50" s="621"/>
      <c r="AEH50" s="621"/>
      <c r="AEI50" s="621"/>
      <c r="AEJ50" s="621"/>
      <c r="AEK50" s="621"/>
      <c r="AEL50" s="621"/>
      <c r="AEM50" s="621"/>
      <c r="AEN50" s="621"/>
      <c r="AEO50" s="621"/>
      <c r="AEP50" s="621"/>
      <c r="AEQ50" s="621"/>
      <c r="AER50" s="621"/>
      <c r="AES50" s="621"/>
      <c r="AET50" s="621"/>
      <c r="AEU50" s="621"/>
      <c r="AEV50" s="621"/>
      <c r="AEW50" s="621"/>
      <c r="AEX50" s="621"/>
      <c r="AEY50" s="621"/>
      <c r="AEZ50" s="621"/>
      <c r="AFA50" s="621"/>
      <c r="AFB50" s="621"/>
      <c r="AFC50" s="621"/>
      <c r="AFD50" s="621"/>
      <c r="AFE50" s="621"/>
      <c r="AFF50" s="621"/>
      <c r="AFG50" s="621"/>
      <c r="AFH50" s="621"/>
      <c r="AFI50" s="621"/>
      <c r="AFJ50" s="621"/>
      <c r="AFK50" s="621"/>
      <c r="AFL50" s="621"/>
      <c r="AFM50" s="621"/>
      <c r="AFN50" s="621"/>
      <c r="AFO50" s="621"/>
      <c r="AFP50" s="621"/>
      <c r="AFQ50" s="621"/>
      <c r="AFR50" s="621"/>
      <c r="AFS50" s="621"/>
      <c r="AFT50" s="621"/>
      <c r="AFU50" s="621"/>
      <c r="AFV50" s="621"/>
      <c r="AFW50" s="621"/>
      <c r="AFX50" s="621"/>
      <c r="AFY50" s="621"/>
      <c r="AFZ50" s="621"/>
      <c r="AGA50" s="621"/>
      <c r="AGB50" s="621"/>
      <c r="AGC50" s="621"/>
      <c r="AGD50" s="621"/>
      <c r="AGE50" s="621"/>
      <c r="AGF50" s="621"/>
      <c r="AGG50" s="621"/>
      <c r="AGH50" s="621"/>
      <c r="AGI50" s="621"/>
      <c r="AGJ50" s="621"/>
      <c r="AGK50" s="621"/>
      <c r="AGL50" s="621"/>
      <c r="AGM50" s="621"/>
      <c r="AGN50" s="621"/>
      <c r="AGO50" s="621"/>
      <c r="AGP50" s="621"/>
      <c r="AGQ50" s="621"/>
      <c r="AGR50" s="621"/>
      <c r="AGS50" s="621"/>
      <c r="AGT50" s="621"/>
      <c r="AGU50" s="621"/>
      <c r="AGV50" s="621"/>
      <c r="AGW50" s="621"/>
      <c r="AGX50" s="621"/>
      <c r="AGY50" s="621"/>
      <c r="AGZ50" s="621"/>
      <c r="AHA50" s="621"/>
      <c r="AHB50" s="621"/>
      <c r="AHC50" s="621"/>
      <c r="AHD50" s="621"/>
      <c r="AHE50" s="621"/>
      <c r="AHF50" s="621"/>
      <c r="AHG50" s="621"/>
      <c r="AHH50" s="621"/>
      <c r="AHI50" s="621"/>
      <c r="AHJ50" s="621"/>
      <c r="AHK50" s="621"/>
      <c r="AHL50" s="621"/>
      <c r="AHM50" s="621"/>
      <c r="AHN50" s="621"/>
      <c r="AHO50" s="621"/>
      <c r="AHP50" s="621"/>
      <c r="AHQ50" s="621"/>
      <c r="AHR50" s="621"/>
      <c r="AHS50" s="621"/>
      <c r="AHT50" s="621"/>
      <c r="AHU50" s="621"/>
      <c r="AHV50" s="621"/>
      <c r="AHW50" s="621"/>
      <c r="AHX50" s="621"/>
      <c r="AHY50" s="621"/>
      <c r="AHZ50" s="621"/>
      <c r="AIA50" s="621"/>
      <c r="AIB50" s="621"/>
      <c r="AIC50" s="621"/>
      <c r="AID50" s="621"/>
      <c r="AIE50" s="621"/>
      <c r="AIF50" s="621"/>
      <c r="AIG50" s="621"/>
      <c r="AIH50" s="621"/>
      <c r="AII50" s="621"/>
      <c r="AIJ50" s="621"/>
      <c r="AIK50" s="621"/>
      <c r="AIL50" s="621"/>
      <c r="AIM50" s="621"/>
      <c r="AIN50" s="621"/>
      <c r="AIO50" s="621"/>
      <c r="AIP50" s="621"/>
      <c r="AIQ50" s="621"/>
      <c r="AIR50" s="621"/>
      <c r="AIS50" s="621"/>
      <c r="AIT50" s="621"/>
      <c r="AIU50" s="621"/>
      <c r="AIV50" s="621"/>
      <c r="AIW50" s="621"/>
      <c r="AIX50" s="621"/>
      <c r="AIY50" s="621"/>
      <c r="AIZ50" s="621"/>
      <c r="AJA50" s="621"/>
      <c r="AJB50" s="621"/>
      <c r="AJC50" s="621"/>
      <c r="AJD50" s="621"/>
      <c r="AJE50" s="621"/>
      <c r="AJF50" s="621"/>
      <c r="AJG50" s="621"/>
      <c r="AJH50" s="621"/>
      <c r="AJI50" s="621"/>
      <c r="AJJ50" s="621"/>
      <c r="AJK50" s="621"/>
      <c r="AJL50" s="621"/>
      <c r="AJM50" s="621"/>
      <c r="AJN50" s="621"/>
      <c r="AJO50" s="621"/>
      <c r="AJP50" s="621"/>
      <c r="AJQ50" s="621"/>
      <c r="AJR50" s="621"/>
      <c r="AJS50" s="621"/>
      <c r="AJT50" s="621"/>
      <c r="AJU50" s="621"/>
      <c r="AJV50" s="621"/>
      <c r="AJW50" s="621"/>
      <c r="AJX50" s="621"/>
      <c r="AJY50" s="621"/>
      <c r="AJZ50" s="621"/>
      <c r="AKA50" s="621"/>
      <c r="AKB50" s="621"/>
      <c r="AKC50" s="621"/>
      <c r="AKD50" s="621"/>
      <c r="AKE50" s="621"/>
      <c r="AKF50" s="621"/>
      <c r="AKG50" s="621"/>
      <c r="AKH50" s="621"/>
      <c r="AKI50" s="621"/>
      <c r="AKJ50" s="621"/>
      <c r="AKK50" s="621"/>
      <c r="AKL50" s="621"/>
      <c r="AKM50" s="621"/>
      <c r="AKN50" s="621"/>
      <c r="AKO50" s="621"/>
      <c r="AKP50" s="621"/>
      <c r="AKQ50" s="621"/>
      <c r="AKR50" s="621"/>
      <c r="AKS50" s="621"/>
      <c r="AKT50" s="621"/>
      <c r="AKU50" s="621"/>
      <c r="AKV50" s="621"/>
      <c r="AKW50" s="621"/>
      <c r="AKX50" s="621"/>
      <c r="AKY50" s="621"/>
      <c r="AKZ50" s="621"/>
      <c r="ALA50" s="621"/>
      <c r="ALB50" s="621"/>
      <c r="ALC50" s="621"/>
      <c r="ALD50" s="621"/>
      <c r="ALE50" s="621"/>
      <c r="ALF50" s="621"/>
      <c r="ALG50" s="621"/>
      <c r="ALH50" s="621"/>
      <c r="ALI50" s="621"/>
      <c r="ALJ50" s="621"/>
      <c r="ALK50" s="621"/>
      <c r="ALL50" s="621"/>
      <c r="ALM50" s="621"/>
      <c r="ALN50" s="621"/>
      <c r="ALO50" s="621"/>
      <c r="ALP50" s="621"/>
      <c r="ALQ50" s="621"/>
      <c r="ALR50" s="621"/>
      <c r="ALS50" s="621"/>
      <c r="ALT50" s="621"/>
      <c r="ALU50" s="621"/>
      <c r="ALV50" s="621"/>
      <c r="ALW50" s="621"/>
      <c r="ALX50" s="621"/>
      <c r="ALY50" s="621"/>
      <c r="ALZ50" s="621"/>
      <c r="AMA50" s="621"/>
      <c r="AMB50" s="621"/>
      <c r="AMC50" s="621"/>
      <c r="AMD50" s="621"/>
      <c r="AME50" s="621"/>
      <c r="AMF50" s="621"/>
      <c r="AMG50" s="621"/>
      <c r="AMH50" s="621"/>
      <c r="AMI50" s="621"/>
      <c r="AMJ50" s="621"/>
      <c r="AMK50" s="621"/>
    </row>
    <row r="51" spans="1:1025" ht="30" customHeight="1">
      <c r="A51" s="374" t="s">
        <v>117</v>
      </c>
      <c r="B51" s="375" t="s">
        <v>379</v>
      </c>
      <c r="C51" s="376"/>
      <c r="D51" s="423"/>
      <c r="E51" s="2043"/>
      <c r="F51" s="2043"/>
      <c r="G51" s="392"/>
      <c r="H51" s="429"/>
      <c r="I51" s="1497"/>
      <c r="J51" s="1498"/>
      <c r="K51" s="593"/>
      <c r="P51" s="272"/>
      <c r="Q51" s="436" t="s">
        <v>394</v>
      </c>
      <c r="R51" s="1495" t="s">
        <v>395</v>
      </c>
      <c r="S51" s="1503"/>
      <c r="T51" s="272"/>
      <c r="U51" s="397"/>
      <c r="V51" s="328" t="s">
        <v>342</v>
      </c>
      <c r="W51" s="410">
        <v>41.14</v>
      </c>
      <c r="X51" s="410"/>
      <c r="Y51" s="411">
        <f t="shared" si="10"/>
        <v>0</v>
      </c>
      <c r="Z51" s="397"/>
      <c r="AA51" s="397"/>
      <c r="AE51" s="1471"/>
      <c r="AF51" s="1493" t="s">
        <v>114</v>
      </c>
      <c r="AG51" s="1494"/>
      <c r="AH51" s="1494">
        <v>8</v>
      </c>
      <c r="AI51" s="1494">
        <v>6</v>
      </c>
      <c r="AJ51" s="1494">
        <f t="shared" ref="AJ51:AJ63" si="11">AG51*AH51*AI51</f>
        <v>0</v>
      </c>
      <c r="AK51" s="1494">
        <v>45</v>
      </c>
      <c r="AL51" s="1494">
        <f t="shared" ref="AL51:AL63" si="12">AJ51*AK51</f>
        <v>0</v>
      </c>
      <c r="AM51" s="1475">
        <f t="shared" ref="AM51:AM69" si="13">AL51*9.55</f>
        <v>0</v>
      </c>
      <c r="AN51" s="1493">
        <v>850</v>
      </c>
      <c r="AO51" s="1475">
        <f t="shared" ref="AO51:AO63" si="14">AJ51*AN51</f>
        <v>0</v>
      </c>
      <c r="AP51" s="289"/>
      <c r="AQ51" s="621"/>
      <c r="AR51" s="621"/>
      <c r="AS51" s="621"/>
      <c r="AT51" s="621"/>
      <c r="AU51" s="621"/>
      <c r="AV51" s="621"/>
      <c r="AW51" s="621"/>
      <c r="AX51" s="621"/>
      <c r="AY51" s="621"/>
      <c r="AZ51" s="621"/>
      <c r="BA51" s="621"/>
      <c r="BB51" s="621"/>
      <c r="BC51" s="621"/>
      <c r="BD51" s="621"/>
      <c r="BE51" s="621"/>
      <c r="BF51" s="621"/>
      <c r="BG51" s="621"/>
      <c r="BH51" s="621"/>
      <c r="BI51" s="621"/>
      <c r="BJ51" s="621"/>
      <c r="BK51" s="621"/>
      <c r="BL51" s="621"/>
      <c r="BM51" s="621"/>
      <c r="BN51" s="621"/>
      <c r="BO51" s="621"/>
      <c r="BP51" s="621"/>
      <c r="BQ51" s="621"/>
      <c r="BR51" s="621"/>
      <c r="BS51" s="621"/>
      <c r="BT51" s="621"/>
      <c r="BU51" s="621"/>
      <c r="BV51" s="621"/>
      <c r="BW51" s="621"/>
      <c r="BX51" s="621"/>
      <c r="BY51" s="621"/>
      <c r="BZ51" s="621"/>
      <c r="CA51" s="621"/>
      <c r="CB51" s="621"/>
      <c r="CC51" s="621"/>
      <c r="CD51" s="621"/>
      <c r="CE51" s="621"/>
      <c r="CF51" s="621"/>
      <c r="CG51" s="621"/>
      <c r="CH51" s="621"/>
      <c r="CI51" s="621"/>
      <c r="CJ51" s="621"/>
      <c r="CK51" s="621"/>
      <c r="CL51" s="621"/>
      <c r="CM51" s="621"/>
      <c r="CN51" s="621"/>
      <c r="CO51" s="621"/>
      <c r="CP51" s="621"/>
      <c r="CQ51" s="621"/>
      <c r="CR51" s="621"/>
      <c r="CS51" s="621"/>
      <c r="CT51" s="621"/>
      <c r="CU51" s="621"/>
      <c r="CV51" s="621"/>
      <c r="CW51" s="621"/>
      <c r="CX51" s="621"/>
      <c r="CY51" s="621"/>
      <c r="CZ51" s="621"/>
      <c r="DA51" s="621"/>
      <c r="DB51" s="621"/>
      <c r="DC51" s="621"/>
      <c r="DD51" s="621"/>
      <c r="DE51" s="621"/>
      <c r="DF51" s="621"/>
      <c r="DG51" s="621"/>
      <c r="DH51" s="621"/>
      <c r="DI51" s="621"/>
      <c r="DJ51" s="621"/>
      <c r="DK51" s="621"/>
      <c r="DL51" s="621"/>
      <c r="DM51" s="621"/>
      <c r="DN51" s="621"/>
      <c r="DO51" s="621"/>
      <c r="DP51" s="621"/>
      <c r="DQ51" s="621"/>
      <c r="DR51" s="621"/>
      <c r="DS51" s="621"/>
      <c r="DT51" s="621"/>
      <c r="DU51" s="621"/>
      <c r="DV51" s="621"/>
      <c r="DW51" s="621"/>
      <c r="DX51" s="621"/>
      <c r="DY51" s="621"/>
      <c r="DZ51" s="621"/>
      <c r="EA51" s="621"/>
      <c r="EB51" s="621"/>
      <c r="EC51" s="621"/>
      <c r="ED51" s="621"/>
      <c r="EE51" s="621"/>
      <c r="EF51" s="621"/>
      <c r="EG51" s="621"/>
      <c r="EH51" s="621"/>
      <c r="EI51" s="621"/>
      <c r="EJ51" s="621"/>
      <c r="EK51" s="621"/>
      <c r="EL51" s="621"/>
      <c r="EM51" s="621"/>
      <c r="EN51" s="621"/>
      <c r="EO51" s="621"/>
      <c r="EP51" s="621"/>
      <c r="EQ51" s="621"/>
      <c r="ER51" s="621"/>
      <c r="ES51" s="621"/>
      <c r="ET51" s="621"/>
      <c r="EU51" s="621"/>
      <c r="EV51" s="621"/>
      <c r="EW51" s="621"/>
      <c r="EX51" s="621"/>
      <c r="EY51" s="621"/>
      <c r="EZ51" s="621"/>
      <c r="FA51" s="621"/>
      <c r="FB51" s="621"/>
      <c r="FC51" s="621"/>
      <c r="FD51" s="621"/>
      <c r="FE51" s="621"/>
      <c r="FF51" s="621"/>
      <c r="FG51" s="621"/>
      <c r="FH51" s="621"/>
      <c r="FI51" s="621"/>
      <c r="FJ51" s="621"/>
      <c r="FK51" s="621"/>
      <c r="FL51" s="621"/>
      <c r="FM51" s="621"/>
      <c r="FN51" s="621"/>
      <c r="FO51" s="621"/>
      <c r="FP51" s="621"/>
      <c r="FQ51" s="621"/>
      <c r="FR51" s="621"/>
      <c r="FS51" s="621"/>
      <c r="FT51" s="621"/>
      <c r="FU51" s="621"/>
      <c r="FV51" s="621"/>
      <c r="FW51" s="621"/>
      <c r="FX51" s="621"/>
      <c r="FY51" s="621"/>
      <c r="FZ51" s="621"/>
      <c r="GA51" s="621"/>
      <c r="GB51" s="621"/>
      <c r="GC51" s="621"/>
      <c r="GD51" s="621"/>
      <c r="GE51" s="621"/>
      <c r="GF51" s="621"/>
      <c r="GG51" s="621"/>
      <c r="GH51" s="621"/>
      <c r="GI51" s="621"/>
      <c r="GJ51" s="621"/>
      <c r="GK51" s="621"/>
      <c r="GL51" s="621"/>
      <c r="GM51" s="621"/>
      <c r="GN51" s="621"/>
      <c r="GO51" s="621"/>
      <c r="GP51" s="621"/>
      <c r="GQ51" s="621"/>
      <c r="GR51" s="621"/>
      <c r="GS51" s="621"/>
      <c r="GT51" s="621"/>
      <c r="GU51" s="621"/>
      <c r="GV51" s="621"/>
      <c r="GW51" s="621"/>
      <c r="GX51" s="621"/>
      <c r="GY51" s="621"/>
      <c r="GZ51" s="621"/>
      <c r="HA51" s="621"/>
      <c r="HB51" s="621"/>
      <c r="HC51" s="621"/>
      <c r="HD51" s="621"/>
      <c r="HE51" s="621"/>
      <c r="HF51" s="621"/>
      <c r="HG51" s="621"/>
      <c r="HH51" s="621"/>
      <c r="HI51" s="621"/>
      <c r="HJ51" s="621"/>
      <c r="HK51" s="621"/>
      <c r="HL51" s="621"/>
      <c r="HM51" s="621"/>
      <c r="HN51" s="621"/>
      <c r="HO51" s="621"/>
      <c r="HP51" s="621"/>
      <c r="HQ51" s="621"/>
      <c r="HR51" s="621"/>
      <c r="HS51" s="621"/>
      <c r="HT51" s="621"/>
      <c r="HU51" s="621"/>
      <c r="HV51" s="621"/>
      <c r="HW51" s="621"/>
      <c r="HX51" s="621"/>
      <c r="HY51" s="621"/>
      <c r="HZ51" s="621"/>
      <c r="IA51" s="621"/>
      <c r="IB51" s="621"/>
      <c r="IC51" s="621"/>
      <c r="ID51" s="621"/>
      <c r="IE51" s="621"/>
      <c r="IF51" s="621"/>
      <c r="IG51" s="621"/>
      <c r="IH51" s="621"/>
      <c r="II51" s="621"/>
      <c r="IJ51" s="621"/>
      <c r="IK51" s="621"/>
      <c r="IL51" s="621"/>
      <c r="IM51" s="621"/>
      <c r="IN51" s="621"/>
      <c r="IO51" s="621"/>
      <c r="IP51" s="621"/>
      <c r="IQ51" s="621"/>
      <c r="IR51" s="621"/>
      <c r="IS51" s="621"/>
      <c r="IT51" s="621"/>
      <c r="IU51" s="621"/>
      <c r="IV51" s="621"/>
      <c r="IW51" s="621"/>
      <c r="IX51" s="621"/>
      <c r="IY51" s="621"/>
      <c r="IZ51" s="621"/>
      <c r="JA51" s="621"/>
      <c r="JB51" s="621"/>
      <c r="JC51" s="621"/>
      <c r="JD51" s="621"/>
      <c r="JE51" s="621"/>
      <c r="JF51" s="621"/>
      <c r="JG51" s="621"/>
      <c r="JH51" s="621"/>
      <c r="JI51" s="621"/>
      <c r="JJ51" s="621"/>
      <c r="JK51" s="621"/>
      <c r="JL51" s="621"/>
      <c r="JM51" s="621"/>
      <c r="JN51" s="621"/>
      <c r="JO51" s="621"/>
      <c r="JP51" s="621"/>
      <c r="JQ51" s="621"/>
      <c r="JR51" s="621"/>
      <c r="JS51" s="621"/>
      <c r="JT51" s="621"/>
      <c r="JU51" s="621"/>
      <c r="JV51" s="621"/>
      <c r="JW51" s="621"/>
      <c r="JX51" s="621"/>
      <c r="JY51" s="621"/>
      <c r="JZ51" s="621"/>
      <c r="KA51" s="621"/>
      <c r="KB51" s="621"/>
      <c r="KC51" s="621"/>
      <c r="KD51" s="621"/>
      <c r="KE51" s="621"/>
      <c r="KF51" s="621"/>
      <c r="KG51" s="621"/>
      <c r="KH51" s="621"/>
      <c r="KI51" s="621"/>
      <c r="KJ51" s="621"/>
      <c r="KK51" s="621"/>
      <c r="KL51" s="621"/>
      <c r="KM51" s="621"/>
      <c r="KN51" s="621"/>
      <c r="KO51" s="621"/>
      <c r="KP51" s="621"/>
      <c r="KQ51" s="621"/>
      <c r="KR51" s="621"/>
      <c r="KS51" s="621"/>
      <c r="KT51" s="621"/>
      <c r="KU51" s="621"/>
      <c r="KV51" s="621"/>
      <c r="KW51" s="621"/>
      <c r="KX51" s="621"/>
      <c r="KY51" s="621"/>
      <c r="KZ51" s="621"/>
      <c r="LA51" s="621"/>
      <c r="LB51" s="621"/>
      <c r="LC51" s="621"/>
      <c r="LD51" s="621"/>
      <c r="LE51" s="621"/>
      <c r="LF51" s="621"/>
      <c r="LG51" s="621"/>
      <c r="LH51" s="621"/>
      <c r="LI51" s="621"/>
      <c r="LJ51" s="621"/>
      <c r="LK51" s="621"/>
      <c r="LL51" s="621"/>
      <c r="LM51" s="621"/>
      <c r="LN51" s="621"/>
      <c r="LO51" s="621"/>
      <c r="LP51" s="621"/>
      <c r="LQ51" s="621"/>
      <c r="LR51" s="621"/>
      <c r="LS51" s="621"/>
      <c r="LT51" s="621"/>
      <c r="LU51" s="621"/>
      <c r="LV51" s="621"/>
      <c r="LW51" s="621"/>
      <c r="LX51" s="621"/>
      <c r="LY51" s="621"/>
      <c r="LZ51" s="621"/>
      <c r="MA51" s="621"/>
      <c r="MB51" s="621"/>
      <c r="MC51" s="621"/>
      <c r="MD51" s="621"/>
      <c r="ME51" s="621"/>
      <c r="MF51" s="621"/>
      <c r="MG51" s="621"/>
      <c r="MH51" s="621"/>
      <c r="MI51" s="621"/>
      <c r="MJ51" s="621"/>
      <c r="MK51" s="621"/>
      <c r="ML51" s="621"/>
      <c r="MM51" s="621"/>
      <c r="MN51" s="621"/>
      <c r="MO51" s="621"/>
      <c r="MP51" s="621"/>
      <c r="MQ51" s="621"/>
      <c r="MR51" s="621"/>
      <c r="MS51" s="621"/>
      <c r="MT51" s="621"/>
      <c r="MU51" s="621"/>
      <c r="MV51" s="621"/>
      <c r="MW51" s="621"/>
      <c r="MX51" s="621"/>
      <c r="MY51" s="621"/>
      <c r="MZ51" s="621"/>
      <c r="NA51" s="621"/>
      <c r="NB51" s="621"/>
      <c r="NC51" s="621"/>
      <c r="ND51" s="621"/>
      <c r="NE51" s="621"/>
      <c r="NF51" s="621"/>
      <c r="NG51" s="621"/>
      <c r="NH51" s="621"/>
      <c r="NI51" s="621"/>
      <c r="NJ51" s="621"/>
      <c r="NK51" s="621"/>
      <c r="NL51" s="621"/>
      <c r="NM51" s="621"/>
      <c r="NN51" s="621"/>
      <c r="NO51" s="621"/>
      <c r="NP51" s="621"/>
      <c r="NQ51" s="621"/>
      <c r="NR51" s="621"/>
      <c r="NS51" s="621"/>
      <c r="NT51" s="621"/>
      <c r="NU51" s="621"/>
      <c r="NV51" s="621"/>
      <c r="NW51" s="621"/>
      <c r="NX51" s="621"/>
      <c r="NY51" s="621"/>
      <c r="NZ51" s="621"/>
      <c r="OA51" s="621"/>
      <c r="OB51" s="621"/>
      <c r="OC51" s="621"/>
      <c r="OD51" s="621"/>
      <c r="OE51" s="621"/>
      <c r="OF51" s="621"/>
      <c r="OG51" s="621"/>
      <c r="OH51" s="621"/>
      <c r="OI51" s="621"/>
      <c r="OJ51" s="621"/>
      <c r="OK51" s="621"/>
      <c r="OL51" s="621"/>
      <c r="OM51" s="621"/>
      <c r="ON51" s="621"/>
      <c r="OO51" s="621"/>
      <c r="OP51" s="621"/>
      <c r="OQ51" s="621"/>
      <c r="OR51" s="621"/>
      <c r="OS51" s="621"/>
      <c r="OT51" s="621"/>
      <c r="OU51" s="621"/>
      <c r="OV51" s="621"/>
      <c r="OW51" s="621"/>
      <c r="OX51" s="621"/>
      <c r="OY51" s="621"/>
      <c r="OZ51" s="621"/>
      <c r="PA51" s="621"/>
      <c r="PB51" s="621"/>
      <c r="PC51" s="621"/>
      <c r="PD51" s="621"/>
      <c r="PE51" s="621"/>
      <c r="PF51" s="621"/>
      <c r="PG51" s="621"/>
      <c r="PH51" s="621"/>
      <c r="PI51" s="621"/>
      <c r="PJ51" s="621"/>
      <c r="PK51" s="621"/>
      <c r="PL51" s="621"/>
      <c r="PM51" s="621"/>
      <c r="PN51" s="621"/>
      <c r="PO51" s="621"/>
      <c r="PP51" s="621"/>
      <c r="PQ51" s="621"/>
      <c r="PR51" s="621"/>
      <c r="PS51" s="621"/>
      <c r="PT51" s="621"/>
      <c r="PU51" s="621"/>
      <c r="PV51" s="621"/>
      <c r="PW51" s="621"/>
      <c r="PX51" s="621"/>
      <c r="PY51" s="621"/>
      <c r="PZ51" s="621"/>
      <c r="QA51" s="621"/>
      <c r="QB51" s="621"/>
      <c r="QC51" s="621"/>
      <c r="QD51" s="621"/>
      <c r="QE51" s="621"/>
      <c r="QF51" s="621"/>
      <c r="QG51" s="621"/>
      <c r="QH51" s="621"/>
      <c r="QI51" s="621"/>
      <c r="QJ51" s="621"/>
      <c r="QK51" s="621"/>
      <c r="QL51" s="621"/>
      <c r="QM51" s="621"/>
      <c r="QN51" s="621"/>
      <c r="QO51" s="621"/>
      <c r="QP51" s="621"/>
      <c r="QQ51" s="621"/>
      <c r="QR51" s="621"/>
      <c r="QS51" s="621"/>
      <c r="QT51" s="621"/>
      <c r="QU51" s="621"/>
      <c r="QV51" s="621"/>
      <c r="QW51" s="621"/>
      <c r="QX51" s="621"/>
      <c r="QY51" s="621"/>
      <c r="QZ51" s="621"/>
      <c r="RA51" s="621"/>
      <c r="RB51" s="621"/>
      <c r="RC51" s="621"/>
      <c r="RD51" s="621"/>
      <c r="RE51" s="621"/>
      <c r="RF51" s="621"/>
      <c r="RG51" s="621"/>
      <c r="RH51" s="621"/>
      <c r="RI51" s="621"/>
      <c r="RJ51" s="621"/>
      <c r="RK51" s="621"/>
      <c r="RL51" s="621"/>
      <c r="RM51" s="621"/>
      <c r="RN51" s="621"/>
      <c r="RO51" s="621"/>
      <c r="RP51" s="621"/>
      <c r="RQ51" s="621"/>
      <c r="RR51" s="621"/>
      <c r="RS51" s="621"/>
      <c r="RT51" s="621"/>
      <c r="RU51" s="621"/>
      <c r="RV51" s="621"/>
      <c r="RW51" s="621"/>
      <c r="RX51" s="621"/>
      <c r="RY51" s="621"/>
      <c r="RZ51" s="621"/>
      <c r="SA51" s="621"/>
      <c r="SB51" s="621"/>
      <c r="SC51" s="621"/>
      <c r="SD51" s="621"/>
      <c r="SE51" s="621"/>
      <c r="SF51" s="621"/>
      <c r="SG51" s="621"/>
      <c r="SH51" s="621"/>
      <c r="SI51" s="621"/>
      <c r="SJ51" s="621"/>
      <c r="SK51" s="621"/>
      <c r="SL51" s="621"/>
      <c r="SM51" s="621"/>
      <c r="SN51" s="621"/>
      <c r="SO51" s="621"/>
      <c r="SP51" s="621"/>
      <c r="SQ51" s="621"/>
      <c r="SR51" s="621"/>
      <c r="SS51" s="621"/>
      <c r="ST51" s="621"/>
      <c r="SU51" s="621"/>
      <c r="SV51" s="621"/>
      <c r="SW51" s="621"/>
      <c r="SX51" s="621"/>
      <c r="SY51" s="621"/>
      <c r="SZ51" s="621"/>
      <c r="TA51" s="621"/>
      <c r="TB51" s="621"/>
      <c r="TC51" s="621"/>
      <c r="TD51" s="621"/>
      <c r="TE51" s="621"/>
      <c r="TF51" s="621"/>
      <c r="TG51" s="621"/>
      <c r="TH51" s="621"/>
      <c r="TI51" s="621"/>
      <c r="TJ51" s="621"/>
      <c r="TK51" s="621"/>
      <c r="TL51" s="621"/>
      <c r="TM51" s="621"/>
      <c r="TN51" s="621"/>
      <c r="TO51" s="621"/>
      <c r="TP51" s="621"/>
      <c r="TQ51" s="621"/>
      <c r="TR51" s="621"/>
      <c r="TS51" s="621"/>
      <c r="TT51" s="621"/>
      <c r="TU51" s="621"/>
      <c r="TV51" s="621"/>
      <c r="TW51" s="621"/>
      <c r="TX51" s="621"/>
      <c r="TY51" s="621"/>
      <c r="TZ51" s="621"/>
      <c r="UA51" s="621"/>
      <c r="UB51" s="621"/>
      <c r="UC51" s="621"/>
      <c r="UD51" s="621"/>
      <c r="UE51" s="621"/>
      <c r="UF51" s="621"/>
      <c r="UG51" s="621"/>
      <c r="UH51" s="621"/>
      <c r="UI51" s="621"/>
      <c r="UJ51" s="621"/>
      <c r="UK51" s="621"/>
      <c r="UL51" s="621"/>
      <c r="UM51" s="621"/>
      <c r="UN51" s="621"/>
      <c r="UO51" s="621"/>
      <c r="UP51" s="621"/>
      <c r="UQ51" s="621"/>
      <c r="UR51" s="621"/>
      <c r="US51" s="621"/>
      <c r="UT51" s="621"/>
      <c r="UU51" s="621"/>
      <c r="UV51" s="621"/>
      <c r="UW51" s="621"/>
      <c r="UX51" s="621"/>
      <c r="UY51" s="621"/>
      <c r="UZ51" s="621"/>
      <c r="VA51" s="621"/>
      <c r="VB51" s="621"/>
      <c r="VC51" s="621"/>
      <c r="VD51" s="621"/>
      <c r="VE51" s="621"/>
      <c r="VF51" s="621"/>
      <c r="VG51" s="621"/>
      <c r="VH51" s="621"/>
      <c r="VI51" s="621"/>
      <c r="VJ51" s="621"/>
      <c r="VK51" s="621"/>
      <c r="VL51" s="621"/>
      <c r="VM51" s="621"/>
      <c r="VN51" s="621"/>
      <c r="VO51" s="621"/>
      <c r="VP51" s="621"/>
      <c r="VQ51" s="621"/>
      <c r="VR51" s="621"/>
      <c r="VS51" s="621"/>
      <c r="VT51" s="621"/>
      <c r="VU51" s="621"/>
      <c r="VV51" s="621"/>
      <c r="VW51" s="621"/>
      <c r="VX51" s="621"/>
      <c r="VY51" s="621"/>
      <c r="VZ51" s="621"/>
      <c r="WA51" s="621"/>
      <c r="WB51" s="621"/>
      <c r="WC51" s="621"/>
      <c r="WD51" s="621"/>
      <c r="WE51" s="621"/>
      <c r="WF51" s="621"/>
      <c r="WG51" s="621"/>
      <c r="WH51" s="621"/>
      <c r="WI51" s="621"/>
      <c r="WJ51" s="621"/>
      <c r="WK51" s="621"/>
      <c r="WL51" s="621"/>
      <c r="WM51" s="621"/>
      <c r="WN51" s="621"/>
      <c r="WO51" s="621"/>
      <c r="WP51" s="621"/>
      <c r="WQ51" s="621"/>
      <c r="WR51" s="621"/>
      <c r="WS51" s="621"/>
      <c r="WT51" s="621"/>
      <c r="WU51" s="621"/>
      <c r="WV51" s="621"/>
      <c r="WW51" s="621"/>
      <c r="WX51" s="621"/>
      <c r="WY51" s="621"/>
      <c r="WZ51" s="621"/>
      <c r="XA51" s="621"/>
      <c r="XB51" s="621"/>
      <c r="XC51" s="621"/>
      <c r="XD51" s="621"/>
      <c r="XE51" s="621"/>
      <c r="XF51" s="621"/>
      <c r="XG51" s="621"/>
      <c r="XH51" s="621"/>
      <c r="XI51" s="621"/>
      <c r="XJ51" s="621"/>
      <c r="XK51" s="621"/>
      <c r="XL51" s="621"/>
      <c r="XM51" s="621"/>
      <c r="XN51" s="621"/>
      <c r="XO51" s="621"/>
      <c r="XP51" s="621"/>
      <c r="XQ51" s="621"/>
      <c r="XR51" s="621"/>
      <c r="XS51" s="621"/>
      <c r="XT51" s="621"/>
      <c r="XU51" s="621"/>
      <c r="XV51" s="621"/>
      <c r="XW51" s="621"/>
      <c r="XX51" s="621"/>
      <c r="XY51" s="621"/>
      <c r="XZ51" s="621"/>
      <c r="YA51" s="621"/>
      <c r="YB51" s="621"/>
      <c r="YC51" s="621"/>
      <c r="YD51" s="621"/>
      <c r="YE51" s="621"/>
      <c r="YF51" s="621"/>
      <c r="YG51" s="621"/>
      <c r="YH51" s="621"/>
      <c r="YI51" s="621"/>
      <c r="YJ51" s="621"/>
      <c r="YK51" s="621"/>
      <c r="YL51" s="621"/>
      <c r="YM51" s="621"/>
      <c r="YN51" s="621"/>
      <c r="YO51" s="621"/>
      <c r="YP51" s="621"/>
      <c r="YQ51" s="621"/>
      <c r="YR51" s="621"/>
      <c r="YS51" s="621"/>
      <c r="YT51" s="621"/>
      <c r="YU51" s="621"/>
      <c r="YV51" s="621"/>
      <c r="YW51" s="621"/>
      <c r="YX51" s="621"/>
      <c r="YY51" s="621"/>
      <c r="YZ51" s="621"/>
      <c r="ZA51" s="621"/>
      <c r="ZB51" s="621"/>
      <c r="ZC51" s="621"/>
      <c r="ZD51" s="621"/>
      <c r="ZE51" s="621"/>
      <c r="ZF51" s="621"/>
      <c r="ZG51" s="621"/>
      <c r="ZH51" s="621"/>
      <c r="ZI51" s="621"/>
      <c r="ZJ51" s="621"/>
      <c r="ZK51" s="621"/>
      <c r="ZL51" s="621"/>
      <c r="ZM51" s="621"/>
      <c r="ZN51" s="621"/>
      <c r="ZO51" s="621"/>
      <c r="ZP51" s="621"/>
      <c r="ZQ51" s="621"/>
      <c r="ZR51" s="621"/>
      <c r="ZS51" s="621"/>
      <c r="ZT51" s="621"/>
      <c r="ZU51" s="621"/>
      <c r="ZV51" s="621"/>
      <c r="ZW51" s="621"/>
      <c r="ZX51" s="621"/>
      <c r="ZY51" s="621"/>
      <c r="ZZ51" s="621"/>
      <c r="AAA51" s="621"/>
      <c r="AAB51" s="621"/>
      <c r="AAC51" s="621"/>
      <c r="AAD51" s="621"/>
      <c r="AAE51" s="621"/>
      <c r="AAF51" s="621"/>
      <c r="AAG51" s="621"/>
      <c r="AAH51" s="621"/>
      <c r="AAI51" s="621"/>
      <c r="AAJ51" s="621"/>
      <c r="AAK51" s="621"/>
      <c r="AAL51" s="621"/>
      <c r="AAM51" s="621"/>
      <c r="AAN51" s="621"/>
      <c r="AAO51" s="621"/>
      <c r="AAP51" s="621"/>
      <c r="AAQ51" s="621"/>
      <c r="AAR51" s="621"/>
      <c r="AAS51" s="621"/>
      <c r="AAT51" s="621"/>
      <c r="AAU51" s="621"/>
      <c r="AAV51" s="621"/>
      <c r="AAW51" s="621"/>
      <c r="AAX51" s="621"/>
      <c r="AAY51" s="621"/>
      <c r="AAZ51" s="621"/>
      <c r="ABA51" s="621"/>
      <c r="ABB51" s="621"/>
      <c r="ABC51" s="621"/>
      <c r="ABD51" s="621"/>
      <c r="ABE51" s="621"/>
      <c r="ABF51" s="621"/>
      <c r="ABG51" s="621"/>
      <c r="ABH51" s="621"/>
      <c r="ABI51" s="621"/>
      <c r="ABJ51" s="621"/>
      <c r="ABK51" s="621"/>
      <c r="ABL51" s="621"/>
      <c r="ABM51" s="621"/>
      <c r="ABN51" s="621"/>
      <c r="ABO51" s="621"/>
      <c r="ABP51" s="621"/>
      <c r="ABQ51" s="621"/>
      <c r="ABR51" s="621"/>
      <c r="ABS51" s="621"/>
      <c r="ABT51" s="621"/>
      <c r="ABU51" s="621"/>
      <c r="ABV51" s="621"/>
      <c r="ABW51" s="621"/>
      <c r="ABX51" s="621"/>
      <c r="ABY51" s="621"/>
      <c r="ABZ51" s="621"/>
      <c r="ACA51" s="621"/>
      <c r="ACB51" s="621"/>
      <c r="ACC51" s="621"/>
      <c r="ACD51" s="621"/>
      <c r="ACE51" s="621"/>
      <c r="ACF51" s="621"/>
      <c r="ACG51" s="621"/>
      <c r="ACH51" s="621"/>
      <c r="ACI51" s="621"/>
      <c r="ACJ51" s="621"/>
      <c r="ACK51" s="621"/>
      <c r="ACL51" s="621"/>
      <c r="ACM51" s="621"/>
      <c r="ACN51" s="621"/>
      <c r="ACO51" s="621"/>
      <c r="ACP51" s="621"/>
      <c r="ACQ51" s="621"/>
      <c r="ACR51" s="621"/>
      <c r="ACS51" s="621"/>
      <c r="ACT51" s="621"/>
      <c r="ACU51" s="621"/>
      <c r="ACV51" s="621"/>
      <c r="ACW51" s="621"/>
      <c r="ACX51" s="621"/>
      <c r="ACY51" s="621"/>
      <c r="ACZ51" s="621"/>
      <c r="ADA51" s="621"/>
      <c r="ADB51" s="621"/>
      <c r="ADC51" s="621"/>
      <c r="ADD51" s="621"/>
      <c r="ADE51" s="621"/>
      <c r="ADF51" s="621"/>
      <c r="ADG51" s="621"/>
      <c r="ADH51" s="621"/>
      <c r="ADI51" s="621"/>
      <c r="ADJ51" s="621"/>
      <c r="ADK51" s="621"/>
      <c r="ADL51" s="621"/>
      <c r="ADM51" s="621"/>
      <c r="ADN51" s="621"/>
      <c r="ADO51" s="621"/>
      <c r="ADP51" s="621"/>
      <c r="ADQ51" s="621"/>
      <c r="ADR51" s="621"/>
      <c r="ADS51" s="621"/>
      <c r="ADT51" s="621"/>
      <c r="ADU51" s="621"/>
      <c r="ADV51" s="621"/>
      <c r="ADW51" s="621"/>
      <c r="ADX51" s="621"/>
      <c r="ADY51" s="621"/>
      <c r="ADZ51" s="621"/>
      <c r="AEA51" s="621"/>
      <c r="AEB51" s="621"/>
      <c r="AEC51" s="621"/>
      <c r="AED51" s="621"/>
      <c r="AEE51" s="621"/>
      <c r="AEF51" s="621"/>
      <c r="AEG51" s="621"/>
      <c r="AEH51" s="621"/>
      <c r="AEI51" s="621"/>
      <c r="AEJ51" s="621"/>
      <c r="AEK51" s="621"/>
      <c r="AEL51" s="621"/>
      <c r="AEM51" s="621"/>
      <c r="AEN51" s="621"/>
      <c r="AEO51" s="621"/>
      <c r="AEP51" s="621"/>
      <c r="AEQ51" s="621"/>
      <c r="AER51" s="621"/>
      <c r="AES51" s="621"/>
      <c r="AET51" s="621"/>
      <c r="AEU51" s="621"/>
      <c r="AEV51" s="621"/>
      <c r="AEW51" s="621"/>
      <c r="AEX51" s="621"/>
      <c r="AEY51" s="621"/>
      <c r="AEZ51" s="621"/>
      <c r="AFA51" s="621"/>
      <c r="AFB51" s="621"/>
      <c r="AFC51" s="621"/>
      <c r="AFD51" s="621"/>
      <c r="AFE51" s="621"/>
      <c r="AFF51" s="621"/>
      <c r="AFG51" s="621"/>
      <c r="AFH51" s="621"/>
      <c r="AFI51" s="621"/>
      <c r="AFJ51" s="621"/>
      <c r="AFK51" s="621"/>
      <c r="AFL51" s="621"/>
      <c r="AFM51" s="621"/>
      <c r="AFN51" s="621"/>
      <c r="AFO51" s="621"/>
      <c r="AFP51" s="621"/>
      <c r="AFQ51" s="621"/>
      <c r="AFR51" s="621"/>
      <c r="AFS51" s="621"/>
      <c r="AFT51" s="621"/>
      <c r="AFU51" s="621"/>
      <c r="AFV51" s="621"/>
      <c r="AFW51" s="621"/>
      <c r="AFX51" s="621"/>
      <c r="AFY51" s="621"/>
      <c r="AFZ51" s="621"/>
      <c r="AGA51" s="621"/>
      <c r="AGB51" s="621"/>
      <c r="AGC51" s="621"/>
      <c r="AGD51" s="621"/>
      <c r="AGE51" s="621"/>
      <c r="AGF51" s="621"/>
      <c r="AGG51" s="621"/>
      <c r="AGH51" s="621"/>
      <c r="AGI51" s="621"/>
      <c r="AGJ51" s="621"/>
      <c r="AGK51" s="621"/>
      <c r="AGL51" s="621"/>
      <c r="AGM51" s="621"/>
      <c r="AGN51" s="621"/>
      <c r="AGO51" s="621"/>
      <c r="AGP51" s="621"/>
      <c r="AGQ51" s="621"/>
      <c r="AGR51" s="621"/>
      <c r="AGS51" s="621"/>
      <c r="AGT51" s="621"/>
      <c r="AGU51" s="621"/>
      <c r="AGV51" s="621"/>
      <c r="AGW51" s="621"/>
      <c r="AGX51" s="621"/>
      <c r="AGY51" s="621"/>
      <c r="AGZ51" s="621"/>
      <c r="AHA51" s="621"/>
      <c r="AHB51" s="621"/>
      <c r="AHC51" s="621"/>
      <c r="AHD51" s="621"/>
      <c r="AHE51" s="621"/>
      <c r="AHF51" s="621"/>
      <c r="AHG51" s="621"/>
      <c r="AHH51" s="621"/>
      <c r="AHI51" s="621"/>
      <c r="AHJ51" s="621"/>
      <c r="AHK51" s="621"/>
      <c r="AHL51" s="621"/>
      <c r="AHM51" s="621"/>
      <c r="AHN51" s="621"/>
      <c r="AHO51" s="621"/>
      <c r="AHP51" s="621"/>
      <c r="AHQ51" s="621"/>
      <c r="AHR51" s="621"/>
      <c r="AHS51" s="621"/>
      <c r="AHT51" s="621"/>
      <c r="AHU51" s="621"/>
      <c r="AHV51" s="621"/>
      <c r="AHW51" s="621"/>
      <c r="AHX51" s="621"/>
      <c r="AHY51" s="621"/>
      <c r="AHZ51" s="621"/>
      <c r="AIA51" s="621"/>
      <c r="AIB51" s="621"/>
      <c r="AIC51" s="621"/>
      <c r="AID51" s="621"/>
      <c r="AIE51" s="621"/>
      <c r="AIF51" s="621"/>
      <c r="AIG51" s="621"/>
      <c r="AIH51" s="621"/>
      <c r="AII51" s="621"/>
      <c r="AIJ51" s="621"/>
      <c r="AIK51" s="621"/>
      <c r="AIL51" s="621"/>
      <c r="AIM51" s="621"/>
      <c r="AIN51" s="621"/>
      <c r="AIO51" s="621"/>
      <c r="AIP51" s="621"/>
      <c r="AIQ51" s="621"/>
      <c r="AIR51" s="621"/>
      <c r="AIS51" s="621"/>
      <c r="AIT51" s="621"/>
      <c r="AIU51" s="621"/>
      <c r="AIV51" s="621"/>
      <c r="AIW51" s="621"/>
      <c r="AIX51" s="621"/>
      <c r="AIY51" s="621"/>
      <c r="AIZ51" s="621"/>
      <c r="AJA51" s="621"/>
      <c r="AJB51" s="621"/>
      <c r="AJC51" s="621"/>
      <c r="AJD51" s="621"/>
      <c r="AJE51" s="621"/>
      <c r="AJF51" s="621"/>
      <c r="AJG51" s="621"/>
      <c r="AJH51" s="621"/>
      <c r="AJI51" s="621"/>
      <c r="AJJ51" s="621"/>
      <c r="AJK51" s="621"/>
      <c r="AJL51" s="621"/>
      <c r="AJM51" s="621"/>
      <c r="AJN51" s="621"/>
      <c r="AJO51" s="621"/>
      <c r="AJP51" s="621"/>
      <c r="AJQ51" s="621"/>
      <c r="AJR51" s="621"/>
      <c r="AJS51" s="621"/>
      <c r="AJT51" s="621"/>
      <c r="AJU51" s="621"/>
      <c r="AJV51" s="621"/>
      <c r="AJW51" s="621"/>
      <c r="AJX51" s="621"/>
      <c r="AJY51" s="621"/>
      <c r="AJZ51" s="621"/>
      <c r="AKA51" s="621"/>
      <c r="AKB51" s="621"/>
      <c r="AKC51" s="621"/>
      <c r="AKD51" s="621"/>
      <c r="AKE51" s="621"/>
      <c r="AKF51" s="621"/>
      <c r="AKG51" s="621"/>
      <c r="AKH51" s="621"/>
      <c r="AKI51" s="621"/>
      <c r="AKJ51" s="621"/>
      <c r="AKK51" s="621"/>
      <c r="AKL51" s="621"/>
      <c r="AKM51" s="621"/>
      <c r="AKN51" s="621"/>
      <c r="AKO51" s="621"/>
      <c r="AKP51" s="621"/>
      <c r="AKQ51" s="621"/>
      <c r="AKR51" s="621"/>
      <c r="AKS51" s="621"/>
      <c r="AKT51" s="621"/>
      <c r="AKU51" s="621"/>
      <c r="AKV51" s="621"/>
      <c r="AKW51" s="621"/>
      <c r="AKX51" s="621"/>
      <c r="AKY51" s="621"/>
      <c r="AKZ51" s="621"/>
      <c r="ALA51" s="621"/>
      <c r="ALB51" s="621"/>
      <c r="ALC51" s="621"/>
      <c r="ALD51" s="621"/>
      <c r="ALE51" s="621"/>
      <c r="ALF51" s="621"/>
      <c r="ALG51" s="621"/>
      <c r="ALH51" s="621"/>
      <c r="ALI51" s="621"/>
      <c r="ALJ51" s="621"/>
      <c r="ALK51" s="621"/>
      <c r="ALL51" s="621"/>
      <c r="ALM51" s="621"/>
      <c r="ALN51" s="621"/>
      <c r="ALO51" s="621"/>
      <c r="ALP51" s="621"/>
      <c r="ALQ51" s="621"/>
      <c r="ALR51" s="621"/>
      <c r="ALS51" s="621"/>
      <c r="ALT51" s="621"/>
      <c r="ALU51" s="621"/>
      <c r="ALV51" s="621"/>
      <c r="ALW51" s="621"/>
      <c r="ALX51" s="621"/>
      <c r="ALY51" s="621"/>
      <c r="ALZ51" s="621"/>
      <c r="AMA51" s="621"/>
      <c r="AMB51" s="621"/>
      <c r="AMC51" s="621"/>
      <c r="AMD51" s="621"/>
      <c r="AME51" s="621"/>
      <c r="AMF51" s="621"/>
      <c r="AMG51" s="621"/>
      <c r="AMH51" s="621"/>
      <c r="AMI51" s="621"/>
      <c r="AMJ51" s="621"/>
      <c r="AMK51" s="621"/>
    </row>
    <row r="52" spans="1:1025" ht="28.5" customHeight="1">
      <c r="A52" s="374" t="s">
        <v>365</v>
      </c>
      <c r="B52" s="375" t="s">
        <v>716</v>
      </c>
      <c r="C52" s="1354">
        <f>D52*1.2</f>
        <v>63085.655999999995</v>
      </c>
      <c r="D52" s="1334">
        <v>52571.38</v>
      </c>
      <c r="E52" s="2043"/>
      <c r="F52" s="2043"/>
      <c r="G52" s="392"/>
      <c r="H52" s="429"/>
      <c r="I52" s="1497"/>
      <c r="J52" s="1498">
        <f>C57/D57</f>
        <v>1.0344735801818421</v>
      </c>
      <c r="K52" s="593"/>
      <c r="P52" s="272"/>
      <c r="Q52" s="436" t="s">
        <v>396</v>
      </c>
      <c r="R52" s="1495"/>
      <c r="S52" s="437"/>
      <c r="T52" s="272"/>
      <c r="U52" s="397"/>
      <c r="V52" s="440" t="s">
        <v>346</v>
      </c>
      <c r="W52" s="410">
        <v>24.335000000000001</v>
      </c>
      <c r="X52" s="441"/>
      <c r="Y52" s="411">
        <f t="shared" si="10"/>
        <v>0</v>
      </c>
      <c r="Z52" s="397"/>
      <c r="AA52" s="397"/>
      <c r="AE52" s="1471"/>
      <c r="AF52" s="1502" t="s">
        <v>120</v>
      </c>
      <c r="AG52" s="1494"/>
      <c r="AH52" s="1494">
        <v>8</v>
      </c>
      <c r="AI52" s="1494">
        <v>6</v>
      </c>
      <c r="AJ52" s="1494">
        <f t="shared" si="11"/>
        <v>0</v>
      </c>
      <c r="AK52" s="1494">
        <v>18</v>
      </c>
      <c r="AL52" s="1494">
        <f t="shared" si="12"/>
        <v>0</v>
      </c>
      <c r="AM52" s="1475">
        <f t="shared" si="13"/>
        <v>0</v>
      </c>
      <c r="AN52" s="1493">
        <v>550</v>
      </c>
      <c r="AO52" s="1475">
        <f t="shared" si="14"/>
        <v>0</v>
      </c>
      <c r="AP52" s="442"/>
      <c r="AQ52" s="621"/>
      <c r="AR52" s="621"/>
      <c r="AS52" s="621"/>
      <c r="AT52" s="621"/>
      <c r="AU52" s="621"/>
      <c r="AV52" s="621"/>
      <c r="AW52" s="621"/>
      <c r="AX52" s="621"/>
      <c r="AY52" s="621"/>
      <c r="AZ52" s="621"/>
      <c r="BA52" s="621"/>
      <c r="BB52" s="621"/>
      <c r="BC52" s="621"/>
      <c r="BD52" s="621"/>
      <c r="BE52" s="621"/>
      <c r="BF52" s="621"/>
      <c r="BG52" s="621"/>
      <c r="BH52" s="621"/>
      <c r="BI52" s="621"/>
      <c r="BJ52" s="621"/>
      <c r="BK52" s="621"/>
      <c r="BL52" s="621"/>
      <c r="BM52" s="621"/>
      <c r="BN52" s="621"/>
      <c r="BO52" s="621"/>
      <c r="BP52" s="621"/>
      <c r="BQ52" s="621"/>
      <c r="BR52" s="621"/>
      <c r="BS52" s="621"/>
      <c r="BT52" s="621"/>
      <c r="BU52" s="621"/>
      <c r="BV52" s="621"/>
      <c r="BW52" s="621"/>
      <c r="BX52" s="621"/>
      <c r="BY52" s="621"/>
      <c r="BZ52" s="621"/>
      <c r="CA52" s="621"/>
      <c r="CB52" s="621"/>
      <c r="CC52" s="621"/>
      <c r="CD52" s="621"/>
      <c r="CE52" s="621"/>
      <c r="CF52" s="621"/>
      <c r="CG52" s="621"/>
      <c r="CH52" s="621"/>
      <c r="CI52" s="621"/>
      <c r="CJ52" s="621"/>
      <c r="CK52" s="621"/>
      <c r="CL52" s="621"/>
      <c r="CM52" s="621"/>
      <c r="CN52" s="621"/>
      <c r="CO52" s="621"/>
      <c r="CP52" s="621"/>
      <c r="CQ52" s="621"/>
      <c r="CR52" s="621"/>
      <c r="CS52" s="621"/>
      <c r="CT52" s="621"/>
      <c r="CU52" s="621"/>
      <c r="CV52" s="621"/>
      <c r="CW52" s="621"/>
      <c r="CX52" s="621"/>
      <c r="CY52" s="621"/>
      <c r="CZ52" s="621"/>
      <c r="DA52" s="621"/>
      <c r="DB52" s="621"/>
      <c r="DC52" s="621"/>
      <c r="DD52" s="621"/>
      <c r="DE52" s="621"/>
      <c r="DF52" s="621"/>
      <c r="DG52" s="621"/>
      <c r="DH52" s="621"/>
      <c r="DI52" s="621"/>
      <c r="DJ52" s="621"/>
      <c r="DK52" s="621"/>
      <c r="DL52" s="621"/>
      <c r="DM52" s="621"/>
      <c r="DN52" s="621"/>
      <c r="DO52" s="621"/>
      <c r="DP52" s="621"/>
      <c r="DQ52" s="621"/>
      <c r="DR52" s="621"/>
      <c r="DS52" s="621"/>
      <c r="DT52" s="621"/>
      <c r="DU52" s="621"/>
      <c r="DV52" s="621"/>
      <c r="DW52" s="621"/>
      <c r="DX52" s="621"/>
      <c r="DY52" s="621"/>
      <c r="DZ52" s="621"/>
      <c r="EA52" s="621"/>
      <c r="EB52" s="621"/>
      <c r="EC52" s="621"/>
      <c r="ED52" s="621"/>
      <c r="EE52" s="621"/>
      <c r="EF52" s="621"/>
      <c r="EG52" s="621"/>
      <c r="EH52" s="621"/>
      <c r="EI52" s="621"/>
      <c r="EJ52" s="621"/>
      <c r="EK52" s="621"/>
      <c r="EL52" s="621"/>
      <c r="EM52" s="621"/>
      <c r="EN52" s="621"/>
      <c r="EO52" s="621"/>
      <c r="EP52" s="621"/>
      <c r="EQ52" s="621"/>
      <c r="ER52" s="621"/>
      <c r="ES52" s="621"/>
      <c r="ET52" s="621"/>
      <c r="EU52" s="621"/>
      <c r="EV52" s="621"/>
      <c r="EW52" s="621"/>
      <c r="EX52" s="621"/>
      <c r="EY52" s="621"/>
      <c r="EZ52" s="621"/>
      <c r="FA52" s="621"/>
      <c r="FB52" s="621"/>
      <c r="FC52" s="621"/>
      <c r="FD52" s="621"/>
      <c r="FE52" s="621"/>
      <c r="FF52" s="621"/>
      <c r="FG52" s="621"/>
      <c r="FH52" s="621"/>
      <c r="FI52" s="621"/>
      <c r="FJ52" s="621"/>
      <c r="FK52" s="621"/>
      <c r="FL52" s="621"/>
      <c r="FM52" s="621"/>
      <c r="FN52" s="621"/>
      <c r="FO52" s="621"/>
      <c r="FP52" s="621"/>
      <c r="FQ52" s="621"/>
      <c r="FR52" s="621"/>
      <c r="FS52" s="621"/>
      <c r="FT52" s="621"/>
      <c r="FU52" s="621"/>
      <c r="FV52" s="621"/>
      <c r="FW52" s="621"/>
      <c r="FX52" s="621"/>
      <c r="FY52" s="621"/>
      <c r="FZ52" s="621"/>
      <c r="GA52" s="621"/>
      <c r="GB52" s="621"/>
      <c r="GC52" s="621"/>
      <c r="GD52" s="621"/>
      <c r="GE52" s="621"/>
      <c r="GF52" s="621"/>
      <c r="GG52" s="621"/>
      <c r="GH52" s="621"/>
      <c r="GI52" s="621"/>
      <c r="GJ52" s="621"/>
      <c r="GK52" s="621"/>
      <c r="GL52" s="621"/>
      <c r="GM52" s="621"/>
      <c r="GN52" s="621"/>
      <c r="GO52" s="621"/>
      <c r="GP52" s="621"/>
      <c r="GQ52" s="621"/>
      <c r="GR52" s="621"/>
      <c r="GS52" s="621"/>
      <c r="GT52" s="621"/>
      <c r="GU52" s="621"/>
      <c r="GV52" s="621"/>
      <c r="GW52" s="621"/>
      <c r="GX52" s="621"/>
      <c r="GY52" s="621"/>
      <c r="GZ52" s="621"/>
      <c r="HA52" s="621"/>
      <c r="HB52" s="621"/>
      <c r="HC52" s="621"/>
      <c r="HD52" s="621"/>
      <c r="HE52" s="621"/>
      <c r="HF52" s="621"/>
      <c r="HG52" s="621"/>
      <c r="HH52" s="621"/>
      <c r="HI52" s="621"/>
      <c r="HJ52" s="621"/>
      <c r="HK52" s="621"/>
      <c r="HL52" s="621"/>
      <c r="HM52" s="621"/>
      <c r="HN52" s="621"/>
      <c r="HO52" s="621"/>
      <c r="HP52" s="621"/>
      <c r="HQ52" s="621"/>
      <c r="HR52" s="621"/>
      <c r="HS52" s="621"/>
      <c r="HT52" s="621"/>
      <c r="HU52" s="621"/>
      <c r="HV52" s="621"/>
      <c r="HW52" s="621"/>
      <c r="HX52" s="621"/>
      <c r="HY52" s="621"/>
      <c r="HZ52" s="621"/>
      <c r="IA52" s="621"/>
      <c r="IB52" s="621"/>
      <c r="IC52" s="621"/>
      <c r="ID52" s="621"/>
      <c r="IE52" s="621"/>
      <c r="IF52" s="621"/>
      <c r="IG52" s="621"/>
      <c r="IH52" s="621"/>
      <c r="II52" s="621"/>
      <c r="IJ52" s="621"/>
      <c r="IK52" s="621"/>
      <c r="IL52" s="621"/>
      <c r="IM52" s="621"/>
      <c r="IN52" s="621"/>
      <c r="IO52" s="621"/>
      <c r="IP52" s="621"/>
      <c r="IQ52" s="621"/>
      <c r="IR52" s="621"/>
      <c r="IS52" s="621"/>
      <c r="IT52" s="621"/>
      <c r="IU52" s="621"/>
      <c r="IV52" s="621"/>
      <c r="IW52" s="621"/>
      <c r="IX52" s="621"/>
      <c r="IY52" s="621"/>
      <c r="IZ52" s="621"/>
      <c r="JA52" s="621"/>
      <c r="JB52" s="621"/>
      <c r="JC52" s="621"/>
      <c r="JD52" s="621"/>
      <c r="JE52" s="621"/>
      <c r="JF52" s="621"/>
      <c r="JG52" s="621"/>
      <c r="JH52" s="621"/>
      <c r="JI52" s="621"/>
      <c r="JJ52" s="621"/>
      <c r="JK52" s="621"/>
      <c r="JL52" s="621"/>
      <c r="JM52" s="621"/>
      <c r="JN52" s="621"/>
      <c r="JO52" s="621"/>
      <c r="JP52" s="621"/>
      <c r="JQ52" s="621"/>
      <c r="JR52" s="621"/>
      <c r="JS52" s="621"/>
      <c r="JT52" s="621"/>
      <c r="JU52" s="621"/>
      <c r="JV52" s="621"/>
      <c r="JW52" s="621"/>
      <c r="JX52" s="621"/>
      <c r="JY52" s="621"/>
      <c r="JZ52" s="621"/>
      <c r="KA52" s="621"/>
      <c r="KB52" s="621"/>
      <c r="KC52" s="621"/>
      <c r="KD52" s="621"/>
      <c r="KE52" s="621"/>
      <c r="KF52" s="621"/>
      <c r="KG52" s="621"/>
      <c r="KH52" s="621"/>
      <c r="KI52" s="621"/>
      <c r="KJ52" s="621"/>
      <c r="KK52" s="621"/>
      <c r="KL52" s="621"/>
      <c r="KM52" s="621"/>
      <c r="KN52" s="621"/>
      <c r="KO52" s="621"/>
      <c r="KP52" s="621"/>
      <c r="KQ52" s="621"/>
      <c r="KR52" s="621"/>
      <c r="KS52" s="621"/>
      <c r="KT52" s="621"/>
      <c r="KU52" s="621"/>
      <c r="KV52" s="621"/>
      <c r="KW52" s="621"/>
      <c r="KX52" s="621"/>
      <c r="KY52" s="621"/>
      <c r="KZ52" s="621"/>
      <c r="LA52" s="621"/>
      <c r="LB52" s="621"/>
      <c r="LC52" s="621"/>
      <c r="LD52" s="621"/>
      <c r="LE52" s="621"/>
      <c r="LF52" s="621"/>
      <c r="LG52" s="621"/>
      <c r="LH52" s="621"/>
      <c r="LI52" s="621"/>
      <c r="LJ52" s="621"/>
      <c r="LK52" s="621"/>
      <c r="LL52" s="621"/>
      <c r="LM52" s="621"/>
      <c r="LN52" s="621"/>
      <c r="LO52" s="621"/>
      <c r="LP52" s="621"/>
      <c r="LQ52" s="621"/>
      <c r="LR52" s="621"/>
      <c r="LS52" s="621"/>
      <c r="LT52" s="621"/>
      <c r="LU52" s="621"/>
      <c r="LV52" s="621"/>
      <c r="LW52" s="621"/>
      <c r="LX52" s="621"/>
      <c r="LY52" s="621"/>
      <c r="LZ52" s="621"/>
      <c r="MA52" s="621"/>
      <c r="MB52" s="621"/>
      <c r="MC52" s="621"/>
      <c r="MD52" s="621"/>
      <c r="ME52" s="621"/>
      <c r="MF52" s="621"/>
      <c r="MG52" s="621"/>
      <c r="MH52" s="621"/>
      <c r="MI52" s="621"/>
      <c r="MJ52" s="621"/>
      <c r="MK52" s="621"/>
      <c r="ML52" s="621"/>
      <c r="MM52" s="621"/>
      <c r="MN52" s="621"/>
      <c r="MO52" s="621"/>
      <c r="MP52" s="621"/>
      <c r="MQ52" s="621"/>
      <c r="MR52" s="621"/>
      <c r="MS52" s="621"/>
      <c r="MT52" s="621"/>
      <c r="MU52" s="621"/>
      <c r="MV52" s="621"/>
      <c r="MW52" s="621"/>
      <c r="MX52" s="621"/>
      <c r="MY52" s="621"/>
      <c r="MZ52" s="621"/>
      <c r="NA52" s="621"/>
      <c r="NB52" s="621"/>
      <c r="NC52" s="621"/>
      <c r="ND52" s="621"/>
      <c r="NE52" s="621"/>
      <c r="NF52" s="621"/>
      <c r="NG52" s="621"/>
      <c r="NH52" s="621"/>
      <c r="NI52" s="621"/>
      <c r="NJ52" s="621"/>
      <c r="NK52" s="621"/>
      <c r="NL52" s="621"/>
      <c r="NM52" s="621"/>
      <c r="NN52" s="621"/>
      <c r="NO52" s="621"/>
      <c r="NP52" s="621"/>
      <c r="NQ52" s="621"/>
      <c r="NR52" s="621"/>
      <c r="NS52" s="621"/>
      <c r="NT52" s="621"/>
      <c r="NU52" s="621"/>
      <c r="NV52" s="621"/>
      <c r="NW52" s="621"/>
      <c r="NX52" s="621"/>
      <c r="NY52" s="621"/>
      <c r="NZ52" s="621"/>
      <c r="OA52" s="621"/>
      <c r="OB52" s="621"/>
      <c r="OC52" s="621"/>
      <c r="OD52" s="621"/>
      <c r="OE52" s="621"/>
      <c r="OF52" s="621"/>
      <c r="OG52" s="621"/>
      <c r="OH52" s="621"/>
      <c r="OI52" s="621"/>
      <c r="OJ52" s="621"/>
      <c r="OK52" s="621"/>
      <c r="OL52" s="621"/>
      <c r="OM52" s="621"/>
      <c r="ON52" s="621"/>
      <c r="OO52" s="621"/>
      <c r="OP52" s="621"/>
      <c r="OQ52" s="621"/>
      <c r="OR52" s="621"/>
      <c r="OS52" s="621"/>
      <c r="OT52" s="621"/>
      <c r="OU52" s="621"/>
      <c r="OV52" s="621"/>
      <c r="OW52" s="621"/>
      <c r="OX52" s="621"/>
      <c r="OY52" s="621"/>
      <c r="OZ52" s="621"/>
      <c r="PA52" s="621"/>
      <c r="PB52" s="621"/>
      <c r="PC52" s="621"/>
      <c r="PD52" s="621"/>
      <c r="PE52" s="621"/>
      <c r="PF52" s="621"/>
      <c r="PG52" s="621"/>
      <c r="PH52" s="621"/>
      <c r="PI52" s="621"/>
      <c r="PJ52" s="621"/>
      <c r="PK52" s="621"/>
      <c r="PL52" s="621"/>
      <c r="PM52" s="621"/>
      <c r="PN52" s="621"/>
      <c r="PO52" s="621"/>
      <c r="PP52" s="621"/>
      <c r="PQ52" s="621"/>
      <c r="PR52" s="621"/>
      <c r="PS52" s="621"/>
      <c r="PT52" s="621"/>
      <c r="PU52" s="621"/>
      <c r="PV52" s="621"/>
      <c r="PW52" s="621"/>
      <c r="PX52" s="621"/>
      <c r="PY52" s="621"/>
      <c r="PZ52" s="621"/>
      <c r="QA52" s="621"/>
      <c r="QB52" s="621"/>
      <c r="QC52" s="621"/>
      <c r="QD52" s="621"/>
      <c r="QE52" s="621"/>
      <c r="QF52" s="621"/>
      <c r="QG52" s="621"/>
      <c r="QH52" s="621"/>
      <c r="QI52" s="621"/>
      <c r="QJ52" s="621"/>
      <c r="QK52" s="621"/>
      <c r="QL52" s="621"/>
      <c r="QM52" s="621"/>
      <c r="QN52" s="621"/>
      <c r="QO52" s="621"/>
      <c r="QP52" s="621"/>
      <c r="QQ52" s="621"/>
      <c r="QR52" s="621"/>
      <c r="QS52" s="621"/>
      <c r="QT52" s="621"/>
      <c r="QU52" s="621"/>
      <c r="QV52" s="621"/>
      <c r="QW52" s="621"/>
      <c r="QX52" s="621"/>
      <c r="QY52" s="621"/>
      <c r="QZ52" s="621"/>
      <c r="RA52" s="621"/>
      <c r="RB52" s="621"/>
      <c r="RC52" s="621"/>
      <c r="RD52" s="621"/>
      <c r="RE52" s="621"/>
      <c r="RF52" s="621"/>
      <c r="RG52" s="621"/>
      <c r="RH52" s="621"/>
      <c r="RI52" s="621"/>
      <c r="RJ52" s="621"/>
      <c r="RK52" s="621"/>
      <c r="RL52" s="621"/>
      <c r="RM52" s="621"/>
      <c r="RN52" s="621"/>
      <c r="RO52" s="621"/>
      <c r="RP52" s="621"/>
      <c r="RQ52" s="621"/>
      <c r="RR52" s="621"/>
      <c r="RS52" s="621"/>
      <c r="RT52" s="621"/>
      <c r="RU52" s="621"/>
      <c r="RV52" s="621"/>
      <c r="RW52" s="621"/>
      <c r="RX52" s="621"/>
      <c r="RY52" s="621"/>
      <c r="RZ52" s="621"/>
      <c r="SA52" s="621"/>
      <c r="SB52" s="621"/>
      <c r="SC52" s="621"/>
      <c r="SD52" s="621"/>
      <c r="SE52" s="621"/>
      <c r="SF52" s="621"/>
      <c r="SG52" s="621"/>
      <c r="SH52" s="621"/>
      <c r="SI52" s="621"/>
      <c r="SJ52" s="621"/>
      <c r="SK52" s="621"/>
      <c r="SL52" s="621"/>
      <c r="SM52" s="621"/>
      <c r="SN52" s="621"/>
      <c r="SO52" s="621"/>
      <c r="SP52" s="621"/>
      <c r="SQ52" s="621"/>
      <c r="SR52" s="621"/>
      <c r="SS52" s="621"/>
      <c r="ST52" s="621"/>
      <c r="SU52" s="621"/>
      <c r="SV52" s="621"/>
      <c r="SW52" s="621"/>
      <c r="SX52" s="621"/>
      <c r="SY52" s="621"/>
      <c r="SZ52" s="621"/>
      <c r="TA52" s="621"/>
      <c r="TB52" s="621"/>
      <c r="TC52" s="621"/>
      <c r="TD52" s="621"/>
      <c r="TE52" s="621"/>
      <c r="TF52" s="621"/>
      <c r="TG52" s="621"/>
      <c r="TH52" s="621"/>
      <c r="TI52" s="621"/>
      <c r="TJ52" s="621"/>
      <c r="TK52" s="621"/>
      <c r="TL52" s="621"/>
      <c r="TM52" s="621"/>
      <c r="TN52" s="621"/>
      <c r="TO52" s="621"/>
      <c r="TP52" s="621"/>
      <c r="TQ52" s="621"/>
      <c r="TR52" s="621"/>
      <c r="TS52" s="621"/>
      <c r="TT52" s="621"/>
      <c r="TU52" s="621"/>
      <c r="TV52" s="621"/>
      <c r="TW52" s="621"/>
      <c r="TX52" s="621"/>
      <c r="TY52" s="621"/>
      <c r="TZ52" s="621"/>
      <c r="UA52" s="621"/>
      <c r="UB52" s="621"/>
      <c r="UC52" s="621"/>
      <c r="UD52" s="621"/>
      <c r="UE52" s="621"/>
      <c r="UF52" s="621"/>
      <c r="UG52" s="621"/>
      <c r="UH52" s="621"/>
      <c r="UI52" s="621"/>
      <c r="UJ52" s="621"/>
      <c r="UK52" s="621"/>
      <c r="UL52" s="621"/>
      <c r="UM52" s="621"/>
      <c r="UN52" s="621"/>
      <c r="UO52" s="621"/>
      <c r="UP52" s="621"/>
      <c r="UQ52" s="621"/>
      <c r="UR52" s="621"/>
      <c r="US52" s="621"/>
      <c r="UT52" s="621"/>
      <c r="UU52" s="621"/>
      <c r="UV52" s="621"/>
      <c r="UW52" s="621"/>
      <c r="UX52" s="621"/>
      <c r="UY52" s="621"/>
      <c r="UZ52" s="621"/>
      <c r="VA52" s="621"/>
      <c r="VB52" s="621"/>
      <c r="VC52" s="621"/>
      <c r="VD52" s="621"/>
      <c r="VE52" s="621"/>
      <c r="VF52" s="621"/>
      <c r="VG52" s="621"/>
      <c r="VH52" s="621"/>
      <c r="VI52" s="621"/>
      <c r="VJ52" s="621"/>
      <c r="VK52" s="621"/>
      <c r="VL52" s="621"/>
      <c r="VM52" s="621"/>
      <c r="VN52" s="621"/>
      <c r="VO52" s="621"/>
      <c r="VP52" s="621"/>
      <c r="VQ52" s="621"/>
      <c r="VR52" s="621"/>
      <c r="VS52" s="621"/>
      <c r="VT52" s="621"/>
      <c r="VU52" s="621"/>
      <c r="VV52" s="621"/>
      <c r="VW52" s="621"/>
      <c r="VX52" s="621"/>
      <c r="VY52" s="621"/>
      <c r="VZ52" s="621"/>
      <c r="WA52" s="621"/>
      <c r="WB52" s="621"/>
      <c r="WC52" s="621"/>
      <c r="WD52" s="621"/>
      <c r="WE52" s="621"/>
      <c r="WF52" s="621"/>
      <c r="WG52" s="621"/>
      <c r="WH52" s="621"/>
      <c r="WI52" s="621"/>
      <c r="WJ52" s="621"/>
      <c r="WK52" s="621"/>
      <c r="WL52" s="621"/>
      <c r="WM52" s="621"/>
      <c r="WN52" s="621"/>
      <c r="WO52" s="621"/>
      <c r="WP52" s="621"/>
      <c r="WQ52" s="621"/>
      <c r="WR52" s="621"/>
      <c r="WS52" s="621"/>
      <c r="WT52" s="621"/>
      <c r="WU52" s="621"/>
      <c r="WV52" s="621"/>
      <c r="WW52" s="621"/>
      <c r="WX52" s="621"/>
      <c r="WY52" s="621"/>
      <c r="WZ52" s="621"/>
      <c r="XA52" s="621"/>
      <c r="XB52" s="621"/>
      <c r="XC52" s="621"/>
      <c r="XD52" s="621"/>
      <c r="XE52" s="621"/>
      <c r="XF52" s="621"/>
      <c r="XG52" s="621"/>
      <c r="XH52" s="621"/>
      <c r="XI52" s="621"/>
      <c r="XJ52" s="621"/>
      <c r="XK52" s="621"/>
      <c r="XL52" s="621"/>
      <c r="XM52" s="621"/>
      <c r="XN52" s="621"/>
      <c r="XO52" s="621"/>
      <c r="XP52" s="621"/>
      <c r="XQ52" s="621"/>
      <c r="XR52" s="621"/>
      <c r="XS52" s="621"/>
      <c r="XT52" s="621"/>
      <c r="XU52" s="621"/>
      <c r="XV52" s="621"/>
      <c r="XW52" s="621"/>
      <c r="XX52" s="621"/>
      <c r="XY52" s="621"/>
      <c r="XZ52" s="621"/>
      <c r="YA52" s="621"/>
      <c r="YB52" s="621"/>
      <c r="YC52" s="621"/>
      <c r="YD52" s="621"/>
      <c r="YE52" s="621"/>
      <c r="YF52" s="621"/>
      <c r="YG52" s="621"/>
      <c r="YH52" s="621"/>
      <c r="YI52" s="621"/>
      <c r="YJ52" s="621"/>
      <c r="YK52" s="621"/>
      <c r="YL52" s="621"/>
      <c r="YM52" s="621"/>
      <c r="YN52" s="621"/>
      <c r="YO52" s="621"/>
      <c r="YP52" s="621"/>
      <c r="YQ52" s="621"/>
      <c r="YR52" s="621"/>
      <c r="YS52" s="621"/>
      <c r="YT52" s="621"/>
      <c r="YU52" s="621"/>
      <c r="YV52" s="621"/>
      <c r="YW52" s="621"/>
      <c r="YX52" s="621"/>
      <c r="YY52" s="621"/>
      <c r="YZ52" s="621"/>
      <c r="ZA52" s="621"/>
      <c r="ZB52" s="621"/>
      <c r="ZC52" s="621"/>
      <c r="ZD52" s="621"/>
      <c r="ZE52" s="621"/>
      <c r="ZF52" s="621"/>
      <c r="ZG52" s="621"/>
      <c r="ZH52" s="621"/>
      <c r="ZI52" s="621"/>
      <c r="ZJ52" s="621"/>
      <c r="ZK52" s="621"/>
      <c r="ZL52" s="621"/>
      <c r="ZM52" s="621"/>
      <c r="ZN52" s="621"/>
      <c r="ZO52" s="621"/>
      <c r="ZP52" s="621"/>
      <c r="ZQ52" s="621"/>
      <c r="ZR52" s="621"/>
      <c r="ZS52" s="621"/>
      <c r="ZT52" s="621"/>
      <c r="ZU52" s="621"/>
      <c r="ZV52" s="621"/>
      <c r="ZW52" s="621"/>
      <c r="ZX52" s="621"/>
      <c r="ZY52" s="621"/>
      <c r="ZZ52" s="621"/>
      <c r="AAA52" s="621"/>
      <c r="AAB52" s="621"/>
      <c r="AAC52" s="621"/>
      <c r="AAD52" s="621"/>
      <c r="AAE52" s="621"/>
      <c r="AAF52" s="621"/>
      <c r="AAG52" s="621"/>
      <c r="AAH52" s="621"/>
      <c r="AAI52" s="621"/>
      <c r="AAJ52" s="621"/>
      <c r="AAK52" s="621"/>
      <c r="AAL52" s="621"/>
      <c r="AAM52" s="621"/>
      <c r="AAN52" s="621"/>
      <c r="AAO52" s="621"/>
      <c r="AAP52" s="621"/>
      <c r="AAQ52" s="621"/>
      <c r="AAR52" s="621"/>
      <c r="AAS52" s="621"/>
      <c r="AAT52" s="621"/>
      <c r="AAU52" s="621"/>
      <c r="AAV52" s="621"/>
      <c r="AAW52" s="621"/>
      <c r="AAX52" s="621"/>
      <c r="AAY52" s="621"/>
      <c r="AAZ52" s="621"/>
      <c r="ABA52" s="621"/>
      <c r="ABB52" s="621"/>
      <c r="ABC52" s="621"/>
      <c r="ABD52" s="621"/>
      <c r="ABE52" s="621"/>
      <c r="ABF52" s="621"/>
      <c r="ABG52" s="621"/>
      <c r="ABH52" s="621"/>
      <c r="ABI52" s="621"/>
      <c r="ABJ52" s="621"/>
      <c r="ABK52" s="621"/>
      <c r="ABL52" s="621"/>
      <c r="ABM52" s="621"/>
      <c r="ABN52" s="621"/>
      <c r="ABO52" s="621"/>
      <c r="ABP52" s="621"/>
      <c r="ABQ52" s="621"/>
      <c r="ABR52" s="621"/>
      <c r="ABS52" s="621"/>
      <c r="ABT52" s="621"/>
      <c r="ABU52" s="621"/>
      <c r="ABV52" s="621"/>
      <c r="ABW52" s="621"/>
      <c r="ABX52" s="621"/>
      <c r="ABY52" s="621"/>
      <c r="ABZ52" s="621"/>
      <c r="ACA52" s="621"/>
      <c r="ACB52" s="621"/>
      <c r="ACC52" s="621"/>
      <c r="ACD52" s="621"/>
      <c r="ACE52" s="621"/>
      <c r="ACF52" s="621"/>
      <c r="ACG52" s="621"/>
      <c r="ACH52" s="621"/>
      <c r="ACI52" s="621"/>
      <c r="ACJ52" s="621"/>
      <c r="ACK52" s="621"/>
      <c r="ACL52" s="621"/>
      <c r="ACM52" s="621"/>
      <c r="ACN52" s="621"/>
      <c r="ACO52" s="621"/>
      <c r="ACP52" s="621"/>
      <c r="ACQ52" s="621"/>
      <c r="ACR52" s="621"/>
      <c r="ACS52" s="621"/>
      <c r="ACT52" s="621"/>
      <c r="ACU52" s="621"/>
      <c r="ACV52" s="621"/>
      <c r="ACW52" s="621"/>
      <c r="ACX52" s="621"/>
      <c r="ACY52" s="621"/>
      <c r="ACZ52" s="621"/>
      <c r="ADA52" s="621"/>
      <c r="ADB52" s="621"/>
      <c r="ADC52" s="621"/>
      <c r="ADD52" s="621"/>
      <c r="ADE52" s="621"/>
      <c r="ADF52" s="621"/>
      <c r="ADG52" s="621"/>
      <c r="ADH52" s="621"/>
      <c r="ADI52" s="621"/>
      <c r="ADJ52" s="621"/>
      <c r="ADK52" s="621"/>
      <c r="ADL52" s="621"/>
      <c r="ADM52" s="621"/>
      <c r="ADN52" s="621"/>
      <c r="ADO52" s="621"/>
      <c r="ADP52" s="621"/>
      <c r="ADQ52" s="621"/>
      <c r="ADR52" s="621"/>
      <c r="ADS52" s="621"/>
      <c r="ADT52" s="621"/>
      <c r="ADU52" s="621"/>
      <c r="ADV52" s="621"/>
      <c r="ADW52" s="621"/>
      <c r="ADX52" s="621"/>
      <c r="ADY52" s="621"/>
      <c r="ADZ52" s="621"/>
      <c r="AEA52" s="621"/>
      <c r="AEB52" s="621"/>
      <c r="AEC52" s="621"/>
      <c r="AED52" s="621"/>
      <c r="AEE52" s="621"/>
      <c r="AEF52" s="621"/>
      <c r="AEG52" s="621"/>
      <c r="AEH52" s="621"/>
      <c r="AEI52" s="621"/>
      <c r="AEJ52" s="621"/>
      <c r="AEK52" s="621"/>
      <c r="AEL52" s="621"/>
      <c r="AEM52" s="621"/>
      <c r="AEN52" s="621"/>
      <c r="AEO52" s="621"/>
      <c r="AEP52" s="621"/>
      <c r="AEQ52" s="621"/>
      <c r="AER52" s="621"/>
      <c r="AES52" s="621"/>
      <c r="AET52" s="621"/>
      <c r="AEU52" s="621"/>
      <c r="AEV52" s="621"/>
      <c r="AEW52" s="621"/>
      <c r="AEX52" s="621"/>
      <c r="AEY52" s="621"/>
      <c r="AEZ52" s="621"/>
      <c r="AFA52" s="621"/>
      <c r="AFB52" s="621"/>
      <c r="AFC52" s="621"/>
      <c r="AFD52" s="621"/>
      <c r="AFE52" s="621"/>
      <c r="AFF52" s="621"/>
      <c r="AFG52" s="621"/>
      <c r="AFH52" s="621"/>
      <c r="AFI52" s="621"/>
      <c r="AFJ52" s="621"/>
      <c r="AFK52" s="621"/>
      <c r="AFL52" s="621"/>
      <c r="AFM52" s="621"/>
      <c r="AFN52" s="621"/>
      <c r="AFO52" s="621"/>
      <c r="AFP52" s="621"/>
      <c r="AFQ52" s="621"/>
      <c r="AFR52" s="621"/>
      <c r="AFS52" s="621"/>
      <c r="AFT52" s="621"/>
      <c r="AFU52" s="621"/>
      <c r="AFV52" s="621"/>
      <c r="AFW52" s="621"/>
      <c r="AFX52" s="621"/>
      <c r="AFY52" s="621"/>
      <c r="AFZ52" s="621"/>
      <c r="AGA52" s="621"/>
      <c r="AGB52" s="621"/>
      <c r="AGC52" s="621"/>
      <c r="AGD52" s="621"/>
      <c r="AGE52" s="621"/>
      <c r="AGF52" s="621"/>
      <c r="AGG52" s="621"/>
      <c r="AGH52" s="621"/>
      <c r="AGI52" s="621"/>
      <c r="AGJ52" s="621"/>
      <c r="AGK52" s="621"/>
      <c r="AGL52" s="621"/>
      <c r="AGM52" s="621"/>
      <c r="AGN52" s="621"/>
      <c r="AGO52" s="621"/>
      <c r="AGP52" s="621"/>
      <c r="AGQ52" s="621"/>
      <c r="AGR52" s="621"/>
      <c r="AGS52" s="621"/>
      <c r="AGT52" s="621"/>
      <c r="AGU52" s="621"/>
      <c r="AGV52" s="621"/>
      <c r="AGW52" s="621"/>
      <c r="AGX52" s="621"/>
      <c r="AGY52" s="621"/>
      <c r="AGZ52" s="621"/>
      <c r="AHA52" s="621"/>
      <c r="AHB52" s="621"/>
      <c r="AHC52" s="621"/>
      <c r="AHD52" s="621"/>
      <c r="AHE52" s="621"/>
      <c r="AHF52" s="621"/>
      <c r="AHG52" s="621"/>
      <c r="AHH52" s="621"/>
      <c r="AHI52" s="621"/>
      <c r="AHJ52" s="621"/>
      <c r="AHK52" s="621"/>
      <c r="AHL52" s="621"/>
      <c r="AHM52" s="621"/>
      <c r="AHN52" s="621"/>
      <c r="AHO52" s="621"/>
      <c r="AHP52" s="621"/>
      <c r="AHQ52" s="621"/>
      <c r="AHR52" s="621"/>
      <c r="AHS52" s="621"/>
      <c r="AHT52" s="621"/>
      <c r="AHU52" s="621"/>
      <c r="AHV52" s="621"/>
      <c r="AHW52" s="621"/>
      <c r="AHX52" s="621"/>
      <c r="AHY52" s="621"/>
      <c r="AHZ52" s="621"/>
      <c r="AIA52" s="621"/>
      <c r="AIB52" s="621"/>
      <c r="AIC52" s="621"/>
      <c r="AID52" s="621"/>
      <c r="AIE52" s="621"/>
      <c r="AIF52" s="621"/>
      <c r="AIG52" s="621"/>
      <c r="AIH52" s="621"/>
      <c r="AII52" s="621"/>
      <c r="AIJ52" s="621"/>
      <c r="AIK52" s="621"/>
      <c r="AIL52" s="621"/>
      <c r="AIM52" s="621"/>
      <c r="AIN52" s="621"/>
      <c r="AIO52" s="621"/>
      <c r="AIP52" s="621"/>
      <c r="AIQ52" s="621"/>
      <c r="AIR52" s="621"/>
      <c r="AIS52" s="621"/>
      <c r="AIT52" s="621"/>
      <c r="AIU52" s="621"/>
      <c r="AIV52" s="621"/>
      <c r="AIW52" s="621"/>
      <c r="AIX52" s="621"/>
      <c r="AIY52" s="621"/>
      <c r="AIZ52" s="621"/>
      <c r="AJA52" s="621"/>
      <c r="AJB52" s="621"/>
      <c r="AJC52" s="621"/>
      <c r="AJD52" s="621"/>
      <c r="AJE52" s="621"/>
      <c r="AJF52" s="621"/>
      <c r="AJG52" s="621"/>
      <c r="AJH52" s="621"/>
      <c r="AJI52" s="621"/>
      <c r="AJJ52" s="621"/>
      <c r="AJK52" s="621"/>
      <c r="AJL52" s="621"/>
      <c r="AJM52" s="621"/>
      <c r="AJN52" s="621"/>
      <c r="AJO52" s="621"/>
      <c r="AJP52" s="621"/>
      <c r="AJQ52" s="621"/>
      <c r="AJR52" s="621"/>
      <c r="AJS52" s="621"/>
      <c r="AJT52" s="621"/>
      <c r="AJU52" s="621"/>
      <c r="AJV52" s="621"/>
      <c r="AJW52" s="621"/>
      <c r="AJX52" s="621"/>
      <c r="AJY52" s="621"/>
      <c r="AJZ52" s="621"/>
      <c r="AKA52" s="621"/>
      <c r="AKB52" s="621"/>
      <c r="AKC52" s="621"/>
      <c r="AKD52" s="621"/>
      <c r="AKE52" s="621"/>
      <c r="AKF52" s="621"/>
      <c r="AKG52" s="621"/>
      <c r="AKH52" s="621"/>
      <c r="AKI52" s="621"/>
      <c r="AKJ52" s="621"/>
      <c r="AKK52" s="621"/>
      <c r="AKL52" s="621"/>
      <c r="AKM52" s="621"/>
      <c r="AKN52" s="621"/>
      <c r="AKO52" s="621"/>
      <c r="AKP52" s="621"/>
      <c r="AKQ52" s="621"/>
      <c r="AKR52" s="621"/>
      <c r="AKS52" s="621"/>
      <c r="AKT52" s="621"/>
      <c r="AKU52" s="621"/>
      <c r="AKV52" s="621"/>
      <c r="AKW52" s="621"/>
      <c r="AKX52" s="621"/>
      <c r="AKY52" s="621"/>
      <c r="AKZ52" s="621"/>
      <c r="ALA52" s="621"/>
      <c r="ALB52" s="621"/>
      <c r="ALC52" s="621"/>
      <c r="ALD52" s="621"/>
      <c r="ALE52" s="621"/>
      <c r="ALF52" s="621"/>
      <c r="ALG52" s="621"/>
      <c r="ALH52" s="621"/>
      <c r="ALI52" s="621"/>
      <c r="ALJ52" s="621"/>
      <c r="ALK52" s="621"/>
      <c r="ALL52" s="621"/>
      <c r="ALM52" s="621"/>
      <c r="ALN52" s="621"/>
      <c r="ALO52" s="621"/>
      <c r="ALP52" s="621"/>
      <c r="ALQ52" s="621"/>
      <c r="ALR52" s="621"/>
      <c r="ALS52" s="621"/>
      <c r="ALT52" s="621"/>
      <c r="ALU52" s="621"/>
      <c r="ALV52" s="621"/>
      <c r="ALW52" s="621"/>
      <c r="ALX52" s="621"/>
      <c r="ALY52" s="621"/>
      <c r="ALZ52" s="621"/>
      <c r="AMA52" s="621"/>
      <c r="AMB52" s="621"/>
      <c r="AMC52" s="621"/>
      <c r="AMD52" s="621"/>
      <c r="AME52" s="621"/>
      <c r="AMF52" s="621"/>
      <c r="AMG52" s="621"/>
      <c r="AMH52" s="621"/>
      <c r="AMI52" s="621"/>
      <c r="AMJ52" s="621"/>
      <c r="AMK52" s="621"/>
    </row>
    <row r="53" spans="1:1025" ht="40.5" customHeight="1">
      <c r="A53" s="374">
        <v>2.2999999999999998</v>
      </c>
      <c r="B53" s="892" t="s">
        <v>397</v>
      </c>
      <c r="C53" s="408">
        <f>SUM(C54:C55)</f>
        <v>0</v>
      </c>
      <c r="D53" s="418">
        <f>SUM(D54:D55)</f>
        <v>0</v>
      </c>
      <c r="E53" s="2043"/>
      <c r="F53" s="2043"/>
      <c r="G53" s="443"/>
      <c r="H53" s="420"/>
      <c r="I53" s="594"/>
      <c r="J53" s="549">
        <v>88557.110499999995</v>
      </c>
      <c r="K53" s="594">
        <f>+D53-J53</f>
        <v>-88557.110499999995</v>
      </c>
      <c r="P53" s="272"/>
      <c r="Q53" s="444"/>
      <c r="R53" s="542"/>
      <c r="S53" s="437"/>
      <c r="T53" s="272"/>
      <c r="U53" s="397"/>
      <c r="V53" s="328" t="s">
        <v>351</v>
      </c>
      <c r="W53" s="410">
        <v>41.387</v>
      </c>
      <c r="X53" s="441"/>
      <c r="Y53" s="411">
        <f t="shared" si="10"/>
        <v>0</v>
      </c>
      <c r="Z53" s="397"/>
      <c r="AA53" s="397"/>
      <c r="AC53" s="253">
        <v>2450</v>
      </c>
      <c r="AD53" s="1455"/>
      <c r="AE53" s="1486"/>
      <c r="AF53" s="1500" t="s">
        <v>123</v>
      </c>
      <c r="AG53" s="1485">
        <v>1</v>
      </c>
      <c r="AH53" s="1485">
        <v>1</v>
      </c>
      <c r="AI53" s="1485">
        <v>6</v>
      </c>
      <c r="AJ53" s="1485">
        <f t="shared" si="11"/>
        <v>6</v>
      </c>
      <c r="AK53" s="1485">
        <v>8</v>
      </c>
      <c r="AL53" s="1485">
        <f t="shared" si="12"/>
        <v>48</v>
      </c>
      <c r="AM53" s="1475">
        <f t="shared" si="13"/>
        <v>458.40000000000003</v>
      </c>
      <c r="AN53" s="1484">
        <v>280</v>
      </c>
      <c r="AO53" s="1483">
        <f t="shared" si="14"/>
        <v>1680</v>
      </c>
      <c r="AP53" s="442"/>
      <c r="AQ53" s="621"/>
      <c r="AR53" s="621"/>
      <c r="AS53" s="621"/>
      <c r="AT53" s="621"/>
      <c r="AU53" s="621"/>
      <c r="AV53" s="621"/>
      <c r="AW53" s="621"/>
      <c r="AX53" s="621"/>
      <c r="AY53" s="621"/>
      <c r="AZ53" s="621"/>
      <c r="BA53" s="621"/>
      <c r="BB53" s="621"/>
      <c r="BC53" s="621"/>
      <c r="BD53" s="621"/>
      <c r="BE53" s="621"/>
      <c r="BF53" s="621"/>
      <c r="BG53" s="621"/>
      <c r="BH53" s="621"/>
      <c r="BI53" s="621"/>
      <c r="BJ53" s="621"/>
      <c r="BK53" s="621"/>
      <c r="BL53" s="621"/>
      <c r="BM53" s="621"/>
      <c r="BN53" s="621"/>
      <c r="BO53" s="621"/>
      <c r="BP53" s="621"/>
      <c r="BQ53" s="621"/>
      <c r="BR53" s="621"/>
      <c r="BS53" s="621"/>
      <c r="BT53" s="621"/>
      <c r="BU53" s="621"/>
      <c r="BV53" s="621"/>
      <c r="BW53" s="621"/>
      <c r="BX53" s="621"/>
      <c r="BY53" s="621"/>
      <c r="BZ53" s="621"/>
      <c r="CA53" s="621"/>
      <c r="CB53" s="621"/>
      <c r="CC53" s="621"/>
      <c r="CD53" s="621"/>
      <c r="CE53" s="621"/>
      <c r="CF53" s="621"/>
      <c r="CG53" s="621"/>
      <c r="CH53" s="621"/>
      <c r="CI53" s="621"/>
      <c r="CJ53" s="621"/>
      <c r="CK53" s="621"/>
      <c r="CL53" s="621"/>
      <c r="CM53" s="621"/>
      <c r="CN53" s="621"/>
      <c r="CO53" s="621"/>
      <c r="CP53" s="621"/>
      <c r="CQ53" s="621"/>
      <c r="CR53" s="621"/>
      <c r="CS53" s="621"/>
      <c r="CT53" s="621"/>
      <c r="CU53" s="621"/>
      <c r="CV53" s="621"/>
      <c r="CW53" s="621"/>
      <c r="CX53" s="621"/>
      <c r="CY53" s="621"/>
      <c r="CZ53" s="621"/>
      <c r="DA53" s="621"/>
      <c r="DB53" s="621"/>
      <c r="DC53" s="621"/>
      <c r="DD53" s="621"/>
      <c r="DE53" s="621"/>
      <c r="DF53" s="621"/>
      <c r="DG53" s="621"/>
      <c r="DH53" s="621"/>
      <c r="DI53" s="621"/>
      <c r="DJ53" s="621"/>
      <c r="DK53" s="621"/>
      <c r="DL53" s="621"/>
      <c r="DM53" s="621"/>
      <c r="DN53" s="621"/>
      <c r="DO53" s="621"/>
      <c r="DP53" s="621"/>
      <c r="DQ53" s="621"/>
      <c r="DR53" s="621"/>
      <c r="DS53" s="621"/>
      <c r="DT53" s="621"/>
      <c r="DU53" s="621"/>
      <c r="DV53" s="621"/>
      <c r="DW53" s="621"/>
      <c r="DX53" s="621"/>
      <c r="DY53" s="621"/>
      <c r="DZ53" s="621"/>
      <c r="EA53" s="621"/>
      <c r="EB53" s="621"/>
      <c r="EC53" s="621"/>
      <c r="ED53" s="621"/>
      <c r="EE53" s="621"/>
      <c r="EF53" s="621"/>
      <c r="EG53" s="621"/>
      <c r="EH53" s="621"/>
      <c r="EI53" s="621"/>
      <c r="EJ53" s="621"/>
      <c r="EK53" s="621"/>
      <c r="EL53" s="621"/>
      <c r="EM53" s="621"/>
      <c r="EN53" s="621"/>
      <c r="EO53" s="621"/>
      <c r="EP53" s="621"/>
      <c r="EQ53" s="621"/>
      <c r="ER53" s="621"/>
      <c r="ES53" s="621"/>
      <c r="ET53" s="621"/>
      <c r="EU53" s="621"/>
      <c r="EV53" s="621"/>
      <c r="EW53" s="621"/>
      <c r="EX53" s="621"/>
      <c r="EY53" s="621"/>
      <c r="EZ53" s="621"/>
      <c r="FA53" s="621"/>
      <c r="FB53" s="621"/>
      <c r="FC53" s="621"/>
      <c r="FD53" s="621"/>
      <c r="FE53" s="621"/>
      <c r="FF53" s="621"/>
      <c r="FG53" s="621"/>
      <c r="FH53" s="621"/>
      <c r="FI53" s="621"/>
      <c r="FJ53" s="621"/>
      <c r="FK53" s="621"/>
      <c r="FL53" s="621"/>
      <c r="FM53" s="621"/>
      <c r="FN53" s="621"/>
      <c r="FO53" s="621"/>
      <c r="FP53" s="621"/>
      <c r="FQ53" s="621"/>
      <c r="FR53" s="621"/>
      <c r="FS53" s="621"/>
      <c r="FT53" s="621"/>
      <c r="FU53" s="621"/>
      <c r="FV53" s="621"/>
      <c r="FW53" s="621"/>
      <c r="FX53" s="621"/>
      <c r="FY53" s="621"/>
      <c r="FZ53" s="621"/>
      <c r="GA53" s="621"/>
      <c r="GB53" s="621"/>
      <c r="GC53" s="621"/>
      <c r="GD53" s="621"/>
      <c r="GE53" s="621"/>
      <c r="GF53" s="621"/>
      <c r="GG53" s="621"/>
      <c r="GH53" s="621"/>
      <c r="GI53" s="621"/>
      <c r="GJ53" s="621"/>
      <c r="GK53" s="621"/>
      <c r="GL53" s="621"/>
      <c r="GM53" s="621"/>
      <c r="GN53" s="621"/>
      <c r="GO53" s="621"/>
      <c r="GP53" s="621"/>
      <c r="GQ53" s="621"/>
      <c r="GR53" s="621"/>
      <c r="GS53" s="621"/>
      <c r="GT53" s="621"/>
      <c r="GU53" s="621"/>
      <c r="GV53" s="621"/>
      <c r="GW53" s="621"/>
      <c r="GX53" s="621"/>
      <c r="GY53" s="621"/>
      <c r="GZ53" s="621"/>
      <c r="HA53" s="621"/>
      <c r="HB53" s="621"/>
      <c r="HC53" s="621"/>
      <c r="HD53" s="621"/>
      <c r="HE53" s="621"/>
      <c r="HF53" s="621"/>
      <c r="HG53" s="621"/>
      <c r="HH53" s="621"/>
      <c r="HI53" s="621"/>
      <c r="HJ53" s="621"/>
      <c r="HK53" s="621"/>
      <c r="HL53" s="621"/>
      <c r="HM53" s="621"/>
      <c r="HN53" s="621"/>
      <c r="HO53" s="621"/>
      <c r="HP53" s="621"/>
      <c r="HQ53" s="621"/>
      <c r="HR53" s="621"/>
      <c r="HS53" s="621"/>
      <c r="HT53" s="621"/>
      <c r="HU53" s="621"/>
      <c r="HV53" s="621"/>
      <c r="HW53" s="621"/>
      <c r="HX53" s="621"/>
      <c r="HY53" s="621"/>
      <c r="HZ53" s="621"/>
      <c r="IA53" s="621"/>
      <c r="IB53" s="621"/>
      <c r="IC53" s="621"/>
      <c r="ID53" s="621"/>
      <c r="IE53" s="621"/>
      <c r="IF53" s="621"/>
      <c r="IG53" s="621"/>
      <c r="IH53" s="621"/>
      <c r="II53" s="621"/>
      <c r="IJ53" s="621"/>
      <c r="IK53" s="621"/>
      <c r="IL53" s="621"/>
      <c r="IM53" s="621"/>
      <c r="IN53" s="621"/>
      <c r="IO53" s="621"/>
      <c r="IP53" s="621"/>
      <c r="IQ53" s="621"/>
      <c r="IR53" s="621"/>
      <c r="IS53" s="621"/>
      <c r="IT53" s="621"/>
      <c r="IU53" s="621"/>
      <c r="IV53" s="621"/>
      <c r="IW53" s="621"/>
      <c r="IX53" s="621"/>
      <c r="IY53" s="621"/>
      <c r="IZ53" s="621"/>
      <c r="JA53" s="621"/>
      <c r="JB53" s="621"/>
      <c r="JC53" s="621"/>
      <c r="JD53" s="621"/>
      <c r="JE53" s="621"/>
      <c r="JF53" s="621"/>
      <c r="JG53" s="621"/>
      <c r="JH53" s="621"/>
      <c r="JI53" s="621"/>
      <c r="JJ53" s="621"/>
      <c r="JK53" s="621"/>
      <c r="JL53" s="621"/>
      <c r="JM53" s="621"/>
      <c r="JN53" s="621"/>
      <c r="JO53" s="621"/>
      <c r="JP53" s="621"/>
      <c r="JQ53" s="621"/>
      <c r="JR53" s="621"/>
      <c r="JS53" s="621"/>
      <c r="JT53" s="621"/>
      <c r="JU53" s="621"/>
      <c r="JV53" s="621"/>
      <c r="JW53" s="621"/>
      <c r="JX53" s="621"/>
      <c r="JY53" s="621"/>
      <c r="JZ53" s="621"/>
      <c r="KA53" s="621"/>
      <c r="KB53" s="621"/>
      <c r="KC53" s="621"/>
      <c r="KD53" s="621"/>
      <c r="KE53" s="621"/>
      <c r="KF53" s="621"/>
      <c r="KG53" s="621"/>
      <c r="KH53" s="621"/>
      <c r="KI53" s="621"/>
      <c r="KJ53" s="621"/>
      <c r="KK53" s="621"/>
      <c r="KL53" s="621"/>
      <c r="KM53" s="621"/>
      <c r="KN53" s="621"/>
      <c r="KO53" s="621"/>
      <c r="KP53" s="621"/>
      <c r="KQ53" s="621"/>
      <c r="KR53" s="621"/>
      <c r="KS53" s="621"/>
      <c r="KT53" s="621"/>
      <c r="KU53" s="621"/>
      <c r="KV53" s="621"/>
      <c r="KW53" s="621"/>
      <c r="KX53" s="621"/>
      <c r="KY53" s="621"/>
      <c r="KZ53" s="621"/>
      <c r="LA53" s="621"/>
      <c r="LB53" s="621"/>
      <c r="LC53" s="621"/>
      <c r="LD53" s="621"/>
      <c r="LE53" s="621"/>
      <c r="LF53" s="621"/>
      <c r="LG53" s="621"/>
      <c r="LH53" s="621"/>
      <c r="LI53" s="621"/>
      <c r="LJ53" s="621"/>
      <c r="LK53" s="621"/>
      <c r="LL53" s="621"/>
      <c r="LM53" s="621"/>
      <c r="LN53" s="621"/>
      <c r="LO53" s="621"/>
      <c r="LP53" s="621"/>
      <c r="LQ53" s="621"/>
      <c r="LR53" s="621"/>
      <c r="LS53" s="621"/>
      <c r="LT53" s="621"/>
      <c r="LU53" s="621"/>
      <c r="LV53" s="621"/>
      <c r="LW53" s="621"/>
      <c r="LX53" s="621"/>
      <c r="LY53" s="621"/>
      <c r="LZ53" s="621"/>
      <c r="MA53" s="621"/>
      <c r="MB53" s="621"/>
      <c r="MC53" s="621"/>
      <c r="MD53" s="621"/>
      <c r="ME53" s="621"/>
      <c r="MF53" s="621"/>
      <c r="MG53" s="621"/>
      <c r="MH53" s="621"/>
      <c r="MI53" s="621"/>
      <c r="MJ53" s="621"/>
      <c r="MK53" s="621"/>
      <c r="ML53" s="621"/>
      <c r="MM53" s="621"/>
      <c r="MN53" s="621"/>
      <c r="MO53" s="621"/>
      <c r="MP53" s="621"/>
      <c r="MQ53" s="621"/>
      <c r="MR53" s="621"/>
      <c r="MS53" s="621"/>
      <c r="MT53" s="621"/>
      <c r="MU53" s="621"/>
      <c r="MV53" s="621"/>
      <c r="MW53" s="621"/>
      <c r="MX53" s="621"/>
      <c r="MY53" s="621"/>
      <c r="MZ53" s="621"/>
      <c r="NA53" s="621"/>
      <c r="NB53" s="621"/>
      <c r="NC53" s="621"/>
      <c r="ND53" s="621"/>
      <c r="NE53" s="621"/>
      <c r="NF53" s="621"/>
      <c r="NG53" s="621"/>
      <c r="NH53" s="621"/>
      <c r="NI53" s="621"/>
      <c r="NJ53" s="621"/>
      <c r="NK53" s="621"/>
      <c r="NL53" s="621"/>
      <c r="NM53" s="621"/>
      <c r="NN53" s="621"/>
      <c r="NO53" s="621"/>
      <c r="NP53" s="621"/>
      <c r="NQ53" s="621"/>
      <c r="NR53" s="621"/>
      <c r="NS53" s="621"/>
      <c r="NT53" s="621"/>
      <c r="NU53" s="621"/>
      <c r="NV53" s="621"/>
      <c r="NW53" s="621"/>
      <c r="NX53" s="621"/>
      <c r="NY53" s="621"/>
      <c r="NZ53" s="621"/>
      <c r="OA53" s="621"/>
      <c r="OB53" s="621"/>
      <c r="OC53" s="621"/>
      <c r="OD53" s="621"/>
      <c r="OE53" s="621"/>
      <c r="OF53" s="621"/>
      <c r="OG53" s="621"/>
      <c r="OH53" s="621"/>
      <c r="OI53" s="621"/>
      <c r="OJ53" s="621"/>
      <c r="OK53" s="621"/>
      <c r="OL53" s="621"/>
      <c r="OM53" s="621"/>
      <c r="ON53" s="621"/>
      <c r="OO53" s="621"/>
      <c r="OP53" s="621"/>
      <c r="OQ53" s="621"/>
      <c r="OR53" s="621"/>
      <c r="OS53" s="621"/>
      <c r="OT53" s="621"/>
      <c r="OU53" s="621"/>
      <c r="OV53" s="621"/>
      <c r="OW53" s="621"/>
      <c r="OX53" s="621"/>
      <c r="OY53" s="621"/>
      <c r="OZ53" s="621"/>
      <c r="PA53" s="621"/>
      <c r="PB53" s="621"/>
      <c r="PC53" s="621"/>
      <c r="PD53" s="621"/>
      <c r="PE53" s="621"/>
      <c r="PF53" s="621"/>
      <c r="PG53" s="621"/>
      <c r="PH53" s="621"/>
      <c r="PI53" s="621"/>
      <c r="PJ53" s="621"/>
      <c r="PK53" s="621"/>
      <c r="PL53" s="621"/>
      <c r="PM53" s="621"/>
      <c r="PN53" s="621"/>
      <c r="PO53" s="621"/>
      <c r="PP53" s="621"/>
      <c r="PQ53" s="621"/>
      <c r="PR53" s="621"/>
      <c r="PS53" s="621"/>
      <c r="PT53" s="621"/>
      <c r="PU53" s="621"/>
      <c r="PV53" s="621"/>
      <c r="PW53" s="621"/>
      <c r="PX53" s="621"/>
      <c r="PY53" s="621"/>
      <c r="PZ53" s="621"/>
      <c r="QA53" s="621"/>
      <c r="QB53" s="621"/>
      <c r="QC53" s="621"/>
      <c r="QD53" s="621"/>
      <c r="QE53" s="621"/>
      <c r="QF53" s="621"/>
      <c r="QG53" s="621"/>
      <c r="QH53" s="621"/>
      <c r="QI53" s="621"/>
      <c r="QJ53" s="621"/>
      <c r="QK53" s="621"/>
      <c r="QL53" s="621"/>
      <c r="QM53" s="621"/>
      <c r="QN53" s="621"/>
      <c r="QO53" s="621"/>
      <c r="QP53" s="621"/>
      <c r="QQ53" s="621"/>
      <c r="QR53" s="621"/>
      <c r="QS53" s="621"/>
      <c r="QT53" s="621"/>
      <c r="QU53" s="621"/>
      <c r="QV53" s="621"/>
      <c r="QW53" s="621"/>
      <c r="QX53" s="621"/>
      <c r="QY53" s="621"/>
      <c r="QZ53" s="621"/>
      <c r="RA53" s="621"/>
      <c r="RB53" s="621"/>
      <c r="RC53" s="621"/>
      <c r="RD53" s="621"/>
      <c r="RE53" s="621"/>
      <c r="RF53" s="621"/>
      <c r="RG53" s="621"/>
      <c r="RH53" s="621"/>
      <c r="RI53" s="621"/>
      <c r="RJ53" s="621"/>
      <c r="RK53" s="621"/>
      <c r="RL53" s="621"/>
      <c r="RM53" s="621"/>
      <c r="RN53" s="621"/>
      <c r="RO53" s="621"/>
      <c r="RP53" s="621"/>
      <c r="RQ53" s="621"/>
      <c r="RR53" s="621"/>
      <c r="RS53" s="621"/>
      <c r="RT53" s="621"/>
      <c r="RU53" s="621"/>
      <c r="RV53" s="621"/>
      <c r="RW53" s="621"/>
      <c r="RX53" s="621"/>
      <c r="RY53" s="621"/>
      <c r="RZ53" s="621"/>
      <c r="SA53" s="621"/>
      <c r="SB53" s="621"/>
      <c r="SC53" s="621"/>
      <c r="SD53" s="621"/>
      <c r="SE53" s="621"/>
      <c r="SF53" s="621"/>
      <c r="SG53" s="621"/>
      <c r="SH53" s="621"/>
      <c r="SI53" s="621"/>
      <c r="SJ53" s="621"/>
      <c r="SK53" s="621"/>
      <c r="SL53" s="621"/>
      <c r="SM53" s="621"/>
      <c r="SN53" s="621"/>
      <c r="SO53" s="621"/>
      <c r="SP53" s="621"/>
      <c r="SQ53" s="621"/>
      <c r="SR53" s="621"/>
      <c r="SS53" s="621"/>
      <c r="ST53" s="621"/>
      <c r="SU53" s="621"/>
      <c r="SV53" s="621"/>
      <c r="SW53" s="621"/>
      <c r="SX53" s="621"/>
      <c r="SY53" s="621"/>
      <c r="SZ53" s="621"/>
      <c r="TA53" s="621"/>
      <c r="TB53" s="621"/>
      <c r="TC53" s="621"/>
      <c r="TD53" s="621"/>
      <c r="TE53" s="621"/>
      <c r="TF53" s="621"/>
      <c r="TG53" s="621"/>
      <c r="TH53" s="621"/>
      <c r="TI53" s="621"/>
      <c r="TJ53" s="621"/>
      <c r="TK53" s="621"/>
      <c r="TL53" s="621"/>
      <c r="TM53" s="621"/>
      <c r="TN53" s="621"/>
      <c r="TO53" s="621"/>
      <c r="TP53" s="621"/>
      <c r="TQ53" s="621"/>
      <c r="TR53" s="621"/>
      <c r="TS53" s="621"/>
      <c r="TT53" s="621"/>
      <c r="TU53" s="621"/>
      <c r="TV53" s="621"/>
      <c r="TW53" s="621"/>
      <c r="TX53" s="621"/>
      <c r="TY53" s="621"/>
      <c r="TZ53" s="621"/>
      <c r="UA53" s="621"/>
      <c r="UB53" s="621"/>
      <c r="UC53" s="621"/>
      <c r="UD53" s="621"/>
      <c r="UE53" s="621"/>
      <c r="UF53" s="621"/>
      <c r="UG53" s="621"/>
      <c r="UH53" s="621"/>
      <c r="UI53" s="621"/>
      <c r="UJ53" s="621"/>
      <c r="UK53" s="621"/>
      <c r="UL53" s="621"/>
      <c r="UM53" s="621"/>
      <c r="UN53" s="621"/>
      <c r="UO53" s="621"/>
      <c r="UP53" s="621"/>
      <c r="UQ53" s="621"/>
      <c r="UR53" s="621"/>
      <c r="US53" s="621"/>
      <c r="UT53" s="621"/>
      <c r="UU53" s="621"/>
      <c r="UV53" s="621"/>
      <c r="UW53" s="621"/>
      <c r="UX53" s="621"/>
      <c r="UY53" s="621"/>
      <c r="UZ53" s="621"/>
      <c r="VA53" s="621"/>
      <c r="VB53" s="621"/>
      <c r="VC53" s="621"/>
      <c r="VD53" s="621"/>
      <c r="VE53" s="621"/>
      <c r="VF53" s="621"/>
      <c r="VG53" s="621"/>
      <c r="VH53" s="621"/>
      <c r="VI53" s="621"/>
      <c r="VJ53" s="621"/>
      <c r="VK53" s="621"/>
      <c r="VL53" s="621"/>
      <c r="VM53" s="621"/>
      <c r="VN53" s="621"/>
      <c r="VO53" s="621"/>
      <c r="VP53" s="621"/>
      <c r="VQ53" s="621"/>
      <c r="VR53" s="621"/>
      <c r="VS53" s="621"/>
      <c r="VT53" s="621"/>
      <c r="VU53" s="621"/>
      <c r="VV53" s="621"/>
      <c r="VW53" s="621"/>
      <c r="VX53" s="621"/>
      <c r="VY53" s="621"/>
      <c r="VZ53" s="621"/>
      <c r="WA53" s="621"/>
      <c r="WB53" s="621"/>
      <c r="WC53" s="621"/>
      <c r="WD53" s="621"/>
      <c r="WE53" s="621"/>
      <c r="WF53" s="621"/>
      <c r="WG53" s="621"/>
      <c r="WH53" s="621"/>
      <c r="WI53" s="621"/>
      <c r="WJ53" s="621"/>
      <c r="WK53" s="621"/>
      <c r="WL53" s="621"/>
      <c r="WM53" s="621"/>
      <c r="WN53" s="621"/>
      <c r="WO53" s="621"/>
      <c r="WP53" s="621"/>
      <c r="WQ53" s="621"/>
      <c r="WR53" s="621"/>
      <c r="WS53" s="621"/>
      <c r="WT53" s="621"/>
      <c r="WU53" s="621"/>
      <c r="WV53" s="621"/>
      <c r="WW53" s="621"/>
      <c r="WX53" s="621"/>
      <c r="WY53" s="621"/>
      <c r="WZ53" s="621"/>
      <c r="XA53" s="621"/>
      <c r="XB53" s="621"/>
      <c r="XC53" s="621"/>
      <c r="XD53" s="621"/>
      <c r="XE53" s="621"/>
      <c r="XF53" s="621"/>
      <c r="XG53" s="621"/>
      <c r="XH53" s="621"/>
      <c r="XI53" s="621"/>
      <c r="XJ53" s="621"/>
      <c r="XK53" s="621"/>
      <c r="XL53" s="621"/>
      <c r="XM53" s="621"/>
      <c r="XN53" s="621"/>
      <c r="XO53" s="621"/>
      <c r="XP53" s="621"/>
      <c r="XQ53" s="621"/>
      <c r="XR53" s="621"/>
      <c r="XS53" s="621"/>
      <c r="XT53" s="621"/>
      <c r="XU53" s="621"/>
      <c r="XV53" s="621"/>
      <c r="XW53" s="621"/>
      <c r="XX53" s="621"/>
      <c r="XY53" s="621"/>
      <c r="XZ53" s="621"/>
      <c r="YA53" s="621"/>
      <c r="YB53" s="621"/>
      <c r="YC53" s="621"/>
      <c r="YD53" s="621"/>
      <c r="YE53" s="621"/>
      <c r="YF53" s="621"/>
      <c r="YG53" s="621"/>
      <c r="YH53" s="621"/>
      <c r="YI53" s="621"/>
      <c r="YJ53" s="621"/>
      <c r="YK53" s="621"/>
      <c r="YL53" s="621"/>
      <c r="YM53" s="621"/>
      <c r="YN53" s="621"/>
      <c r="YO53" s="621"/>
      <c r="YP53" s="621"/>
      <c r="YQ53" s="621"/>
      <c r="YR53" s="621"/>
      <c r="YS53" s="621"/>
      <c r="YT53" s="621"/>
      <c r="YU53" s="621"/>
      <c r="YV53" s="621"/>
      <c r="YW53" s="621"/>
      <c r="YX53" s="621"/>
      <c r="YY53" s="621"/>
      <c r="YZ53" s="621"/>
      <c r="ZA53" s="621"/>
      <c r="ZB53" s="621"/>
      <c r="ZC53" s="621"/>
      <c r="ZD53" s="621"/>
      <c r="ZE53" s="621"/>
      <c r="ZF53" s="621"/>
      <c r="ZG53" s="621"/>
      <c r="ZH53" s="621"/>
      <c r="ZI53" s="621"/>
      <c r="ZJ53" s="621"/>
      <c r="ZK53" s="621"/>
      <c r="ZL53" s="621"/>
      <c r="ZM53" s="621"/>
      <c r="ZN53" s="621"/>
      <c r="ZO53" s="621"/>
      <c r="ZP53" s="621"/>
      <c r="ZQ53" s="621"/>
      <c r="ZR53" s="621"/>
      <c r="ZS53" s="621"/>
      <c r="ZT53" s="621"/>
      <c r="ZU53" s="621"/>
      <c r="ZV53" s="621"/>
      <c r="ZW53" s="621"/>
      <c r="ZX53" s="621"/>
      <c r="ZY53" s="621"/>
      <c r="ZZ53" s="621"/>
      <c r="AAA53" s="621"/>
      <c r="AAB53" s="621"/>
      <c r="AAC53" s="621"/>
      <c r="AAD53" s="621"/>
      <c r="AAE53" s="621"/>
      <c r="AAF53" s="621"/>
      <c r="AAG53" s="621"/>
      <c r="AAH53" s="621"/>
      <c r="AAI53" s="621"/>
      <c r="AAJ53" s="621"/>
      <c r="AAK53" s="621"/>
      <c r="AAL53" s="621"/>
      <c r="AAM53" s="621"/>
      <c r="AAN53" s="621"/>
      <c r="AAO53" s="621"/>
      <c r="AAP53" s="621"/>
      <c r="AAQ53" s="621"/>
      <c r="AAR53" s="621"/>
      <c r="AAS53" s="621"/>
      <c r="AAT53" s="621"/>
      <c r="AAU53" s="621"/>
      <c r="AAV53" s="621"/>
      <c r="AAW53" s="621"/>
      <c r="AAX53" s="621"/>
      <c r="AAY53" s="621"/>
      <c r="AAZ53" s="621"/>
      <c r="ABA53" s="621"/>
      <c r="ABB53" s="621"/>
      <c r="ABC53" s="621"/>
      <c r="ABD53" s="621"/>
      <c r="ABE53" s="621"/>
      <c r="ABF53" s="621"/>
      <c r="ABG53" s="621"/>
      <c r="ABH53" s="621"/>
      <c r="ABI53" s="621"/>
      <c r="ABJ53" s="621"/>
      <c r="ABK53" s="621"/>
      <c r="ABL53" s="621"/>
      <c r="ABM53" s="621"/>
      <c r="ABN53" s="621"/>
      <c r="ABO53" s="621"/>
      <c r="ABP53" s="621"/>
      <c r="ABQ53" s="621"/>
      <c r="ABR53" s="621"/>
      <c r="ABS53" s="621"/>
      <c r="ABT53" s="621"/>
      <c r="ABU53" s="621"/>
      <c r="ABV53" s="621"/>
      <c r="ABW53" s="621"/>
      <c r="ABX53" s="621"/>
      <c r="ABY53" s="621"/>
      <c r="ABZ53" s="621"/>
      <c r="ACA53" s="621"/>
      <c r="ACB53" s="621"/>
      <c r="ACC53" s="621"/>
      <c r="ACD53" s="621"/>
      <c r="ACE53" s="621"/>
      <c r="ACF53" s="621"/>
      <c r="ACG53" s="621"/>
      <c r="ACH53" s="621"/>
      <c r="ACI53" s="621"/>
      <c r="ACJ53" s="621"/>
      <c r="ACK53" s="621"/>
      <c r="ACL53" s="621"/>
      <c r="ACM53" s="621"/>
      <c r="ACN53" s="621"/>
      <c r="ACO53" s="621"/>
      <c r="ACP53" s="621"/>
      <c r="ACQ53" s="621"/>
      <c r="ACR53" s="621"/>
      <c r="ACS53" s="621"/>
      <c r="ACT53" s="621"/>
      <c r="ACU53" s="621"/>
      <c r="ACV53" s="621"/>
      <c r="ACW53" s="621"/>
      <c r="ACX53" s="621"/>
      <c r="ACY53" s="621"/>
      <c r="ACZ53" s="621"/>
      <c r="ADA53" s="621"/>
      <c r="ADB53" s="621"/>
      <c r="ADC53" s="621"/>
      <c r="ADD53" s="621"/>
      <c r="ADE53" s="621"/>
      <c r="ADF53" s="621"/>
      <c r="ADG53" s="621"/>
      <c r="ADH53" s="621"/>
      <c r="ADI53" s="621"/>
      <c r="ADJ53" s="621"/>
      <c r="ADK53" s="621"/>
      <c r="ADL53" s="621"/>
      <c r="ADM53" s="621"/>
      <c r="ADN53" s="621"/>
      <c r="ADO53" s="621"/>
      <c r="ADP53" s="621"/>
      <c r="ADQ53" s="621"/>
      <c r="ADR53" s="621"/>
      <c r="ADS53" s="621"/>
      <c r="ADT53" s="621"/>
      <c r="ADU53" s="621"/>
      <c r="ADV53" s="621"/>
      <c r="ADW53" s="621"/>
      <c r="ADX53" s="621"/>
      <c r="ADY53" s="621"/>
      <c r="ADZ53" s="621"/>
      <c r="AEA53" s="621"/>
      <c r="AEB53" s="621"/>
      <c r="AEC53" s="621"/>
      <c r="AED53" s="621"/>
      <c r="AEE53" s="621"/>
      <c r="AEF53" s="621"/>
      <c r="AEG53" s="621"/>
      <c r="AEH53" s="621"/>
      <c r="AEI53" s="621"/>
      <c r="AEJ53" s="621"/>
      <c r="AEK53" s="621"/>
      <c r="AEL53" s="621"/>
      <c r="AEM53" s="621"/>
      <c r="AEN53" s="621"/>
      <c r="AEO53" s="621"/>
      <c r="AEP53" s="621"/>
      <c r="AEQ53" s="621"/>
      <c r="AER53" s="621"/>
      <c r="AES53" s="621"/>
      <c r="AET53" s="621"/>
      <c r="AEU53" s="621"/>
      <c r="AEV53" s="621"/>
      <c r="AEW53" s="621"/>
      <c r="AEX53" s="621"/>
      <c r="AEY53" s="621"/>
      <c r="AEZ53" s="621"/>
      <c r="AFA53" s="621"/>
      <c r="AFB53" s="621"/>
      <c r="AFC53" s="621"/>
      <c r="AFD53" s="621"/>
      <c r="AFE53" s="621"/>
      <c r="AFF53" s="621"/>
      <c r="AFG53" s="621"/>
      <c r="AFH53" s="621"/>
      <c r="AFI53" s="621"/>
      <c r="AFJ53" s="621"/>
      <c r="AFK53" s="621"/>
      <c r="AFL53" s="621"/>
      <c r="AFM53" s="621"/>
      <c r="AFN53" s="621"/>
      <c r="AFO53" s="621"/>
      <c r="AFP53" s="621"/>
      <c r="AFQ53" s="621"/>
      <c r="AFR53" s="621"/>
      <c r="AFS53" s="621"/>
      <c r="AFT53" s="621"/>
      <c r="AFU53" s="621"/>
      <c r="AFV53" s="621"/>
      <c r="AFW53" s="621"/>
      <c r="AFX53" s="621"/>
      <c r="AFY53" s="621"/>
      <c r="AFZ53" s="621"/>
      <c r="AGA53" s="621"/>
      <c r="AGB53" s="621"/>
      <c r="AGC53" s="621"/>
      <c r="AGD53" s="621"/>
      <c r="AGE53" s="621"/>
      <c r="AGF53" s="621"/>
      <c r="AGG53" s="621"/>
      <c r="AGH53" s="621"/>
      <c r="AGI53" s="621"/>
      <c r="AGJ53" s="621"/>
      <c r="AGK53" s="621"/>
      <c r="AGL53" s="621"/>
      <c r="AGM53" s="621"/>
      <c r="AGN53" s="621"/>
      <c r="AGO53" s="621"/>
      <c r="AGP53" s="621"/>
      <c r="AGQ53" s="621"/>
      <c r="AGR53" s="621"/>
      <c r="AGS53" s="621"/>
      <c r="AGT53" s="621"/>
      <c r="AGU53" s="621"/>
      <c r="AGV53" s="621"/>
      <c r="AGW53" s="621"/>
      <c r="AGX53" s="621"/>
      <c r="AGY53" s="621"/>
      <c r="AGZ53" s="621"/>
      <c r="AHA53" s="621"/>
      <c r="AHB53" s="621"/>
      <c r="AHC53" s="621"/>
      <c r="AHD53" s="621"/>
      <c r="AHE53" s="621"/>
      <c r="AHF53" s="621"/>
      <c r="AHG53" s="621"/>
      <c r="AHH53" s="621"/>
      <c r="AHI53" s="621"/>
      <c r="AHJ53" s="621"/>
      <c r="AHK53" s="621"/>
      <c r="AHL53" s="621"/>
      <c r="AHM53" s="621"/>
      <c r="AHN53" s="621"/>
      <c r="AHO53" s="621"/>
      <c r="AHP53" s="621"/>
      <c r="AHQ53" s="621"/>
      <c r="AHR53" s="621"/>
      <c r="AHS53" s="621"/>
      <c r="AHT53" s="621"/>
      <c r="AHU53" s="621"/>
      <c r="AHV53" s="621"/>
      <c r="AHW53" s="621"/>
      <c r="AHX53" s="621"/>
      <c r="AHY53" s="621"/>
      <c r="AHZ53" s="621"/>
      <c r="AIA53" s="621"/>
      <c r="AIB53" s="621"/>
      <c r="AIC53" s="621"/>
      <c r="AID53" s="621"/>
      <c r="AIE53" s="621"/>
      <c r="AIF53" s="621"/>
      <c r="AIG53" s="621"/>
      <c r="AIH53" s="621"/>
      <c r="AII53" s="621"/>
      <c r="AIJ53" s="621"/>
      <c r="AIK53" s="621"/>
      <c r="AIL53" s="621"/>
      <c r="AIM53" s="621"/>
      <c r="AIN53" s="621"/>
      <c r="AIO53" s="621"/>
      <c r="AIP53" s="621"/>
      <c r="AIQ53" s="621"/>
      <c r="AIR53" s="621"/>
      <c r="AIS53" s="621"/>
      <c r="AIT53" s="621"/>
      <c r="AIU53" s="621"/>
      <c r="AIV53" s="621"/>
      <c r="AIW53" s="621"/>
      <c r="AIX53" s="621"/>
      <c r="AIY53" s="621"/>
      <c r="AIZ53" s="621"/>
      <c r="AJA53" s="621"/>
      <c r="AJB53" s="621"/>
      <c r="AJC53" s="621"/>
      <c r="AJD53" s="621"/>
      <c r="AJE53" s="621"/>
      <c r="AJF53" s="621"/>
      <c r="AJG53" s="621"/>
      <c r="AJH53" s="621"/>
      <c r="AJI53" s="621"/>
      <c r="AJJ53" s="621"/>
      <c r="AJK53" s="621"/>
      <c r="AJL53" s="621"/>
      <c r="AJM53" s="621"/>
      <c r="AJN53" s="621"/>
      <c r="AJO53" s="621"/>
      <c r="AJP53" s="621"/>
      <c r="AJQ53" s="621"/>
      <c r="AJR53" s="621"/>
      <c r="AJS53" s="621"/>
      <c r="AJT53" s="621"/>
      <c r="AJU53" s="621"/>
      <c r="AJV53" s="621"/>
      <c r="AJW53" s="621"/>
      <c r="AJX53" s="621"/>
      <c r="AJY53" s="621"/>
      <c r="AJZ53" s="621"/>
      <c r="AKA53" s="621"/>
      <c r="AKB53" s="621"/>
      <c r="AKC53" s="621"/>
      <c r="AKD53" s="621"/>
      <c r="AKE53" s="621"/>
      <c r="AKF53" s="621"/>
      <c r="AKG53" s="621"/>
      <c r="AKH53" s="621"/>
      <c r="AKI53" s="621"/>
      <c r="AKJ53" s="621"/>
      <c r="AKK53" s="621"/>
      <c r="AKL53" s="621"/>
      <c r="AKM53" s="621"/>
      <c r="AKN53" s="621"/>
      <c r="AKO53" s="621"/>
      <c r="AKP53" s="621"/>
      <c r="AKQ53" s="621"/>
      <c r="AKR53" s="621"/>
      <c r="AKS53" s="621"/>
      <c r="AKT53" s="621"/>
      <c r="AKU53" s="621"/>
      <c r="AKV53" s="621"/>
      <c r="AKW53" s="621"/>
      <c r="AKX53" s="621"/>
      <c r="AKY53" s="621"/>
      <c r="AKZ53" s="621"/>
      <c r="ALA53" s="621"/>
      <c r="ALB53" s="621"/>
      <c r="ALC53" s="621"/>
      <c r="ALD53" s="621"/>
      <c r="ALE53" s="621"/>
      <c r="ALF53" s="621"/>
      <c r="ALG53" s="621"/>
      <c r="ALH53" s="621"/>
      <c r="ALI53" s="621"/>
      <c r="ALJ53" s="621"/>
      <c r="ALK53" s="621"/>
      <c r="ALL53" s="621"/>
      <c r="ALM53" s="621"/>
      <c r="ALN53" s="621"/>
      <c r="ALO53" s="621"/>
      <c r="ALP53" s="621"/>
      <c r="ALQ53" s="621"/>
      <c r="ALR53" s="621"/>
      <c r="ALS53" s="621"/>
      <c r="ALT53" s="621"/>
      <c r="ALU53" s="621"/>
      <c r="ALV53" s="621"/>
      <c r="ALW53" s="621"/>
      <c r="ALX53" s="621"/>
      <c r="ALY53" s="621"/>
      <c r="ALZ53" s="621"/>
      <c r="AMA53" s="621"/>
      <c r="AMB53" s="621"/>
      <c r="AMC53" s="621"/>
      <c r="AMD53" s="621"/>
      <c r="AME53" s="621"/>
      <c r="AMF53" s="621"/>
      <c r="AMG53" s="621"/>
      <c r="AMH53" s="621"/>
      <c r="AMI53" s="621"/>
      <c r="AMJ53" s="621"/>
      <c r="AMK53" s="621"/>
    </row>
    <row r="54" spans="1:1025" ht="27.75" customHeight="1">
      <c r="A54" s="374" t="s">
        <v>353</v>
      </c>
      <c r="B54" s="375" t="s">
        <v>398</v>
      </c>
      <c r="C54" s="376">
        <f>D54*1.12</f>
        <v>0</v>
      </c>
      <c r="D54" s="377"/>
      <c r="E54" s="2043"/>
      <c r="F54" s="2043"/>
      <c r="G54" s="392"/>
      <c r="H54" s="429"/>
      <c r="I54" s="1497"/>
      <c r="J54" s="1498">
        <v>52789.220500000003</v>
      </c>
      <c r="K54" s="593"/>
      <c r="L54" s="447"/>
      <c r="P54" s="272"/>
      <c r="Q54" s="436"/>
      <c r="R54" s="1495">
        <v>2450</v>
      </c>
      <c r="S54" s="437"/>
      <c r="T54" s="272"/>
      <c r="U54" s="397"/>
      <c r="V54" s="440" t="s">
        <v>356</v>
      </c>
      <c r="W54" s="410">
        <v>16.670000000000002</v>
      </c>
      <c r="X54" s="441"/>
      <c r="Y54" s="411">
        <f t="shared" si="10"/>
        <v>0</v>
      </c>
      <c r="Z54" s="397"/>
      <c r="AA54" s="397"/>
      <c r="AC54" s="253">
        <v>6314</v>
      </c>
      <c r="AE54" s="1471"/>
      <c r="AF54" s="1493" t="s">
        <v>157</v>
      </c>
      <c r="AG54" s="1494">
        <v>18</v>
      </c>
      <c r="AH54" s="1494">
        <v>8</v>
      </c>
      <c r="AI54" s="1494">
        <v>6</v>
      </c>
      <c r="AJ54" s="1494">
        <f t="shared" si="11"/>
        <v>864</v>
      </c>
      <c r="AK54" s="1494">
        <v>3</v>
      </c>
      <c r="AL54" s="1494">
        <f t="shared" si="12"/>
        <v>2592</v>
      </c>
      <c r="AM54" s="1475">
        <f t="shared" si="13"/>
        <v>24753.600000000002</v>
      </c>
      <c r="AN54" s="1493">
        <v>50</v>
      </c>
      <c r="AO54" s="1475">
        <f t="shared" si="14"/>
        <v>43200</v>
      </c>
      <c r="AP54" s="442"/>
      <c r="AQ54" s="621"/>
      <c r="AR54" s="621"/>
      <c r="AS54" s="621"/>
      <c r="AT54" s="621"/>
      <c r="AU54" s="621"/>
      <c r="AV54" s="621"/>
      <c r="AW54" s="621"/>
      <c r="AX54" s="621"/>
      <c r="AY54" s="621"/>
      <c r="AZ54" s="621"/>
      <c r="BA54" s="621"/>
      <c r="BB54" s="621"/>
      <c r="BC54" s="621"/>
      <c r="BD54" s="621"/>
      <c r="BE54" s="621"/>
      <c r="BF54" s="621"/>
      <c r="BG54" s="621"/>
      <c r="BH54" s="621"/>
      <c r="BI54" s="621"/>
      <c r="BJ54" s="621"/>
      <c r="BK54" s="621"/>
      <c r="BL54" s="621"/>
      <c r="BM54" s="621"/>
      <c r="BN54" s="621"/>
      <c r="BO54" s="621"/>
      <c r="BP54" s="621"/>
      <c r="BQ54" s="621"/>
      <c r="BR54" s="621"/>
      <c r="BS54" s="621"/>
      <c r="BT54" s="621"/>
      <c r="BU54" s="621"/>
      <c r="BV54" s="621"/>
      <c r="BW54" s="621"/>
      <c r="BX54" s="621"/>
      <c r="BY54" s="621"/>
      <c r="BZ54" s="621"/>
      <c r="CA54" s="621"/>
      <c r="CB54" s="621"/>
      <c r="CC54" s="621"/>
      <c r="CD54" s="621"/>
      <c r="CE54" s="621"/>
      <c r="CF54" s="621"/>
      <c r="CG54" s="621"/>
      <c r="CH54" s="621"/>
      <c r="CI54" s="621"/>
      <c r="CJ54" s="621"/>
      <c r="CK54" s="621"/>
      <c r="CL54" s="621"/>
      <c r="CM54" s="621"/>
      <c r="CN54" s="621"/>
      <c r="CO54" s="621"/>
      <c r="CP54" s="621"/>
      <c r="CQ54" s="621"/>
      <c r="CR54" s="621"/>
      <c r="CS54" s="621"/>
      <c r="CT54" s="621"/>
      <c r="CU54" s="621"/>
      <c r="CV54" s="621"/>
      <c r="CW54" s="621"/>
      <c r="CX54" s="621"/>
      <c r="CY54" s="621"/>
      <c r="CZ54" s="621"/>
      <c r="DA54" s="621"/>
      <c r="DB54" s="621"/>
      <c r="DC54" s="621"/>
      <c r="DD54" s="621"/>
      <c r="DE54" s="621"/>
      <c r="DF54" s="621"/>
      <c r="DG54" s="621"/>
      <c r="DH54" s="621"/>
      <c r="DI54" s="621"/>
      <c r="DJ54" s="621"/>
      <c r="DK54" s="621"/>
      <c r="DL54" s="621"/>
      <c r="DM54" s="621"/>
      <c r="DN54" s="621"/>
      <c r="DO54" s="621"/>
      <c r="DP54" s="621"/>
      <c r="DQ54" s="621"/>
      <c r="DR54" s="621"/>
      <c r="DS54" s="621"/>
      <c r="DT54" s="621"/>
      <c r="DU54" s="621"/>
      <c r="DV54" s="621"/>
      <c r="DW54" s="621"/>
      <c r="DX54" s="621"/>
      <c r="DY54" s="621"/>
      <c r="DZ54" s="621"/>
      <c r="EA54" s="621"/>
      <c r="EB54" s="621"/>
      <c r="EC54" s="621"/>
      <c r="ED54" s="621"/>
      <c r="EE54" s="621"/>
      <c r="EF54" s="621"/>
      <c r="EG54" s="621"/>
      <c r="EH54" s="621"/>
      <c r="EI54" s="621"/>
      <c r="EJ54" s="621"/>
      <c r="EK54" s="621"/>
      <c r="EL54" s="621"/>
      <c r="EM54" s="621"/>
      <c r="EN54" s="621"/>
      <c r="EO54" s="621"/>
      <c r="EP54" s="621"/>
      <c r="EQ54" s="621"/>
      <c r="ER54" s="621"/>
      <c r="ES54" s="621"/>
      <c r="ET54" s="621"/>
      <c r="EU54" s="621"/>
      <c r="EV54" s="621"/>
      <c r="EW54" s="621"/>
      <c r="EX54" s="621"/>
      <c r="EY54" s="621"/>
      <c r="EZ54" s="621"/>
      <c r="FA54" s="621"/>
      <c r="FB54" s="621"/>
      <c r="FC54" s="621"/>
      <c r="FD54" s="621"/>
      <c r="FE54" s="621"/>
      <c r="FF54" s="621"/>
      <c r="FG54" s="621"/>
      <c r="FH54" s="621"/>
      <c r="FI54" s="621"/>
      <c r="FJ54" s="621"/>
      <c r="FK54" s="621"/>
      <c r="FL54" s="621"/>
      <c r="FM54" s="621"/>
      <c r="FN54" s="621"/>
      <c r="FO54" s="621"/>
      <c r="FP54" s="621"/>
      <c r="FQ54" s="621"/>
      <c r="FR54" s="621"/>
      <c r="FS54" s="621"/>
      <c r="FT54" s="621"/>
      <c r="FU54" s="621"/>
      <c r="FV54" s="621"/>
      <c r="FW54" s="621"/>
      <c r="FX54" s="621"/>
      <c r="FY54" s="621"/>
      <c r="FZ54" s="621"/>
      <c r="GA54" s="621"/>
      <c r="GB54" s="621"/>
      <c r="GC54" s="621"/>
      <c r="GD54" s="621"/>
      <c r="GE54" s="621"/>
      <c r="GF54" s="621"/>
      <c r="GG54" s="621"/>
      <c r="GH54" s="621"/>
      <c r="GI54" s="621"/>
      <c r="GJ54" s="621"/>
      <c r="GK54" s="621"/>
      <c r="GL54" s="621"/>
      <c r="GM54" s="621"/>
      <c r="GN54" s="621"/>
      <c r="GO54" s="621"/>
      <c r="GP54" s="621"/>
      <c r="GQ54" s="621"/>
      <c r="GR54" s="621"/>
      <c r="GS54" s="621"/>
      <c r="GT54" s="621"/>
      <c r="GU54" s="621"/>
      <c r="GV54" s="621"/>
      <c r="GW54" s="621"/>
      <c r="GX54" s="621"/>
      <c r="GY54" s="621"/>
      <c r="GZ54" s="621"/>
      <c r="HA54" s="621"/>
      <c r="HB54" s="621"/>
      <c r="HC54" s="621"/>
      <c r="HD54" s="621"/>
      <c r="HE54" s="621"/>
      <c r="HF54" s="621"/>
      <c r="HG54" s="621"/>
      <c r="HH54" s="621"/>
      <c r="HI54" s="621"/>
      <c r="HJ54" s="621"/>
      <c r="HK54" s="621"/>
      <c r="HL54" s="621"/>
      <c r="HM54" s="621"/>
      <c r="HN54" s="621"/>
      <c r="HO54" s="621"/>
      <c r="HP54" s="621"/>
      <c r="HQ54" s="621"/>
      <c r="HR54" s="621"/>
      <c r="HS54" s="621"/>
      <c r="HT54" s="621"/>
      <c r="HU54" s="621"/>
      <c r="HV54" s="621"/>
      <c r="HW54" s="621"/>
      <c r="HX54" s="621"/>
      <c r="HY54" s="621"/>
      <c r="HZ54" s="621"/>
      <c r="IA54" s="621"/>
      <c r="IB54" s="621"/>
      <c r="IC54" s="621"/>
      <c r="ID54" s="621"/>
      <c r="IE54" s="621"/>
      <c r="IF54" s="621"/>
      <c r="IG54" s="621"/>
      <c r="IH54" s="621"/>
      <c r="II54" s="621"/>
      <c r="IJ54" s="621"/>
      <c r="IK54" s="621"/>
      <c r="IL54" s="621"/>
      <c r="IM54" s="621"/>
      <c r="IN54" s="621"/>
      <c r="IO54" s="621"/>
      <c r="IP54" s="621"/>
      <c r="IQ54" s="621"/>
      <c r="IR54" s="621"/>
      <c r="IS54" s="621"/>
      <c r="IT54" s="621"/>
      <c r="IU54" s="621"/>
      <c r="IV54" s="621"/>
      <c r="IW54" s="621"/>
      <c r="IX54" s="621"/>
      <c r="IY54" s="621"/>
      <c r="IZ54" s="621"/>
      <c r="JA54" s="621"/>
      <c r="JB54" s="621"/>
      <c r="JC54" s="621"/>
      <c r="JD54" s="621"/>
      <c r="JE54" s="621"/>
      <c r="JF54" s="621"/>
      <c r="JG54" s="621"/>
      <c r="JH54" s="621"/>
      <c r="JI54" s="621"/>
      <c r="JJ54" s="621"/>
      <c r="JK54" s="621"/>
      <c r="JL54" s="621"/>
      <c r="JM54" s="621"/>
      <c r="JN54" s="621"/>
      <c r="JO54" s="621"/>
      <c r="JP54" s="621"/>
      <c r="JQ54" s="621"/>
      <c r="JR54" s="621"/>
      <c r="JS54" s="621"/>
      <c r="JT54" s="621"/>
      <c r="JU54" s="621"/>
      <c r="JV54" s="621"/>
      <c r="JW54" s="621"/>
      <c r="JX54" s="621"/>
      <c r="JY54" s="621"/>
      <c r="JZ54" s="621"/>
      <c r="KA54" s="621"/>
      <c r="KB54" s="621"/>
      <c r="KC54" s="621"/>
      <c r="KD54" s="621"/>
      <c r="KE54" s="621"/>
      <c r="KF54" s="621"/>
      <c r="KG54" s="621"/>
      <c r="KH54" s="621"/>
      <c r="KI54" s="621"/>
      <c r="KJ54" s="621"/>
      <c r="KK54" s="621"/>
      <c r="KL54" s="621"/>
      <c r="KM54" s="621"/>
      <c r="KN54" s="621"/>
      <c r="KO54" s="621"/>
      <c r="KP54" s="621"/>
      <c r="KQ54" s="621"/>
      <c r="KR54" s="621"/>
      <c r="KS54" s="621"/>
      <c r="KT54" s="621"/>
      <c r="KU54" s="621"/>
      <c r="KV54" s="621"/>
      <c r="KW54" s="621"/>
      <c r="KX54" s="621"/>
      <c r="KY54" s="621"/>
      <c r="KZ54" s="621"/>
      <c r="LA54" s="621"/>
      <c r="LB54" s="621"/>
      <c r="LC54" s="621"/>
      <c r="LD54" s="621"/>
      <c r="LE54" s="621"/>
      <c r="LF54" s="621"/>
      <c r="LG54" s="621"/>
      <c r="LH54" s="621"/>
      <c r="LI54" s="621"/>
      <c r="LJ54" s="621"/>
      <c r="LK54" s="621"/>
      <c r="LL54" s="621"/>
      <c r="LM54" s="621"/>
      <c r="LN54" s="621"/>
      <c r="LO54" s="621"/>
      <c r="LP54" s="621"/>
      <c r="LQ54" s="621"/>
      <c r="LR54" s="621"/>
      <c r="LS54" s="621"/>
      <c r="LT54" s="621"/>
      <c r="LU54" s="621"/>
      <c r="LV54" s="621"/>
      <c r="LW54" s="621"/>
      <c r="LX54" s="621"/>
      <c r="LY54" s="621"/>
      <c r="LZ54" s="621"/>
      <c r="MA54" s="621"/>
      <c r="MB54" s="621"/>
      <c r="MC54" s="621"/>
      <c r="MD54" s="621"/>
      <c r="ME54" s="621"/>
      <c r="MF54" s="621"/>
      <c r="MG54" s="621"/>
      <c r="MH54" s="621"/>
      <c r="MI54" s="621"/>
      <c r="MJ54" s="621"/>
      <c r="MK54" s="621"/>
      <c r="ML54" s="621"/>
      <c r="MM54" s="621"/>
      <c r="MN54" s="621"/>
      <c r="MO54" s="621"/>
      <c r="MP54" s="621"/>
      <c r="MQ54" s="621"/>
      <c r="MR54" s="621"/>
      <c r="MS54" s="621"/>
      <c r="MT54" s="621"/>
      <c r="MU54" s="621"/>
      <c r="MV54" s="621"/>
      <c r="MW54" s="621"/>
      <c r="MX54" s="621"/>
      <c r="MY54" s="621"/>
      <c r="MZ54" s="621"/>
      <c r="NA54" s="621"/>
      <c r="NB54" s="621"/>
      <c r="NC54" s="621"/>
      <c r="ND54" s="621"/>
      <c r="NE54" s="621"/>
      <c r="NF54" s="621"/>
      <c r="NG54" s="621"/>
      <c r="NH54" s="621"/>
      <c r="NI54" s="621"/>
      <c r="NJ54" s="621"/>
      <c r="NK54" s="621"/>
      <c r="NL54" s="621"/>
      <c r="NM54" s="621"/>
      <c r="NN54" s="621"/>
      <c r="NO54" s="621"/>
      <c r="NP54" s="621"/>
      <c r="NQ54" s="621"/>
      <c r="NR54" s="621"/>
      <c r="NS54" s="621"/>
      <c r="NT54" s="621"/>
      <c r="NU54" s="621"/>
      <c r="NV54" s="621"/>
      <c r="NW54" s="621"/>
      <c r="NX54" s="621"/>
      <c r="NY54" s="621"/>
      <c r="NZ54" s="621"/>
      <c r="OA54" s="621"/>
      <c r="OB54" s="621"/>
      <c r="OC54" s="621"/>
      <c r="OD54" s="621"/>
      <c r="OE54" s="621"/>
      <c r="OF54" s="621"/>
      <c r="OG54" s="621"/>
      <c r="OH54" s="621"/>
      <c r="OI54" s="621"/>
      <c r="OJ54" s="621"/>
      <c r="OK54" s="621"/>
      <c r="OL54" s="621"/>
      <c r="OM54" s="621"/>
      <c r="ON54" s="621"/>
      <c r="OO54" s="621"/>
      <c r="OP54" s="621"/>
      <c r="OQ54" s="621"/>
      <c r="OR54" s="621"/>
      <c r="OS54" s="621"/>
      <c r="OT54" s="621"/>
      <c r="OU54" s="621"/>
      <c r="OV54" s="621"/>
      <c r="OW54" s="621"/>
      <c r="OX54" s="621"/>
      <c r="OY54" s="621"/>
      <c r="OZ54" s="621"/>
      <c r="PA54" s="621"/>
      <c r="PB54" s="621"/>
      <c r="PC54" s="621"/>
      <c r="PD54" s="621"/>
      <c r="PE54" s="621"/>
      <c r="PF54" s="621"/>
      <c r="PG54" s="621"/>
      <c r="PH54" s="621"/>
      <c r="PI54" s="621"/>
      <c r="PJ54" s="621"/>
      <c r="PK54" s="621"/>
      <c r="PL54" s="621"/>
      <c r="PM54" s="621"/>
      <c r="PN54" s="621"/>
      <c r="PO54" s="621"/>
      <c r="PP54" s="621"/>
      <c r="PQ54" s="621"/>
      <c r="PR54" s="621"/>
      <c r="PS54" s="621"/>
      <c r="PT54" s="621"/>
      <c r="PU54" s="621"/>
      <c r="PV54" s="621"/>
      <c r="PW54" s="621"/>
      <c r="PX54" s="621"/>
      <c r="PY54" s="621"/>
      <c r="PZ54" s="621"/>
      <c r="QA54" s="621"/>
      <c r="QB54" s="621"/>
      <c r="QC54" s="621"/>
      <c r="QD54" s="621"/>
      <c r="QE54" s="621"/>
      <c r="QF54" s="621"/>
      <c r="QG54" s="621"/>
      <c r="QH54" s="621"/>
      <c r="QI54" s="621"/>
      <c r="QJ54" s="621"/>
      <c r="QK54" s="621"/>
      <c r="QL54" s="621"/>
      <c r="QM54" s="621"/>
      <c r="QN54" s="621"/>
      <c r="QO54" s="621"/>
      <c r="QP54" s="621"/>
      <c r="QQ54" s="621"/>
      <c r="QR54" s="621"/>
      <c r="QS54" s="621"/>
      <c r="QT54" s="621"/>
      <c r="QU54" s="621"/>
      <c r="QV54" s="621"/>
      <c r="QW54" s="621"/>
      <c r="QX54" s="621"/>
      <c r="QY54" s="621"/>
      <c r="QZ54" s="621"/>
      <c r="RA54" s="621"/>
      <c r="RB54" s="621"/>
      <c r="RC54" s="621"/>
      <c r="RD54" s="621"/>
      <c r="RE54" s="621"/>
      <c r="RF54" s="621"/>
      <c r="RG54" s="621"/>
      <c r="RH54" s="621"/>
      <c r="RI54" s="621"/>
      <c r="RJ54" s="621"/>
      <c r="RK54" s="621"/>
      <c r="RL54" s="621"/>
      <c r="RM54" s="621"/>
      <c r="RN54" s="621"/>
      <c r="RO54" s="621"/>
      <c r="RP54" s="621"/>
      <c r="RQ54" s="621"/>
      <c r="RR54" s="621"/>
      <c r="RS54" s="621"/>
      <c r="RT54" s="621"/>
      <c r="RU54" s="621"/>
      <c r="RV54" s="621"/>
      <c r="RW54" s="621"/>
      <c r="RX54" s="621"/>
      <c r="RY54" s="621"/>
      <c r="RZ54" s="621"/>
      <c r="SA54" s="621"/>
      <c r="SB54" s="621"/>
      <c r="SC54" s="621"/>
      <c r="SD54" s="621"/>
      <c r="SE54" s="621"/>
      <c r="SF54" s="621"/>
      <c r="SG54" s="621"/>
      <c r="SH54" s="621"/>
      <c r="SI54" s="621"/>
      <c r="SJ54" s="621"/>
      <c r="SK54" s="621"/>
      <c r="SL54" s="621"/>
      <c r="SM54" s="621"/>
      <c r="SN54" s="621"/>
      <c r="SO54" s="621"/>
      <c r="SP54" s="621"/>
      <c r="SQ54" s="621"/>
      <c r="SR54" s="621"/>
      <c r="SS54" s="621"/>
      <c r="ST54" s="621"/>
      <c r="SU54" s="621"/>
      <c r="SV54" s="621"/>
      <c r="SW54" s="621"/>
      <c r="SX54" s="621"/>
      <c r="SY54" s="621"/>
      <c r="SZ54" s="621"/>
      <c r="TA54" s="621"/>
      <c r="TB54" s="621"/>
      <c r="TC54" s="621"/>
      <c r="TD54" s="621"/>
      <c r="TE54" s="621"/>
      <c r="TF54" s="621"/>
      <c r="TG54" s="621"/>
      <c r="TH54" s="621"/>
      <c r="TI54" s="621"/>
      <c r="TJ54" s="621"/>
      <c r="TK54" s="621"/>
      <c r="TL54" s="621"/>
      <c r="TM54" s="621"/>
      <c r="TN54" s="621"/>
      <c r="TO54" s="621"/>
      <c r="TP54" s="621"/>
      <c r="TQ54" s="621"/>
      <c r="TR54" s="621"/>
      <c r="TS54" s="621"/>
      <c r="TT54" s="621"/>
      <c r="TU54" s="621"/>
      <c r="TV54" s="621"/>
      <c r="TW54" s="621"/>
      <c r="TX54" s="621"/>
      <c r="TY54" s="621"/>
      <c r="TZ54" s="621"/>
      <c r="UA54" s="621"/>
      <c r="UB54" s="621"/>
      <c r="UC54" s="621"/>
      <c r="UD54" s="621"/>
      <c r="UE54" s="621"/>
      <c r="UF54" s="621"/>
      <c r="UG54" s="621"/>
      <c r="UH54" s="621"/>
      <c r="UI54" s="621"/>
      <c r="UJ54" s="621"/>
      <c r="UK54" s="621"/>
      <c r="UL54" s="621"/>
      <c r="UM54" s="621"/>
      <c r="UN54" s="621"/>
      <c r="UO54" s="621"/>
      <c r="UP54" s="621"/>
      <c r="UQ54" s="621"/>
      <c r="UR54" s="621"/>
      <c r="US54" s="621"/>
      <c r="UT54" s="621"/>
      <c r="UU54" s="621"/>
      <c r="UV54" s="621"/>
      <c r="UW54" s="621"/>
      <c r="UX54" s="621"/>
      <c r="UY54" s="621"/>
      <c r="UZ54" s="621"/>
      <c r="VA54" s="621"/>
      <c r="VB54" s="621"/>
      <c r="VC54" s="621"/>
      <c r="VD54" s="621"/>
      <c r="VE54" s="621"/>
      <c r="VF54" s="621"/>
      <c r="VG54" s="621"/>
      <c r="VH54" s="621"/>
      <c r="VI54" s="621"/>
      <c r="VJ54" s="621"/>
      <c r="VK54" s="621"/>
      <c r="VL54" s="621"/>
      <c r="VM54" s="621"/>
      <c r="VN54" s="621"/>
      <c r="VO54" s="621"/>
      <c r="VP54" s="621"/>
      <c r="VQ54" s="621"/>
      <c r="VR54" s="621"/>
      <c r="VS54" s="621"/>
      <c r="VT54" s="621"/>
      <c r="VU54" s="621"/>
      <c r="VV54" s="621"/>
      <c r="VW54" s="621"/>
      <c r="VX54" s="621"/>
      <c r="VY54" s="621"/>
      <c r="VZ54" s="621"/>
      <c r="WA54" s="621"/>
      <c r="WB54" s="621"/>
      <c r="WC54" s="621"/>
      <c r="WD54" s="621"/>
      <c r="WE54" s="621"/>
      <c r="WF54" s="621"/>
      <c r="WG54" s="621"/>
      <c r="WH54" s="621"/>
      <c r="WI54" s="621"/>
      <c r="WJ54" s="621"/>
      <c r="WK54" s="621"/>
      <c r="WL54" s="621"/>
      <c r="WM54" s="621"/>
      <c r="WN54" s="621"/>
      <c r="WO54" s="621"/>
      <c r="WP54" s="621"/>
      <c r="WQ54" s="621"/>
      <c r="WR54" s="621"/>
      <c r="WS54" s="621"/>
      <c r="WT54" s="621"/>
      <c r="WU54" s="621"/>
      <c r="WV54" s="621"/>
      <c r="WW54" s="621"/>
      <c r="WX54" s="621"/>
      <c r="WY54" s="621"/>
      <c r="WZ54" s="621"/>
      <c r="XA54" s="621"/>
      <c r="XB54" s="621"/>
      <c r="XC54" s="621"/>
      <c r="XD54" s="621"/>
      <c r="XE54" s="621"/>
      <c r="XF54" s="621"/>
      <c r="XG54" s="621"/>
      <c r="XH54" s="621"/>
      <c r="XI54" s="621"/>
      <c r="XJ54" s="621"/>
      <c r="XK54" s="621"/>
      <c r="XL54" s="621"/>
      <c r="XM54" s="621"/>
      <c r="XN54" s="621"/>
      <c r="XO54" s="621"/>
      <c r="XP54" s="621"/>
      <c r="XQ54" s="621"/>
      <c r="XR54" s="621"/>
      <c r="XS54" s="621"/>
      <c r="XT54" s="621"/>
      <c r="XU54" s="621"/>
      <c r="XV54" s="621"/>
      <c r="XW54" s="621"/>
      <c r="XX54" s="621"/>
      <c r="XY54" s="621"/>
      <c r="XZ54" s="621"/>
      <c r="YA54" s="621"/>
      <c r="YB54" s="621"/>
      <c r="YC54" s="621"/>
      <c r="YD54" s="621"/>
      <c r="YE54" s="621"/>
      <c r="YF54" s="621"/>
      <c r="YG54" s="621"/>
      <c r="YH54" s="621"/>
      <c r="YI54" s="621"/>
      <c r="YJ54" s="621"/>
      <c r="YK54" s="621"/>
      <c r="YL54" s="621"/>
      <c r="YM54" s="621"/>
      <c r="YN54" s="621"/>
      <c r="YO54" s="621"/>
      <c r="YP54" s="621"/>
      <c r="YQ54" s="621"/>
      <c r="YR54" s="621"/>
      <c r="YS54" s="621"/>
      <c r="YT54" s="621"/>
      <c r="YU54" s="621"/>
      <c r="YV54" s="621"/>
      <c r="YW54" s="621"/>
      <c r="YX54" s="621"/>
      <c r="YY54" s="621"/>
      <c r="YZ54" s="621"/>
      <c r="ZA54" s="621"/>
      <c r="ZB54" s="621"/>
      <c r="ZC54" s="621"/>
      <c r="ZD54" s="621"/>
      <c r="ZE54" s="621"/>
      <c r="ZF54" s="621"/>
      <c r="ZG54" s="621"/>
      <c r="ZH54" s="621"/>
      <c r="ZI54" s="621"/>
      <c r="ZJ54" s="621"/>
      <c r="ZK54" s="621"/>
      <c r="ZL54" s="621"/>
      <c r="ZM54" s="621"/>
      <c r="ZN54" s="621"/>
      <c r="ZO54" s="621"/>
      <c r="ZP54" s="621"/>
      <c r="ZQ54" s="621"/>
      <c r="ZR54" s="621"/>
      <c r="ZS54" s="621"/>
      <c r="ZT54" s="621"/>
      <c r="ZU54" s="621"/>
      <c r="ZV54" s="621"/>
      <c r="ZW54" s="621"/>
      <c r="ZX54" s="621"/>
      <c r="ZY54" s="621"/>
      <c r="ZZ54" s="621"/>
      <c r="AAA54" s="621"/>
      <c r="AAB54" s="621"/>
      <c r="AAC54" s="621"/>
      <c r="AAD54" s="621"/>
      <c r="AAE54" s="621"/>
      <c r="AAF54" s="621"/>
      <c r="AAG54" s="621"/>
      <c r="AAH54" s="621"/>
      <c r="AAI54" s="621"/>
      <c r="AAJ54" s="621"/>
      <c r="AAK54" s="621"/>
      <c r="AAL54" s="621"/>
      <c r="AAM54" s="621"/>
      <c r="AAN54" s="621"/>
      <c r="AAO54" s="621"/>
      <c r="AAP54" s="621"/>
      <c r="AAQ54" s="621"/>
      <c r="AAR54" s="621"/>
      <c r="AAS54" s="621"/>
      <c r="AAT54" s="621"/>
      <c r="AAU54" s="621"/>
      <c r="AAV54" s="621"/>
      <c r="AAW54" s="621"/>
      <c r="AAX54" s="621"/>
      <c r="AAY54" s="621"/>
      <c r="AAZ54" s="621"/>
      <c r="ABA54" s="621"/>
      <c r="ABB54" s="621"/>
      <c r="ABC54" s="621"/>
      <c r="ABD54" s="621"/>
      <c r="ABE54" s="621"/>
      <c r="ABF54" s="621"/>
      <c r="ABG54" s="621"/>
      <c r="ABH54" s="621"/>
      <c r="ABI54" s="621"/>
      <c r="ABJ54" s="621"/>
      <c r="ABK54" s="621"/>
      <c r="ABL54" s="621"/>
      <c r="ABM54" s="621"/>
      <c r="ABN54" s="621"/>
      <c r="ABO54" s="621"/>
      <c r="ABP54" s="621"/>
      <c r="ABQ54" s="621"/>
      <c r="ABR54" s="621"/>
      <c r="ABS54" s="621"/>
      <c r="ABT54" s="621"/>
      <c r="ABU54" s="621"/>
      <c r="ABV54" s="621"/>
      <c r="ABW54" s="621"/>
      <c r="ABX54" s="621"/>
      <c r="ABY54" s="621"/>
      <c r="ABZ54" s="621"/>
      <c r="ACA54" s="621"/>
      <c r="ACB54" s="621"/>
      <c r="ACC54" s="621"/>
      <c r="ACD54" s="621"/>
      <c r="ACE54" s="621"/>
      <c r="ACF54" s="621"/>
      <c r="ACG54" s="621"/>
      <c r="ACH54" s="621"/>
      <c r="ACI54" s="621"/>
      <c r="ACJ54" s="621"/>
      <c r="ACK54" s="621"/>
      <c r="ACL54" s="621"/>
      <c r="ACM54" s="621"/>
      <c r="ACN54" s="621"/>
      <c r="ACO54" s="621"/>
      <c r="ACP54" s="621"/>
      <c r="ACQ54" s="621"/>
      <c r="ACR54" s="621"/>
      <c r="ACS54" s="621"/>
      <c r="ACT54" s="621"/>
      <c r="ACU54" s="621"/>
      <c r="ACV54" s="621"/>
      <c r="ACW54" s="621"/>
      <c r="ACX54" s="621"/>
      <c r="ACY54" s="621"/>
      <c r="ACZ54" s="621"/>
      <c r="ADA54" s="621"/>
      <c r="ADB54" s="621"/>
      <c r="ADC54" s="621"/>
      <c r="ADD54" s="621"/>
      <c r="ADE54" s="621"/>
      <c r="ADF54" s="621"/>
      <c r="ADG54" s="621"/>
      <c r="ADH54" s="621"/>
      <c r="ADI54" s="621"/>
      <c r="ADJ54" s="621"/>
      <c r="ADK54" s="621"/>
      <c r="ADL54" s="621"/>
      <c r="ADM54" s="621"/>
      <c r="ADN54" s="621"/>
      <c r="ADO54" s="621"/>
      <c r="ADP54" s="621"/>
      <c r="ADQ54" s="621"/>
      <c r="ADR54" s="621"/>
      <c r="ADS54" s="621"/>
      <c r="ADT54" s="621"/>
      <c r="ADU54" s="621"/>
      <c r="ADV54" s="621"/>
      <c r="ADW54" s="621"/>
      <c r="ADX54" s="621"/>
      <c r="ADY54" s="621"/>
      <c r="ADZ54" s="621"/>
      <c r="AEA54" s="621"/>
      <c r="AEB54" s="621"/>
      <c r="AEC54" s="621"/>
      <c r="AED54" s="621"/>
      <c r="AEE54" s="621"/>
      <c r="AEF54" s="621"/>
      <c r="AEG54" s="621"/>
      <c r="AEH54" s="621"/>
      <c r="AEI54" s="621"/>
      <c r="AEJ54" s="621"/>
      <c r="AEK54" s="621"/>
      <c r="AEL54" s="621"/>
      <c r="AEM54" s="621"/>
      <c r="AEN54" s="621"/>
      <c r="AEO54" s="621"/>
      <c r="AEP54" s="621"/>
      <c r="AEQ54" s="621"/>
      <c r="AER54" s="621"/>
      <c r="AES54" s="621"/>
      <c r="AET54" s="621"/>
      <c r="AEU54" s="621"/>
      <c r="AEV54" s="621"/>
      <c r="AEW54" s="621"/>
      <c r="AEX54" s="621"/>
      <c r="AEY54" s="621"/>
      <c r="AEZ54" s="621"/>
      <c r="AFA54" s="621"/>
      <c r="AFB54" s="621"/>
      <c r="AFC54" s="621"/>
      <c r="AFD54" s="621"/>
      <c r="AFE54" s="621"/>
      <c r="AFF54" s="621"/>
      <c r="AFG54" s="621"/>
      <c r="AFH54" s="621"/>
      <c r="AFI54" s="621"/>
      <c r="AFJ54" s="621"/>
      <c r="AFK54" s="621"/>
      <c r="AFL54" s="621"/>
      <c r="AFM54" s="621"/>
      <c r="AFN54" s="621"/>
      <c r="AFO54" s="621"/>
      <c r="AFP54" s="621"/>
      <c r="AFQ54" s="621"/>
      <c r="AFR54" s="621"/>
      <c r="AFS54" s="621"/>
      <c r="AFT54" s="621"/>
      <c r="AFU54" s="621"/>
      <c r="AFV54" s="621"/>
      <c r="AFW54" s="621"/>
      <c r="AFX54" s="621"/>
      <c r="AFY54" s="621"/>
      <c r="AFZ54" s="621"/>
      <c r="AGA54" s="621"/>
      <c r="AGB54" s="621"/>
      <c r="AGC54" s="621"/>
      <c r="AGD54" s="621"/>
      <c r="AGE54" s="621"/>
      <c r="AGF54" s="621"/>
      <c r="AGG54" s="621"/>
      <c r="AGH54" s="621"/>
      <c r="AGI54" s="621"/>
      <c r="AGJ54" s="621"/>
      <c r="AGK54" s="621"/>
      <c r="AGL54" s="621"/>
      <c r="AGM54" s="621"/>
      <c r="AGN54" s="621"/>
      <c r="AGO54" s="621"/>
      <c r="AGP54" s="621"/>
      <c r="AGQ54" s="621"/>
      <c r="AGR54" s="621"/>
      <c r="AGS54" s="621"/>
      <c r="AGT54" s="621"/>
      <c r="AGU54" s="621"/>
      <c r="AGV54" s="621"/>
      <c r="AGW54" s="621"/>
      <c r="AGX54" s="621"/>
      <c r="AGY54" s="621"/>
      <c r="AGZ54" s="621"/>
      <c r="AHA54" s="621"/>
      <c r="AHB54" s="621"/>
      <c r="AHC54" s="621"/>
      <c r="AHD54" s="621"/>
      <c r="AHE54" s="621"/>
      <c r="AHF54" s="621"/>
      <c r="AHG54" s="621"/>
      <c r="AHH54" s="621"/>
      <c r="AHI54" s="621"/>
      <c r="AHJ54" s="621"/>
      <c r="AHK54" s="621"/>
      <c r="AHL54" s="621"/>
      <c r="AHM54" s="621"/>
      <c r="AHN54" s="621"/>
      <c r="AHO54" s="621"/>
      <c r="AHP54" s="621"/>
      <c r="AHQ54" s="621"/>
      <c r="AHR54" s="621"/>
      <c r="AHS54" s="621"/>
      <c r="AHT54" s="621"/>
      <c r="AHU54" s="621"/>
      <c r="AHV54" s="621"/>
      <c r="AHW54" s="621"/>
      <c r="AHX54" s="621"/>
      <c r="AHY54" s="621"/>
      <c r="AHZ54" s="621"/>
      <c r="AIA54" s="621"/>
      <c r="AIB54" s="621"/>
      <c r="AIC54" s="621"/>
      <c r="AID54" s="621"/>
      <c r="AIE54" s="621"/>
      <c r="AIF54" s="621"/>
      <c r="AIG54" s="621"/>
      <c r="AIH54" s="621"/>
      <c r="AII54" s="621"/>
      <c r="AIJ54" s="621"/>
      <c r="AIK54" s="621"/>
      <c r="AIL54" s="621"/>
      <c r="AIM54" s="621"/>
      <c r="AIN54" s="621"/>
      <c r="AIO54" s="621"/>
      <c r="AIP54" s="621"/>
      <c r="AIQ54" s="621"/>
      <c r="AIR54" s="621"/>
      <c r="AIS54" s="621"/>
      <c r="AIT54" s="621"/>
      <c r="AIU54" s="621"/>
      <c r="AIV54" s="621"/>
      <c r="AIW54" s="621"/>
      <c r="AIX54" s="621"/>
      <c r="AIY54" s="621"/>
      <c r="AIZ54" s="621"/>
      <c r="AJA54" s="621"/>
      <c r="AJB54" s="621"/>
      <c r="AJC54" s="621"/>
      <c r="AJD54" s="621"/>
      <c r="AJE54" s="621"/>
      <c r="AJF54" s="621"/>
      <c r="AJG54" s="621"/>
      <c r="AJH54" s="621"/>
      <c r="AJI54" s="621"/>
      <c r="AJJ54" s="621"/>
      <c r="AJK54" s="621"/>
      <c r="AJL54" s="621"/>
      <c r="AJM54" s="621"/>
      <c r="AJN54" s="621"/>
      <c r="AJO54" s="621"/>
      <c r="AJP54" s="621"/>
      <c r="AJQ54" s="621"/>
      <c r="AJR54" s="621"/>
      <c r="AJS54" s="621"/>
      <c r="AJT54" s="621"/>
      <c r="AJU54" s="621"/>
      <c r="AJV54" s="621"/>
      <c r="AJW54" s="621"/>
      <c r="AJX54" s="621"/>
      <c r="AJY54" s="621"/>
      <c r="AJZ54" s="621"/>
      <c r="AKA54" s="621"/>
      <c r="AKB54" s="621"/>
      <c r="AKC54" s="621"/>
      <c r="AKD54" s="621"/>
      <c r="AKE54" s="621"/>
      <c r="AKF54" s="621"/>
      <c r="AKG54" s="621"/>
      <c r="AKH54" s="621"/>
      <c r="AKI54" s="621"/>
      <c r="AKJ54" s="621"/>
      <c r="AKK54" s="621"/>
      <c r="AKL54" s="621"/>
      <c r="AKM54" s="621"/>
      <c r="AKN54" s="621"/>
      <c r="AKO54" s="621"/>
      <c r="AKP54" s="621"/>
      <c r="AKQ54" s="621"/>
      <c r="AKR54" s="621"/>
      <c r="AKS54" s="621"/>
      <c r="AKT54" s="621"/>
      <c r="AKU54" s="621"/>
      <c r="AKV54" s="621"/>
      <c r="AKW54" s="621"/>
      <c r="AKX54" s="621"/>
      <c r="AKY54" s="621"/>
      <c r="AKZ54" s="621"/>
      <c r="ALA54" s="621"/>
      <c r="ALB54" s="621"/>
      <c r="ALC54" s="621"/>
      <c r="ALD54" s="621"/>
      <c r="ALE54" s="621"/>
      <c r="ALF54" s="621"/>
      <c r="ALG54" s="621"/>
      <c r="ALH54" s="621"/>
      <c r="ALI54" s="621"/>
      <c r="ALJ54" s="621"/>
      <c r="ALK54" s="621"/>
      <c r="ALL54" s="621"/>
      <c r="ALM54" s="621"/>
      <c r="ALN54" s="621"/>
      <c r="ALO54" s="621"/>
      <c r="ALP54" s="621"/>
      <c r="ALQ54" s="621"/>
      <c r="ALR54" s="621"/>
      <c r="ALS54" s="621"/>
      <c r="ALT54" s="621"/>
      <c r="ALU54" s="621"/>
      <c r="ALV54" s="621"/>
      <c r="ALW54" s="621"/>
      <c r="ALX54" s="621"/>
      <c r="ALY54" s="621"/>
      <c r="ALZ54" s="621"/>
      <c r="AMA54" s="621"/>
      <c r="AMB54" s="621"/>
      <c r="AMC54" s="621"/>
      <c r="AMD54" s="621"/>
      <c r="AME54" s="621"/>
      <c r="AMF54" s="621"/>
      <c r="AMG54" s="621"/>
      <c r="AMH54" s="621"/>
      <c r="AMI54" s="621"/>
      <c r="AMJ54" s="621"/>
      <c r="AMK54" s="621"/>
    </row>
    <row r="55" spans="1:1025" ht="33" customHeight="1" thickBot="1">
      <c r="A55" s="374" t="s">
        <v>357</v>
      </c>
      <c r="B55" s="448" t="s">
        <v>399</v>
      </c>
      <c r="C55" s="376">
        <f>D55*1.1</f>
        <v>0</v>
      </c>
      <c r="D55" s="377"/>
      <c r="E55" s="2043"/>
      <c r="F55" s="2043"/>
      <c r="G55" s="392"/>
      <c r="H55" s="429"/>
      <c r="I55" s="1497"/>
      <c r="J55" s="1498">
        <v>35767.89</v>
      </c>
      <c r="K55" s="593"/>
      <c r="L55" s="447"/>
      <c r="P55" s="272"/>
      <c r="Q55" s="436"/>
      <c r="R55" s="1495">
        <v>6314</v>
      </c>
      <c r="S55" s="437"/>
      <c r="T55" s="272"/>
      <c r="U55" s="397"/>
      <c r="V55" s="449"/>
      <c r="W55" s="450"/>
      <c r="X55" s="450"/>
      <c r="Y55" s="1501">
        <f>SUM(Y35:Y54)</f>
        <v>0</v>
      </c>
      <c r="Z55" s="397"/>
      <c r="AA55" s="397"/>
      <c r="AC55" s="253">
        <v>2833.6</v>
      </c>
      <c r="AE55" s="1471"/>
      <c r="AF55" s="1493" t="s">
        <v>126</v>
      </c>
      <c r="AG55" s="1494">
        <v>1</v>
      </c>
      <c r="AH55" s="1494">
        <v>8</v>
      </c>
      <c r="AI55" s="1494">
        <v>6</v>
      </c>
      <c r="AJ55" s="1494">
        <f t="shared" si="11"/>
        <v>48</v>
      </c>
      <c r="AK55" s="1494">
        <v>18</v>
      </c>
      <c r="AL55" s="1494">
        <f t="shared" si="12"/>
        <v>864</v>
      </c>
      <c r="AM55" s="1475">
        <f t="shared" si="13"/>
        <v>8251.2000000000007</v>
      </c>
      <c r="AN55" s="1493">
        <v>450</v>
      </c>
      <c r="AO55" s="1475">
        <f t="shared" si="14"/>
        <v>21600</v>
      </c>
      <c r="AP55" s="442"/>
      <c r="AQ55" s="621"/>
      <c r="AR55" s="621"/>
      <c r="AS55" s="621"/>
      <c r="AT55" s="621"/>
      <c r="AU55" s="621"/>
      <c r="AV55" s="621"/>
      <c r="AW55" s="621"/>
      <c r="AX55" s="621"/>
      <c r="AY55" s="621"/>
      <c r="AZ55" s="621"/>
      <c r="BA55" s="621"/>
      <c r="BB55" s="621"/>
      <c r="BC55" s="621"/>
      <c r="BD55" s="621"/>
      <c r="BE55" s="621"/>
      <c r="BF55" s="621"/>
      <c r="BG55" s="621"/>
      <c r="BH55" s="621"/>
      <c r="BI55" s="621"/>
      <c r="BJ55" s="621"/>
      <c r="BK55" s="621"/>
      <c r="BL55" s="621"/>
      <c r="BM55" s="621"/>
      <c r="BN55" s="621"/>
      <c r="BO55" s="621"/>
      <c r="BP55" s="621"/>
      <c r="BQ55" s="621"/>
      <c r="BR55" s="621"/>
      <c r="BS55" s="621"/>
      <c r="BT55" s="621"/>
      <c r="BU55" s="621"/>
      <c r="BV55" s="621"/>
      <c r="BW55" s="621"/>
      <c r="BX55" s="621"/>
      <c r="BY55" s="621"/>
      <c r="BZ55" s="621"/>
      <c r="CA55" s="621"/>
      <c r="CB55" s="621"/>
      <c r="CC55" s="621"/>
      <c r="CD55" s="621"/>
      <c r="CE55" s="621"/>
      <c r="CF55" s="621"/>
      <c r="CG55" s="621"/>
      <c r="CH55" s="621"/>
      <c r="CI55" s="621"/>
      <c r="CJ55" s="621"/>
      <c r="CK55" s="621"/>
      <c r="CL55" s="621"/>
      <c r="CM55" s="621"/>
      <c r="CN55" s="621"/>
      <c r="CO55" s="621"/>
      <c r="CP55" s="621"/>
      <c r="CQ55" s="621"/>
      <c r="CR55" s="621"/>
      <c r="CS55" s="621"/>
      <c r="CT55" s="621"/>
      <c r="CU55" s="621"/>
      <c r="CV55" s="621"/>
      <c r="CW55" s="621"/>
      <c r="CX55" s="621"/>
      <c r="CY55" s="621"/>
      <c r="CZ55" s="621"/>
      <c r="DA55" s="621"/>
      <c r="DB55" s="621"/>
      <c r="DC55" s="621"/>
      <c r="DD55" s="621"/>
      <c r="DE55" s="621"/>
      <c r="DF55" s="621"/>
      <c r="DG55" s="621"/>
      <c r="DH55" s="621"/>
      <c r="DI55" s="621"/>
      <c r="DJ55" s="621"/>
      <c r="DK55" s="621"/>
      <c r="DL55" s="621"/>
      <c r="DM55" s="621"/>
      <c r="DN55" s="621"/>
      <c r="DO55" s="621"/>
      <c r="DP55" s="621"/>
      <c r="DQ55" s="621"/>
      <c r="DR55" s="621"/>
      <c r="DS55" s="621"/>
      <c r="DT55" s="621"/>
      <c r="DU55" s="621"/>
      <c r="DV55" s="621"/>
      <c r="DW55" s="621"/>
      <c r="DX55" s="621"/>
      <c r="DY55" s="621"/>
      <c r="DZ55" s="621"/>
      <c r="EA55" s="621"/>
      <c r="EB55" s="621"/>
      <c r="EC55" s="621"/>
      <c r="ED55" s="621"/>
      <c r="EE55" s="621"/>
      <c r="EF55" s="621"/>
      <c r="EG55" s="621"/>
      <c r="EH55" s="621"/>
      <c r="EI55" s="621"/>
      <c r="EJ55" s="621"/>
      <c r="EK55" s="621"/>
      <c r="EL55" s="621"/>
      <c r="EM55" s="621"/>
      <c r="EN55" s="621"/>
      <c r="EO55" s="621"/>
      <c r="EP55" s="621"/>
      <c r="EQ55" s="621"/>
      <c r="ER55" s="621"/>
      <c r="ES55" s="621"/>
      <c r="ET55" s="621"/>
      <c r="EU55" s="621"/>
      <c r="EV55" s="621"/>
      <c r="EW55" s="621"/>
      <c r="EX55" s="621"/>
      <c r="EY55" s="621"/>
      <c r="EZ55" s="621"/>
      <c r="FA55" s="621"/>
      <c r="FB55" s="621"/>
      <c r="FC55" s="621"/>
      <c r="FD55" s="621"/>
      <c r="FE55" s="621"/>
      <c r="FF55" s="621"/>
      <c r="FG55" s="621"/>
      <c r="FH55" s="621"/>
      <c r="FI55" s="621"/>
      <c r="FJ55" s="621"/>
      <c r="FK55" s="621"/>
      <c r="FL55" s="621"/>
      <c r="FM55" s="621"/>
      <c r="FN55" s="621"/>
      <c r="FO55" s="621"/>
      <c r="FP55" s="621"/>
      <c r="FQ55" s="621"/>
      <c r="FR55" s="621"/>
      <c r="FS55" s="621"/>
      <c r="FT55" s="621"/>
      <c r="FU55" s="621"/>
      <c r="FV55" s="621"/>
      <c r="FW55" s="621"/>
      <c r="FX55" s="621"/>
      <c r="FY55" s="621"/>
      <c r="FZ55" s="621"/>
      <c r="GA55" s="621"/>
      <c r="GB55" s="621"/>
      <c r="GC55" s="621"/>
      <c r="GD55" s="621"/>
      <c r="GE55" s="621"/>
      <c r="GF55" s="621"/>
      <c r="GG55" s="621"/>
      <c r="GH55" s="621"/>
      <c r="GI55" s="621"/>
      <c r="GJ55" s="621"/>
      <c r="GK55" s="621"/>
      <c r="GL55" s="621"/>
      <c r="GM55" s="621"/>
      <c r="GN55" s="621"/>
      <c r="GO55" s="621"/>
      <c r="GP55" s="621"/>
      <c r="GQ55" s="621"/>
      <c r="GR55" s="621"/>
      <c r="GS55" s="621"/>
      <c r="GT55" s="621"/>
      <c r="GU55" s="621"/>
      <c r="GV55" s="621"/>
      <c r="GW55" s="621"/>
      <c r="GX55" s="621"/>
      <c r="GY55" s="621"/>
      <c r="GZ55" s="621"/>
      <c r="HA55" s="621"/>
      <c r="HB55" s="621"/>
      <c r="HC55" s="621"/>
      <c r="HD55" s="621"/>
      <c r="HE55" s="621"/>
      <c r="HF55" s="621"/>
      <c r="HG55" s="621"/>
      <c r="HH55" s="621"/>
      <c r="HI55" s="621"/>
      <c r="HJ55" s="621"/>
      <c r="HK55" s="621"/>
      <c r="HL55" s="621"/>
      <c r="HM55" s="621"/>
      <c r="HN55" s="621"/>
      <c r="HO55" s="621"/>
      <c r="HP55" s="621"/>
      <c r="HQ55" s="621"/>
      <c r="HR55" s="621"/>
      <c r="HS55" s="621"/>
      <c r="HT55" s="621"/>
      <c r="HU55" s="621"/>
      <c r="HV55" s="621"/>
      <c r="HW55" s="621"/>
      <c r="HX55" s="621"/>
      <c r="HY55" s="621"/>
      <c r="HZ55" s="621"/>
      <c r="IA55" s="621"/>
      <c r="IB55" s="621"/>
      <c r="IC55" s="621"/>
      <c r="ID55" s="621"/>
      <c r="IE55" s="621"/>
      <c r="IF55" s="621"/>
      <c r="IG55" s="621"/>
      <c r="IH55" s="621"/>
      <c r="II55" s="621"/>
      <c r="IJ55" s="621"/>
      <c r="IK55" s="621"/>
      <c r="IL55" s="621"/>
      <c r="IM55" s="621"/>
      <c r="IN55" s="621"/>
      <c r="IO55" s="621"/>
      <c r="IP55" s="621"/>
      <c r="IQ55" s="621"/>
      <c r="IR55" s="621"/>
      <c r="IS55" s="621"/>
      <c r="IT55" s="621"/>
      <c r="IU55" s="621"/>
      <c r="IV55" s="621"/>
      <c r="IW55" s="621"/>
      <c r="IX55" s="621"/>
      <c r="IY55" s="621"/>
      <c r="IZ55" s="621"/>
      <c r="JA55" s="621"/>
      <c r="JB55" s="621"/>
      <c r="JC55" s="621"/>
      <c r="JD55" s="621"/>
      <c r="JE55" s="621"/>
      <c r="JF55" s="621"/>
      <c r="JG55" s="621"/>
      <c r="JH55" s="621"/>
      <c r="JI55" s="621"/>
      <c r="JJ55" s="621"/>
      <c r="JK55" s="621"/>
      <c r="JL55" s="621"/>
      <c r="JM55" s="621"/>
      <c r="JN55" s="621"/>
      <c r="JO55" s="621"/>
      <c r="JP55" s="621"/>
      <c r="JQ55" s="621"/>
      <c r="JR55" s="621"/>
      <c r="JS55" s="621"/>
      <c r="JT55" s="621"/>
      <c r="JU55" s="621"/>
      <c r="JV55" s="621"/>
      <c r="JW55" s="621"/>
      <c r="JX55" s="621"/>
      <c r="JY55" s="621"/>
      <c r="JZ55" s="621"/>
      <c r="KA55" s="621"/>
      <c r="KB55" s="621"/>
      <c r="KC55" s="621"/>
      <c r="KD55" s="621"/>
      <c r="KE55" s="621"/>
      <c r="KF55" s="621"/>
      <c r="KG55" s="621"/>
      <c r="KH55" s="621"/>
      <c r="KI55" s="621"/>
      <c r="KJ55" s="621"/>
      <c r="KK55" s="621"/>
      <c r="KL55" s="621"/>
      <c r="KM55" s="621"/>
      <c r="KN55" s="621"/>
      <c r="KO55" s="621"/>
      <c r="KP55" s="621"/>
      <c r="KQ55" s="621"/>
      <c r="KR55" s="621"/>
      <c r="KS55" s="621"/>
      <c r="KT55" s="621"/>
      <c r="KU55" s="621"/>
      <c r="KV55" s="621"/>
      <c r="KW55" s="621"/>
      <c r="KX55" s="621"/>
      <c r="KY55" s="621"/>
      <c r="KZ55" s="621"/>
      <c r="LA55" s="621"/>
      <c r="LB55" s="621"/>
      <c r="LC55" s="621"/>
      <c r="LD55" s="621"/>
      <c r="LE55" s="621"/>
      <c r="LF55" s="621"/>
      <c r="LG55" s="621"/>
      <c r="LH55" s="621"/>
      <c r="LI55" s="621"/>
      <c r="LJ55" s="621"/>
      <c r="LK55" s="621"/>
      <c r="LL55" s="621"/>
      <c r="LM55" s="621"/>
      <c r="LN55" s="621"/>
      <c r="LO55" s="621"/>
      <c r="LP55" s="621"/>
      <c r="LQ55" s="621"/>
      <c r="LR55" s="621"/>
      <c r="LS55" s="621"/>
      <c r="LT55" s="621"/>
      <c r="LU55" s="621"/>
      <c r="LV55" s="621"/>
      <c r="LW55" s="621"/>
      <c r="LX55" s="621"/>
      <c r="LY55" s="621"/>
      <c r="LZ55" s="621"/>
      <c r="MA55" s="621"/>
      <c r="MB55" s="621"/>
      <c r="MC55" s="621"/>
      <c r="MD55" s="621"/>
      <c r="ME55" s="621"/>
      <c r="MF55" s="621"/>
      <c r="MG55" s="621"/>
      <c r="MH55" s="621"/>
      <c r="MI55" s="621"/>
      <c r="MJ55" s="621"/>
      <c r="MK55" s="621"/>
      <c r="ML55" s="621"/>
      <c r="MM55" s="621"/>
      <c r="MN55" s="621"/>
      <c r="MO55" s="621"/>
      <c r="MP55" s="621"/>
      <c r="MQ55" s="621"/>
      <c r="MR55" s="621"/>
      <c r="MS55" s="621"/>
      <c r="MT55" s="621"/>
      <c r="MU55" s="621"/>
      <c r="MV55" s="621"/>
      <c r="MW55" s="621"/>
      <c r="MX55" s="621"/>
      <c r="MY55" s="621"/>
      <c r="MZ55" s="621"/>
      <c r="NA55" s="621"/>
      <c r="NB55" s="621"/>
      <c r="NC55" s="621"/>
      <c r="ND55" s="621"/>
      <c r="NE55" s="621"/>
      <c r="NF55" s="621"/>
      <c r="NG55" s="621"/>
      <c r="NH55" s="621"/>
      <c r="NI55" s="621"/>
      <c r="NJ55" s="621"/>
      <c r="NK55" s="621"/>
      <c r="NL55" s="621"/>
      <c r="NM55" s="621"/>
      <c r="NN55" s="621"/>
      <c r="NO55" s="621"/>
      <c r="NP55" s="621"/>
      <c r="NQ55" s="621"/>
      <c r="NR55" s="621"/>
      <c r="NS55" s="621"/>
      <c r="NT55" s="621"/>
      <c r="NU55" s="621"/>
      <c r="NV55" s="621"/>
      <c r="NW55" s="621"/>
      <c r="NX55" s="621"/>
      <c r="NY55" s="621"/>
      <c r="NZ55" s="621"/>
      <c r="OA55" s="621"/>
      <c r="OB55" s="621"/>
      <c r="OC55" s="621"/>
      <c r="OD55" s="621"/>
      <c r="OE55" s="621"/>
      <c r="OF55" s="621"/>
      <c r="OG55" s="621"/>
      <c r="OH55" s="621"/>
      <c r="OI55" s="621"/>
      <c r="OJ55" s="621"/>
      <c r="OK55" s="621"/>
      <c r="OL55" s="621"/>
      <c r="OM55" s="621"/>
      <c r="ON55" s="621"/>
      <c r="OO55" s="621"/>
      <c r="OP55" s="621"/>
      <c r="OQ55" s="621"/>
      <c r="OR55" s="621"/>
      <c r="OS55" s="621"/>
      <c r="OT55" s="621"/>
      <c r="OU55" s="621"/>
      <c r="OV55" s="621"/>
      <c r="OW55" s="621"/>
      <c r="OX55" s="621"/>
      <c r="OY55" s="621"/>
      <c r="OZ55" s="621"/>
      <c r="PA55" s="621"/>
      <c r="PB55" s="621"/>
      <c r="PC55" s="621"/>
      <c r="PD55" s="621"/>
      <c r="PE55" s="621"/>
      <c r="PF55" s="621"/>
      <c r="PG55" s="621"/>
      <c r="PH55" s="621"/>
      <c r="PI55" s="621"/>
      <c r="PJ55" s="621"/>
      <c r="PK55" s="621"/>
      <c r="PL55" s="621"/>
      <c r="PM55" s="621"/>
      <c r="PN55" s="621"/>
      <c r="PO55" s="621"/>
      <c r="PP55" s="621"/>
      <c r="PQ55" s="621"/>
      <c r="PR55" s="621"/>
      <c r="PS55" s="621"/>
      <c r="PT55" s="621"/>
      <c r="PU55" s="621"/>
      <c r="PV55" s="621"/>
      <c r="PW55" s="621"/>
      <c r="PX55" s="621"/>
      <c r="PY55" s="621"/>
      <c r="PZ55" s="621"/>
      <c r="QA55" s="621"/>
      <c r="QB55" s="621"/>
      <c r="QC55" s="621"/>
      <c r="QD55" s="621"/>
      <c r="QE55" s="621"/>
      <c r="QF55" s="621"/>
      <c r="QG55" s="621"/>
      <c r="QH55" s="621"/>
      <c r="QI55" s="621"/>
      <c r="QJ55" s="621"/>
      <c r="QK55" s="621"/>
      <c r="QL55" s="621"/>
      <c r="QM55" s="621"/>
      <c r="QN55" s="621"/>
      <c r="QO55" s="621"/>
      <c r="QP55" s="621"/>
      <c r="QQ55" s="621"/>
      <c r="QR55" s="621"/>
      <c r="QS55" s="621"/>
      <c r="QT55" s="621"/>
      <c r="QU55" s="621"/>
      <c r="QV55" s="621"/>
      <c r="QW55" s="621"/>
      <c r="QX55" s="621"/>
      <c r="QY55" s="621"/>
      <c r="QZ55" s="621"/>
      <c r="RA55" s="621"/>
      <c r="RB55" s="621"/>
      <c r="RC55" s="621"/>
      <c r="RD55" s="621"/>
      <c r="RE55" s="621"/>
      <c r="RF55" s="621"/>
      <c r="RG55" s="621"/>
      <c r="RH55" s="621"/>
      <c r="RI55" s="621"/>
      <c r="RJ55" s="621"/>
      <c r="RK55" s="621"/>
      <c r="RL55" s="621"/>
      <c r="RM55" s="621"/>
      <c r="RN55" s="621"/>
      <c r="RO55" s="621"/>
      <c r="RP55" s="621"/>
      <c r="RQ55" s="621"/>
      <c r="RR55" s="621"/>
      <c r="RS55" s="621"/>
      <c r="RT55" s="621"/>
      <c r="RU55" s="621"/>
      <c r="RV55" s="621"/>
      <c r="RW55" s="621"/>
      <c r="RX55" s="621"/>
      <c r="RY55" s="621"/>
      <c r="RZ55" s="621"/>
      <c r="SA55" s="621"/>
      <c r="SB55" s="621"/>
      <c r="SC55" s="621"/>
      <c r="SD55" s="621"/>
      <c r="SE55" s="621"/>
      <c r="SF55" s="621"/>
      <c r="SG55" s="621"/>
      <c r="SH55" s="621"/>
      <c r="SI55" s="621"/>
      <c r="SJ55" s="621"/>
      <c r="SK55" s="621"/>
      <c r="SL55" s="621"/>
      <c r="SM55" s="621"/>
      <c r="SN55" s="621"/>
      <c r="SO55" s="621"/>
      <c r="SP55" s="621"/>
      <c r="SQ55" s="621"/>
      <c r="SR55" s="621"/>
      <c r="SS55" s="621"/>
      <c r="ST55" s="621"/>
      <c r="SU55" s="621"/>
      <c r="SV55" s="621"/>
      <c r="SW55" s="621"/>
      <c r="SX55" s="621"/>
      <c r="SY55" s="621"/>
      <c r="SZ55" s="621"/>
      <c r="TA55" s="621"/>
      <c r="TB55" s="621"/>
      <c r="TC55" s="621"/>
      <c r="TD55" s="621"/>
      <c r="TE55" s="621"/>
      <c r="TF55" s="621"/>
      <c r="TG55" s="621"/>
      <c r="TH55" s="621"/>
      <c r="TI55" s="621"/>
      <c r="TJ55" s="621"/>
      <c r="TK55" s="621"/>
      <c r="TL55" s="621"/>
      <c r="TM55" s="621"/>
      <c r="TN55" s="621"/>
      <c r="TO55" s="621"/>
      <c r="TP55" s="621"/>
      <c r="TQ55" s="621"/>
      <c r="TR55" s="621"/>
      <c r="TS55" s="621"/>
      <c r="TT55" s="621"/>
      <c r="TU55" s="621"/>
      <c r="TV55" s="621"/>
      <c r="TW55" s="621"/>
      <c r="TX55" s="621"/>
      <c r="TY55" s="621"/>
      <c r="TZ55" s="621"/>
      <c r="UA55" s="621"/>
      <c r="UB55" s="621"/>
      <c r="UC55" s="621"/>
      <c r="UD55" s="621"/>
      <c r="UE55" s="621"/>
      <c r="UF55" s="621"/>
      <c r="UG55" s="621"/>
      <c r="UH55" s="621"/>
      <c r="UI55" s="621"/>
      <c r="UJ55" s="621"/>
      <c r="UK55" s="621"/>
      <c r="UL55" s="621"/>
      <c r="UM55" s="621"/>
      <c r="UN55" s="621"/>
      <c r="UO55" s="621"/>
      <c r="UP55" s="621"/>
      <c r="UQ55" s="621"/>
      <c r="UR55" s="621"/>
      <c r="US55" s="621"/>
      <c r="UT55" s="621"/>
      <c r="UU55" s="621"/>
      <c r="UV55" s="621"/>
      <c r="UW55" s="621"/>
      <c r="UX55" s="621"/>
      <c r="UY55" s="621"/>
      <c r="UZ55" s="621"/>
      <c r="VA55" s="621"/>
      <c r="VB55" s="621"/>
      <c r="VC55" s="621"/>
      <c r="VD55" s="621"/>
      <c r="VE55" s="621"/>
      <c r="VF55" s="621"/>
      <c r="VG55" s="621"/>
      <c r="VH55" s="621"/>
      <c r="VI55" s="621"/>
      <c r="VJ55" s="621"/>
      <c r="VK55" s="621"/>
      <c r="VL55" s="621"/>
      <c r="VM55" s="621"/>
      <c r="VN55" s="621"/>
      <c r="VO55" s="621"/>
      <c r="VP55" s="621"/>
      <c r="VQ55" s="621"/>
      <c r="VR55" s="621"/>
      <c r="VS55" s="621"/>
      <c r="VT55" s="621"/>
      <c r="VU55" s="621"/>
      <c r="VV55" s="621"/>
      <c r="VW55" s="621"/>
      <c r="VX55" s="621"/>
      <c r="VY55" s="621"/>
      <c r="VZ55" s="621"/>
      <c r="WA55" s="621"/>
      <c r="WB55" s="621"/>
      <c r="WC55" s="621"/>
      <c r="WD55" s="621"/>
      <c r="WE55" s="621"/>
      <c r="WF55" s="621"/>
      <c r="WG55" s="621"/>
      <c r="WH55" s="621"/>
      <c r="WI55" s="621"/>
      <c r="WJ55" s="621"/>
      <c r="WK55" s="621"/>
      <c r="WL55" s="621"/>
      <c r="WM55" s="621"/>
      <c r="WN55" s="621"/>
      <c r="WO55" s="621"/>
      <c r="WP55" s="621"/>
      <c r="WQ55" s="621"/>
      <c r="WR55" s="621"/>
      <c r="WS55" s="621"/>
      <c r="WT55" s="621"/>
      <c r="WU55" s="621"/>
      <c r="WV55" s="621"/>
      <c r="WW55" s="621"/>
      <c r="WX55" s="621"/>
      <c r="WY55" s="621"/>
      <c r="WZ55" s="621"/>
      <c r="XA55" s="621"/>
      <c r="XB55" s="621"/>
      <c r="XC55" s="621"/>
      <c r="XD55" s="621"/>
      <c r="XE55" s="621"/>
      <c r="XF55" s="621"/>
      <c r="XG55" s="621"/>
      <c r="XH55" s="621"/>
      <c r="XI55" s="621"/>
      <c r="XJ55" s="621"/>
      <c r="XK55" s="621"/>
      <c r="XL55" s="621"/>
      <c r="XM55" s="621"/>
      <c r="XN55" s="621"/>
      <c r="XO55" s="621"/>
      <c r="XP55" s="621"/>
      <c r="XQ55" s="621"/>
      <c r="XR55" s="621"/>
      <c r="XS55" s="621"/>
      <c r="XT55" s="621"/>
      <c r="XU55" s="621"/>
      <c r="XV55" s="621"/>
      <c r="XW55" s="621"/>
      <c r="XX55" s="621"/>
      <c r="XY55" s="621"/>
      <c r="XZ55" s="621"/>
      <c r="YA55" s="621"/>
      <c r="YB55" s="621"/>
      <c r="YC55" s="621"/>
      <c r="YD55" s="621"/>
      <c r="YE55" s="621"/>
      <c r="YF55" s="621"/>
      <c r="YG55" s="621"/>
      <c r="YH55" s="621"/>
      <c r="YI55" s="621"/>
      <c r="YJ55" s="621"/>
      <c r="YK55" s="621"/>
      <c r="YL55" s="621"/>
      <c r="YM55" s="621"/>
      <c r="YN55" s="621"/>
      <c r="YO55" s="621"/>
      <c r="YP55" s="621"/>
      <c r="YQ55" s="621"/>
      <c r="YR55" s="621"/>
      <c r="YS55" s="621"/>
      <c r="YT55" s="621"/>
      <c r="YU55" s="621"/>
      <c r="YV55" s="621"/>
      <c r="YW55" s="621"/>
      <c r="YX55" s="621"/>
      <c r="YY55" s="621"/>
      <c r="YZ55" s="621"/>
      <c r="ZA55" s="621"/>
      <c r="ZB55" s="621"/>
      <c r="ZC55" s="621"/>
      <c r="ZD55" s="621"/>
      <c r="ZE55" s="621"/>
      <c r="ZF55" s="621"/>
      <c r="ZG55" s="621"/>
      <c r="ZH55" s="621"/>
      <c r="ZI55" s="621"/>
      <c r="ZJ55" s="621"/>
      <c r="ZK55" s="621"/>
      <c r="ZL55" s="621"/>
      <c r="ZM55" s="621"/>
      <c r="ZN55" s="621"/>
      <c r="ZO55" s="621"/>
      <c r="ZP55" s="621"/>
      <c r="ZQ55" s="621"/>
      <c r="ZR55" s="621"/>
      <c r="ZS55" s="621"/>
      <c r="ZT55" s="621"/>
      <c r="ZU55" s="621"/>
      <c r="ZV55" s="621"/>
      <c r="ZW55" s="621"/>
      <c r="ZX55" s="621"/>
      <c r="ZY55" s="621"/>
      <c r="ZZ55" s="621"/>
      <c r="AAA55" s="621"/>
      <c r="AAB55" s="621"/>
      <c r="AAC55" s="621"/>
      <c r="AAD55" s="621"/>
      <c r="AAE55" s="621"/>
      <c r="AAF55" s="621"/>
      <c r="AAG55" s="621"/>
      <c r="AAH55" s="621"/>
      <c r="AAI55" s="621"/>
      <c r="AAJ55" s="621"/>
      <c r="AAK55" s="621"/>
      <c r="AAL55" s="621"/>
      <c r="AAM55" s="621"/>
      <c r="AAN55" s="621"/>
      <c r="AAO55" s="621"/>
      <c r="AAP55" s="621"/>
      <c r="AAQ55" s="621"/>
      <c r="AAR55" s="621"/>
      <c r="AAS55" s="621"/>
      <c r="AAT55" s="621"/>
      <c r="AAU55" s="621"/>
      <c r="AAV55" s="621"/>
      <c r="AAW55" s="621"/>
      <c r="AAX55" s="621"/>
      <c r="AAY55" s="621"/>
      <c r="AAZ55" s="621"/>
      <c r="ABA55" s="621"/>
      <c r="ABB55" s="621"/>
      <c r="ABC55" s="621"/>
      <c r="ABD55" s="621"/>
      <c r="ABE55" s="621"/>
      <c r="ABF55" s="621"/>
      <c r="ABG55" s="621"/>
      <c r="ABH55" s="621"/>
      <c r="ABI55" s="621"/>
      <c r="ABJ55" s="621"/>
      <c r="ABK55" s="621"/>
      <c r="ABL55" s="621"/>
      <c r="ABM55" s="621"/>
      <c r="ABN55" s="621"/>
      <c r="ABO55" s="621"/>
      <c r="ABP55" s="621"/>
      <c r="ABQ55" s="621"/>
      <c r="ABR55" s="621"/>
      <c r="ABS55" s="621"/>
      <c r="ABT55" s="621"/>
      <c r="ABU55" s="621"/>
      <c r="ABV55" s="621"/>
      <c r="ABW55" s="621"/>
      <c r="ABX55" s="621"/>
      <c r="ABY55" s="621"/>
      <c r="ABZ55" s="621"/>
      <c r="ACA55" s="621"/>
      <c r="ACB55" s="621"/>
      <c r="ACC55" s="621"/>
      <c r="ACD55" s="621"/>
      <c r="ACE55" s="621"/>
      <c r="ACF55" s="621"/>
      <c r="ACG55" s="621"/>
      <c r="ACH55" s="621"/>
      <c r="ACI55" s="621"/>
      <c r="ACJ55" s="621"/>
      <c r="ACK55" s="621"/>
      <c r="ACL55" s="621"/>
      <c r="ACM55" s="621"/>
      <c r="ACN55" s="621"/>
      <c r="ACO55" s="621"/>
      <c r="ACP55" s="621"/>
      <c r="ACQ55" s="621"/>
      <c r="ACR55" s="621"/>
      <c r="ACS55" s="621"/>
      <c r="ACT55" s="621"/>
      <c r="ACU55" s="621"/>
      <c r="ACV55" s="621"/>
      <c r="ACW55" s="621"/>
      <c r="ACX55" s="621"/>
      <c r="ACY55" s="621"/>
      <c r="ACZ55" s="621"/>
      <c r="ADA55" s="621"/>
      <c r="ADB55" s="621"/>
      <c r="ADC55" s="621"/>
      <c r="ADD55" s="621"/>
      <c r="ADE55" s="621"/>
      <c r="ADF55" s="621"/>
      <c r="ADG55" s="621"/>
      <c r="ADH55" s="621"/>
      <c r="ADI55" s="621"/>
      <c r="ADJ55" s="621"/>
      <c r="ADK55" s="621"/>
      <c r="ADL55" s="621"/>
      <c r="ADM55" s="621"/>
      <c r="ADN55" s="621"/>
      <c r="ADO55" s="621"/>
      <c r="ADP55" s="621"/>
      <c r="ADQ55" s="621"/>
      <c r="ADR55" s="621"/>
      <c r="ADS55" s="621"/>
      <c r="ADT55" s="621"/>
      <c r="ADU55" s="621"/>
      <c r="ADV55" s="621"/>
      <c r="ADW55" s="621"/>
      <c r="ADX55" s="621"/>
      <c r="ADY55" s="621"/>
      <c r="ADZ55" s="621"/>
      <c r="AEA55" s="621"/>
      <c r="AEB55" s="621"/>
      <c r="AEC55" s="621"/>
      <c r="AED55" s="621"/>
      <c r="AEE55" s="621"/>
      <c r="AEF55" s="621"/>
      <c r="AEG55" s="621"/>
      <c r="AEH55" s="621"/>
      <c r="AEI55" s="621"/>
      <c r="AEJ55" s="621"/>
      <c r="AEK55" s="621"/>
      <c r="AEL55" s="621"/>
      <c r="AEM55" s="621"/>
      <c r="AEN55" s="621"/>
      <c r="AEO55" s="621"/>
      <c r="AEP55" s="621"/>
      <c r="AEQ55" s="621"/>
      <c r="AER55" s="621"/>
      <c r="AES55" s="621"/>
      <c r="AET55" s="621"/>
      <c r="AEU55" s="621"/>
      <c r="AEV55" s="621"/>
      <c r="AEW55" s="621"/>
      <c r="AEX55" s="621"/>
      <c r="AEY55" s="621"/>
      <c r="AEZ55" s="621"/>
      <c r="AFA55" s="621"/>
      <c r="AFB55" s="621"/>
      <c r="AFC55" s="621"/>
      <c r="AFD55" s="621"/>
      <c r="AFE55" s="621"/>
      <c r="AFF55" s="621"/>
      <c r="AFG55" s="621"/>
      <c r="AFH55" s="621"/>
      <c r="AFI55" s="621"/>
      <c r="AFJ55" s="621"/>
      <c r="AFK55" s="621"/>
      <c r="AFL55" s="621"/>
      <c r="AFM55" s="621"/>
      <c r="AFN55" s="621"/>
      <c r="AFO55" s="621"/>
      <c r="AFP55" s="621"/>
      <c r="AFQ55" s="621"/>
      <c r="AFR55" s="621"/>
      <c r="AFS55" s="621"/>
      <c r="AFT55" s="621"/>
      <c r="AFU55" s="621"/>
      <c r="AFV55" s="621"/>
      <c r="AFW55" s="621"/>
      <c r="AFX55" s="621"/>
      <c r="AFY55" s="621"/>
      <c r="AFZ55" s="621"/>
      <c r="AGA55" s="621"/>
      <c r="AGB55" s="621"/>
      <c r="AGC55" s="621"/>
      <c r="AGD55" s="621"/>
      <c r="AGE55" s="621"/>
      <c r="AGF55" s="621"/>
      <c r="AGG55" s="621"/>
      <c r="AGH55" s="621"/>
      <c r="AGI55" s="621"/>
      <c r="AGJ55" s="621"/>
      <c r="AGK55" s="621"/>
      <c r="AGL55" s="621"/>
      <c r="AGM55" s="621"/>
      <c r="AGN55" s="621"/>
      <c r="AGO55" s="621"/>
      <c r="AGP55" s="621"/>
      <c r="AGQ55" s="621"/>
      <c r="AGR55" s="621"/>
      <c r="AGS55" s="621"/>
      <c r="AGT55" s="621"/>
      <c r="AGU55" s="621"/>
      <c r="AGV55" s="621"/>
      <c r="AGW55" s="621"/>
      <c r="AGX55" s="621"/>
      <c r="AGY55" s="621"/>
      <c r="AGZ55" s="621"/>
      <c r="AHA55" s="621"/>
      <c r="AHB55" s="621"/>
      <c r="AHC55" s="621"/>
      <c r="AHD55" s="621"/>
      <c r="AHE55" s="621"/>
      <c r="AHF55" s="621"/>
      <c r="AHG55" s="621"/>
      <c r="AHH55" s="621"/>
      <c r="AHI55" s="621"/>
      <c r="AHJ55" s="621"/>
      <c r="AHK55" s="621"/>
      <c r="AHL55" s="621"/>
      <c r="AHM55" s="621"/>
      <c r="AHN55" s="621"/>
      <c r="AHO55" s="621"/>
      <c r="AHP55" s="621"/>
      <c r="AHQ55" s="621"/>
      <c r="AHR55" s="621"/>
      <c r="AHS55" s="621"/>
      <c r="AHT55" s="621"/>
      <c r="AHU55" s="621"/>
      <c r="AHV55" s="621"/>
      <c r="AHW55" s="621"/>
      <c r="AHX55" s="621"/>
      <c r="AHY55" s="621"/>
      <c r="AHZ55" s="621"/>
      <c r="AIA55" s="621"/>
      <c r="AIB55" s="621"/>
      <c r="AIC55" s="621"/>
      <c r="AID55" s="621"/>
      <c r="AIE55" s="621"/>
      <c r="AIF55" s="621"/>
      <c r="AIG55" s="621"/>
      <c r="AIH55" s="621"/>
      <c r="AII55" s="621"/>
      <c r="AIJ55" s="621"/>
      <c r="AIK55" s="621"/>
      <c r="AIL55" s="621"/>
      <c r="AIM55" s="621"/>
      <c r="AIN55" s="621"/>
      <c r="AIO55" s="621"/>
      <c r="AIP55" s="621"/>
      <c r="AIQ55" s="621"/>
      <c r="AIR55" s="621"/>
      <c r="AIS55" s="621"/>
      <c r="AIT55" s="621"/>
      <c r="AIU55" s="621"/>
      <c r="AIV55" s="621"/>
      <c r="AIW55" s="621"/>
      <c r="AIX55" s="621"/>
      <c r="AIY55" s="621"/>
      <c r="AIZ55" s="621"/>
      <c r="AJA55" s="621"/>
      <c r="AJB55" s="621"/>
      <c r="AJC55" s="621"/>
      <c r="AJD55" s="621"/>
      <c r="AJE55" s="621"/>
      <c r="AJF55" s="621"/>
      <c r="AJG55" s="621"/>
      <c r="AJH55" s="621"/>
      <c r="AJI55" s="621"/>
      <c r="AJJ55" s="621"/>
      <c r="AJK55" s="621"/>
      <c r="AJL55" s="621"/>
      <c r="AJM55" s="621"/>
      <c r="AJN55" s="621"/>
      <c r="AJO55" s="621"/>
      <c r="AJP55" s="621"/>
      <c r="AJQ55" s="621"/>
      <c r="AJR55" s="621"/>
      <c r="AJS55" s="621"/>
      <c r="AJT55" s="621"/>
      <c r="AJU55" s="621"/>
      <c r="AJV55" s="621"/>
      <c r="AJW55" s="621"/>
      <c r="AJX55" s="621"/>
      <c r="AJY55" s="621"/>
      <c r="AJZ55" s="621"/>
      <c r="AKA55" s="621"/>
      <c r="AKB55" s="621"/>
      <c r="AKC55" s="621"/>
      <c r="AKD55" s="621"/>
      <c r="AKE55" s="621"/>
      <c r="AKF55" s="621"/>
      <c r="AKG55" s="621"/>
      <c r="AKH55" s="621"/>
      <c r="AKI55" s="621"/>
      <c r="AKJ55" s="621"/>
      <c r="AKK55" s="621"/>
      <c r="AKL55" s="621"/>
      <c r="AKM55" s="621"/>
      <c r="AKN55" s="621"/>
      <c r="AKO55" s="621"/>
      <c r="AKP55" s="621"/>
      <c r="AKQ55" s="621"/>
      <c r="AKR55" s="621"/>
      <c r="AKS55" s="621"/>
      <c r="AKT55" s="621"/>
      <c r="AKU55" s="621"/>
      <c r="AKV55" s="621"/>
      <c r="AKW55" s="621"/>
      <c r="AKX55" s="621"/>
      <c r="AKY55" s="621"/>
      <c r="AKZ55" s="621"/>
      <c r="ALA55" s="621"/>
      <c r="ALB55" s="621"/>
      <c r="ALC55" s="621"/>
      <c r="ALD55" s="621"/>
      <c r="ALE55" s="621"/>
      <c r="ALF55" s="621"/>
      <c r="ALG55" s="621"/>
      <c r="ALH55" s="621"/>
      <c r="ALI55" s="621"/>
      <c r="ALJ55" s="621"/>
      <c r="ALK55" s="621"/>
      <c r="ALL55" s="621"/>
      <c r="ALM55" s="621"/>
      <c r="ALN55" s="621"/>
      <c r="ALO55" s="621"/>
      <c r="ALP55" s="621"/>
      <c r="ALQ55" s="621"/>
      <c r="ALR55" s="621"/>
      <c r="ALS55" s="621"/>
      <c r="ALT55" s="621"/>
      <c r="ALU55" s="621"/>
      <c r="ALV55" s="621"/>
      <c r="ALW55" s="621"/>
      <c r="ALX55" s="621"/>
      <c r="ALY55" s="621"/>
      <c r="ALZ55" s="621"/>
      <c r="AMA55" s="621"/>
      <c r="AMB55" s="621"/>
      <c r="AMC55" s="621"/>
      <c r="AMD55" s="621"/>
      <c r="AME55" s="621"/>
      <c r="AMF55" s="621"/>
      <c r="AMG55" s="621"/>
      <c r="AMH55" s="621"/>
      <c r="AMI55" s="621"/>
      <c r="AMJ55" s="621"/>
      <c r="AMK55" s="621"/>
    </row>
    <row r="56" spans="1:1025" ht="32.25" customHeight="1">
      <c r="A56" s="374">
        <v>2.4</v>
      </c>
      <c r="B56" s="408" t="s">
        <v>276</v>
      </c>
      <c r="C56" s="408">
        <f>SUM(C57:C58)</f>
        <v>399532.23919999995</v>
      </c>
      <c r="D56" s="418">
        <f>D57+D58</f>
        <v>341481.67999999993</v>
      </c>
      <c r="E56" s="2043"/>
      <c r="F56" s="2043"/>
      <c r="G56" s="443"/>
      <c r="H56" s="420"/>
      <c r="I56" s="594"/>
      <c r="J56" s="549">
        <v>363797.7</v>
      </c>
      <c r="K56" s="594">
        <f>+D56-J56</f>
        <v>-22316.020000000077</v>
      </c>
      <c r="P56" s="272"/>
      <c r="Q56" s="444"/>
      <c r="R56" s="542">
        <v>2833.6</v>
      </c>
      <c r="S56" s="437"/>
      <c r="T56" s="272"/>
      <c r="U56" s="397"/>
      <c r="V56" s="452"/>
      <c r="W56" s="452"/>
      <c r="X56" s="452"/>
      <c r="Y56" s="397"/>
      <c r="Z56" s="397"/>
      <c r="AA56" s="397"/>
      <c r="AD56" s="1455"/>
      <c r="AE56" s="1486"/>
      <c r="AF56" s="1500" t="s">
        <v>136</v>
      </c>
      <c r="AG56" s="1485"/>
      <c r="AH56" s="1485">
        <v>8</v>
      </c>
      <c r="AI56" s="1485">
        <v>6</v>
      </c>
      <c r="AJ56" s="1485">
        <f t="shared" si="11"/>
        <v>0</v>
      </c>
      <c r="AK56" s="1485">
        <v>15</v>
      </c>
      <c r="AL56" s="1485">
        <f t="shared" si="12"/>
        <v>0</v>
      </c>
      <c r="AM56" s="1475">
        <f t="shared" si="13"/>
        <v>0</v>
      </c>
      <c r="AN56" s="1484">
        <v>5</v>
      </c>
      <c r="AO56" s="1483">
        <f t="shared" si="14"/>
        <v>0</v>
      </c>
      <c r="AP56" s="442"/>
      <c r="AQ56" s="621"/>
      <c r="AR56" s="621"/>
      <c r="AS56" s="621"/>
      <c r="AT56" s="621"/>
      <c r="AU56" s="621"/>
      <c r="AV56" s="621"/>
      <c r="AW56" s="621"/>
      <c r="AX56" s="621"/>
      <c r="AY56" s="621"/>
      <c r="AZ56" s="621"/>
      <c r="BA56" s="621"/>
      <c r="BB56" s="621"/>
      <c r="BC56" s="621"/>
      <c r="BD56" s="621"/>
      <c r="BE56" s="621"/>
      <c r="BF56" s="621"/>
      <c r="BG56" s="621"/>
      <c r="BH56" s="621"/>
      <c r="BI56" s="621"/>
      <c r="BJ56" s="621"/>
      <c r="BK56" s="621"/>
      <c r="BL56" s="621"/>
      <c r="BM56" s="621"/>
      <c r="BN56" s="621"/>
      <c r="BO56" s="621"/>
      <c r="BP56" s="621"/>
      <c r="BQ56" s="621"/>
      <c r="BR56" s="621"/>
      <c r="BS56" s="621"/>
      <c r="BT56" s="621"/>
      <c r="BU56" s="621"/>
      <c r="BV56" s="621"/>
      <c r="BW56" s="621"/>
      <c r="BX56" s="621"/>
      <c r="BY56" s="621"/>
      <c r="BZ56" s="621"/>
      <c r="CA56" s="621"/>
      <c r="CB56" s="621"/>
      <c r="CC56" s="621"/>
      <c r="CD56" s="621"/>
      <c r="CE56" s="621"/>
      <c r="CF56" s="621"/>
      <c r="CG56" s="621"/>
      <c r="CH56" s="621"/>
      <c r="CI56" s="621"/>
      <c r="CJ56" s="621"/>
      <c r="CK56" s="621"/>
      <c r="CL56" s="621"/>
      <c r="CM56" s="621"/>
      <c r="CN56" s="621"/>
      <c r="CO56" s="621"/>
      <c r="CP56" s="621"/>
      <c r="CQ56" s="621"/>
      <c r="CR56" s="621"/>
      <c r="CS56" s="621"/>
      <c r="CT56" s="621"/>
      <c r="CU56" s="621"/>
      <c r="CV56" s="621"/>
      <c r="CW56" s="621"/>
      <c r="CX56" s="621"/>
      <c r="CY56" s="621"/>
      <c r="CZ56" s="621"/>
      <c r="DA56" s="621"/>
      <c r="DB56" s="621"/>
      <c r="DC56" s="621"/>
      <c r="DD56" s="621"/>
      <c r="DE56" s="621"/>
      <c r="DF56" s="621"/>
      <c r="DG56" s="621"/>
      <c r="DH56" s="621"/>
      <c r="DI56" s="621"/>
      <c r="DJ56" s="621"/>
      <c r="DK56" s="621"/>
      <c r="DL56" s="621"/>
      <c r="DM56" s="621"/>
      <c r="DN56" s="621"/>
      <c r="DO56" s="621"/>
      <c r="DP56" s="621"/>
      <c r="DQ56" s="621"/>
      <c r="DR56" s="621"/>
      <c r="DS56" s="621"/>
      <c r="DT56" s="621"/>
      <c r="DU56" s="621"/>
      <c r="DV56" s="621"/>
      <c r="DW56" s="621"/>
      <c r="DX56" s="621"/>
      <c r="DY56" s="621"/>
      <c r="DZ56" s="621"/>
      <c r="EA56" s="621"/>
      <c r="EB56" s="621"/>
      <c r="EC56" s="621"/>
      <c r="ED56" s="621"/>
      <c r="EE56" s="621"/>
      <c r="EF56" s="621"/>
      <c r="EG56" s="621"/>
      <c r="EH56" s="621"/>
      <c r="EI56" s="621"/>
      <c r="EJ56" s="621"/>
      <c r="EK56" s="621"/>
      <c r="EL56" s="621"/>
      <c r="EM56" s="621"/>
      <c r="EN56" s="621"/>
      <c r="EO56" s="621"/>
      <c r="EP56" s="621"/>
      <c r="EQ56" s="621"/>
      <c r="ER56" s="621"/>
      <c r="ES56" s="621"/>
      <c r="ET56" s="621"/>
      <c r="EU56" s="621"/>
      <c r="EV56" s="621"/>
      <c r="EW56" s="621"/>
      <c r="EX56" s="621"/>
      <c r="EY56" s="621"/>
      <c r="EZ56" s="621"/>
      <c r="FA56" s="621"/>
      <c r="FB56" s="621"/>
      <c r="FC56" s="621"/>
      <c r="FD56" s="621"/>
      <c r="FE56" s="621"/>
      <c r="FF56" s="621"/>
      <c r="FG56" s="621"/>
      <c r="FH56" s="621"/>
      <c r="FI56" s="621"/>
      <c r="FJ56" s="621"/>
      <c r="FK56" s="621"/>
      <c r="FL56" s="621"/>
      <c r="FM56" s="621"/>
      <c r="FN56" s="621"/>
      <c r="FO56" s="621"/>
      <c r="FP56" s="621"/>
      <c r="FQ56" s="621"/>
      <c r="FR56" s="621"/>
      <c r="FS56" s="621"/>
      <c r="FT56" s="621"/>
      <c r="FU56" s="621"/>
      <c r="FV56" s="621"/>
      <c r="FW56" s="621"/>
      <c r="FX56" s="621"/>
      <c r="FY56" s="621"/>
      <c r="FZ56" s="621"/>
      <c r="GA56" s="621"/>
      <c r="GB56" s="621"/>
      <c r="GC56" s="621"/>
      <c r="GD56" s="621"/>
      <c r="GE56" s="621"/>
      <c r="GF56" s="621"/>
      <c r="GG56" s="621"/>
      <c r="GH56" s="621"/>
      <c r="GI56" s="621"/>
      <c r="GJ56" s="621"/>
      <c r="GK56" s="621"/>
      <c r="GL56" s="621"/>
      <c r="GM56" s="621"/>
      <c r="GN56" s="621"/>
      <c r="GO56" s="621"/>
      <c r="GP56" s="621"/>
      <c r="GQ56" s="621"/>
      <c r="GR56" s="621"/>
      <c r="GS56" s="621"/>
      <c r="GT56" s="621"/>
      <c r="GU56" s="621"/>
      <c r="GV56" s="621"/>
      <c r="GW56" s="621"/>
      <c r="GX56" s="621"/>
      <c r="GY56" s="621"/>
      <c r="GZ56" s="621"/>
      <c r="HA56" s="621"/>
      <c r="HB56" s="621"/>
      <c r="HC56" s="621"/>
      <c r="HD56" s="621"/>
      <c r="HE56" s="621"/>
      <c r="HF56" s="621"/>
      <c r="HG56" s="621"/>
      <c r="HH56" s="621"/>
      <c r="HI56" s="621"/>
      <c r="HJ56" s="621"/>
      <c r="HK56" s="621"/>
      <c r="HL56" s="621"/>
      <c r="HM56" s="621"/>
      <c r="HN56" s="621"/>
      <c r="HO56" s="621"/>
      <c r="HP56" s="621"/>
      <c r="HQ56" s="621"/>
      <c r="HR56" s="621"/>
      <c r="HS56" s="621"/>
      <c r="HT56" s="621"/>
      <c r="HU56" s="621"/>
      <c r="HV56" s="621"/>
      <c r="HW56" s="621"/>
      <c r="HX56" s="621"/>
      <c r="HY56" s="621"/>
      <c r="HZ56" s="621"/>
      <c r="IA56" s="621"/>
      <c r="IB56" s="621"/>
      <c r="IC56" s="621"/>
      <c r="ID56" s="621"/>
      <c r="IE56" s="621"/>
      <c r="IF56" s="621"/>
      <c r="IG56" s="621"/>
      <c r="IH56" s="621"/>
      <c r="II56" s="621"/>
      <c r="IJ56" s="621"/>
      <c r="IK56" s="621"/>
      <c r="IL56" s="621"/>
      <c r="IM56" s="621"/>
      <c r="IN56" s="621"/>
      <c r="IO56" s="621"/>
      <c r="IP56" s="621"/>
      <c r="IQ56" s="621"/>
      <c r="IR56" s="621"/>
      <c r="IS56" s="621"/>
      <c r="IT56" s="621"/>
      <c r="IU56" s="621"/>
      <c r="IV56" s="621"/>
      <c r="IW56" s="621"/>
      <c r="IX56" s="621"/>
      <c r="IY56" s="621"/>
      <c r="IZ56" s="621"/>
      <c r="JA56" s="621"/>
      <c r="JB56" s="621"/>
      <c r="JC56" s="621"/>
      <c r="JD56" s="621"/>
      <c r="JE56" s="621"/>
      <c r="JF56" s="621"/>
      <c r="JG56" s="621"/>
      <c r="JH56" s="621"/>
      <c r="JI56" s="621"/>
      <c r="JJ56" s="621"/>
      <c r="JK56" s="621"/>
      <c r="JL56" s="621"/>
      <c r="JM56" s="621"/>
      <c r="JN56" s="621"/>
      <c r="JO56" s="621"/>
      <c r="JP56" s="621"/>
      <c r="JQ56" s="621"/>
      <c r="JR56" s="621"/>
      <c r="JS56" s="621"/>
      <c r="JT56" s="621"/>
      <c r="JU56" s="621"/>
      <c r="JV56" s="621"/>
      <c r="JW56" s="621"/>
      <c r="JX56" s="621"/>
      <c r="JY56" s="621"/>
      <c r="JZ56" s="621"/>
      <c r="KA56" s="621"/>
      <c r="KB56" s="621"/>
      <c r="KC56" s="621"/>
      <c r="KD56" s="621"/>
      <c r="KE56" s="621"/>
      <c r="KF56" s="621"/>
      <c r="KG56" s="621"/>
      <c r="KH56" s="621"/>
      <c r="KI56" s="621"/>
      <c r="KJ56" s="621"/>
      <c r="KK56" s="621"/>
      <c r="KL56" s="621"/>
      <c r="KM56" s="621"/>
      <c r="KN56" s="621"/>
      <c r="KO56" s="621"/>
      <c r="KP56" s="621"/>
      <c r="KQ56" s="621"/>
      <c r="KR56" s="621"/>
      <c r="KS56" s="621"/>
      <c r="KT56" s="621"/>
      <c r="KU56" s="621"/>
      <c r="KV56" s="621"/>
      <c r="KW56" s="621"/>
      <c r="KX56" s="621"/>
      <c r="KY56" s="621"/>
      <c r="KZ56" s="621"/>
      <c r="LA56" s="621"/>
      <c r="LB56" s="621"/>
      <c r="LC56" s="621"/>
      <c r="LD56" s="621"/>
      <c r="LE56" s="621"/>
      <c r="LF56" s="621"/>
      <c r="LG56" s="621"/>
      <c r="LH56" s="621"/>
      <c r="LI56" s="621"/>
      <c r="LJ56" s="621"/>
      <c r="LK56" s="621"/>
      <c r="LL56" s="621"/>
      <c r="LM56" s="621"/>
      <c r="LN56" s="621"/>
      <c r="LO56" s="621"/>
      <c r="LP56" s="621"/>
      <c r="LQ56" s="621"/>
      <c r="LR56" s="621"/>
      <c r="LS56" s="621"/>
      <c r="LT56" s="621"/>
      <c r="LU56" s="621"/>
      <c r="LV56" s="621"/>
      <c r="LW56" s="621"/>
      <c r="LX56" s="621"/>
      <c r="LY56" s="621"/>
      <c r="LZ56" s="621"/>
      <c r="MA56" s="621"/>
      <c r="MB56" s="621"/>
      <c r="MC56" s="621"/>
      <c r="MD56" s="621"/>
      <c r="ME56" s="621"/>
      <c r="MF56" s="621"/>
      <c r="MG56" s="621"/>
      <c r="MH56" s="621"/>
      <c r="MI56" s="621"/>
      <c r="MJ56" s="621"/>
      <c r="MK56" s="621"/>
      <c r="ML56" s="621"/>
      <c r="MM56" s="621"/>
      <c r="MN56" s="621"/>
      <c r="MO56" s="621"/>
      <c r="MP56" s="621"/>
      <c r="MQ56" s="621"/>
      <c r="MR56" s="621"/>
      <c r="MS56" s="621"/>
      <c r="MT56" s="621"/>
      <c r="MU56" s="621"/>
      <c r="MV56" s="621"/>
      <c r="MW56" s="621"/>
      <c r="MX56" s="621"/>
      <c r="MY56" s="621"/>
      <c r="MZ56" s="621"/>
      <c r="NA56" s="621"/>
      <c r="NB56" s="621"/>
      <c r="NC56" s="621"/>
      <c r="ND56" s="621"/>
      <c r="NE56" s="621"/>
      <c r="NF56" s="621"/>
      <c r="NG56" s="621"/>
      <c r="NH56" s="621"/>
      <c r="NI56" s="621"/>
      <c r="NJ56" s="621"/>
      <c r="NK56" s="621"/>
      <c r="NL56" s="621"/>
      <c r="NM56" s="621"/>
      <c r="NN56" s="621"/>
      <c r="NO56" s="621"/>
      <c r="NP56" s="621"/>
      <c r="NQ56" s="621"/>
      <c r="NR56" s="621"/>
      <c r="NS56" s="621"/>
      <c r="NT56" s="621"/>
      <c r="NU56" s="621"/>
      <c r="NV56" s="621"/>
      <c r="NW56" s="621"/>
      <c r="NX56" s="621"/>
      <c r="NY56" s="621"/>
      <c r="NZ56" s="621"/>
      <c r="OA56" s="621"/>
      <c r="OB56" s="621"/>
      <c r="OC56" s="621"/>
      <c r="OD56" s="621"/>
      <c r="OE56" s="621"/>
      <c r="OF56" s="621"/>
      <c r="OG56" s="621"/>
      <c r="OH56" s="621"/>
      <c r="OI56" s="621"/>
      <c r="OJ56" s="621"/>
      <c r="OK56" s="621"/>
      <c r="OL56" s="621"/>
      <c r="OM56" s="621"/>
      <c r="ON56" s="621"/>
      <c r="OO56" s="621"/>
      <c r="OP56" s="621"/>
      <c r="OQ56" s="621"/>
      <c r="OR56" s="621"/>
      <c r="OS56" s="621"/>
      <c r="OT56" s="621"/>
      <c r="OU56" s="621"/>
      <c r="OV56" s="621"/>
      <c r="OW56" s="621"/>
      <c r="OX56" s="621"/>
      <c r="OY56" s="621"/>
      <c r="OZ56" s="621"/>
      <c r="PA56" s="621"/>
      <c r="PB56" s="621"/>
      <c r="PC56" s="621"/>
      <c r="PD56" s="621"/>
      <c r="PE56" s="621"/>
      <c r="PF56" s="621"/>
      <c r="PG56" s="621"/>
      <c r="PH56" s="621"/>
      <c r="PI56" s="621"/>
      <c r="PJ56" s="621"/>
      <c r="PK56" s="621"/>
      <c r="PL56" s="621"/>
      <c r="PM56" s="621"/>
      <c r="PN56" s="621"/>
      <c r="PO56" s="621"/>
      <c r="PP56" s="621"/>
      <c r="PQ56" s="621"/>
      <c r="PR56" s="621"/>
      <c r="PS56" s="621"/>
      <c r="PT56" s="621"/>
      <c r="PU56" s="621"/>
      <c r="PV56" s="621"/>
      <c r="PW56" s="621"/>
      <c r="PX56" s="621"/>
      <c r="PY56" s="621"/>
      <c r="PZ56" s="621"/>
      <c r="QA56" s="621"/>
      <c r="QB56" s="621"/>
      <c r="QC56" s="621"/>
      <c r="QD56" s="621"/>
      <c r="QE56" s="621"/>
      <c r="QF56" s="621"/>
      <c r="QG56" s="621"/>
      <c r="QH56" s="621"/>
      <c r="QI56" s="621"/>
      <c r="QJ56" s="621"/>
      <c r="QK56" s="621"/>
      <c r="QL56" s="621"/>
      <c r="QM56" s="621"/>
      <c r="QN56" s="621"/>
      <c r="QO56" s="621"/>
      <c r="QP56" s="621"/>
      <c r="QQ56" s="621"/>
      <c r="QR56" s="621"/>
      <c r="QS56" s="621"/>
      <c r="QT56" s="621"/>
      <c r="QU56" s="621"/>
      <c r="QV56" s="621"/>
      <c r="QW56" s="621"/>
      <c r="QX56" s="621"/>
      <c r="QY56" s="621"/>
      <c r="QZ56" s="621"/>
      <c r="RA56" s="621"/>
      <c r="RB56" s="621"/>
      <c r="RC56" s="621"/>
      <c r="RD56" s="621"/>
      <c r="RE56" s="621"/>
      <c r="RF56" s="621"/>
      <c r="RG56" s="621"/>
      <c r="RH56" s="621"/>
      <c r="RI56" s="621"/>
      <c r="RJ56" s="621"/>
      <c r="RK56" s="621"/>
      <c r="RL56" s="621"/>
      <c r="RM56" s="621"/>
      <c r="RN56" s="621"/>
      <c r="RO56" s="621"/>
      <c r="RP56" s="621"/>
      <c r="RQ56" s="621"/>
      <c r="RR56" s="621"/>
      <c r="RS56" s="621"/>
      <c r="RT56" s="621"/>
      <c r="RU56" s="621"/>
      <c r="RV56" s="621"/>
      <c r="RW56" s="621"/>
      <c r="RX56" s="621"/>
      <c r="RY56" s="621"/>
      <c r="RZ56" s="621"/>
      <c r="SA56" s="621"/>
      <c r="SB56" s="621"/>
      <c r="SC56" s="621"/>
      <c r="SD56" s="621"/>
      <c r="SE56" s="621"/>
      <c r="SF56" s="621"/>
      <c r="SG56" s="621"/>
      <c r="SH56" s="621"/>
      <c r="SI56" s="621"/>
      <c r="SJ56" s="621"/>
      <c r="SK56" s="621"/>
      <c r="SL56" s="621"/>
      <c r="SM56" s="621"/>
      <c r="SN56" s="621"/>
      <c r="SO56" s="621"/>
      <c r="SP56" s="621"/>
      <c r="SQ56" s="621"/>
      <c r="SR56" s="621"/>
      <c r="SS56" s="621"/>
      <c r="ST56" s="621"/>
      <c r="SU56" s="621"/>
      <c r="SV56" s="621"/>
      <c r="SW56" s="621"/>
      <c r="SX56" s="621"/>
      <c r="SY56" s="621"/>
      <c r="SZ56" s="621"/>
      <c r="TA56" s="621"/>
      <c r="TB56" s="621"/>
      <c r="TC56" s="621"/>
      <c r="TD56" s="621"/>
      <c r="TE56" s="621"/>
      <c r="TF56" s="621"/>
      <c r="TG56" s="621"/>
      <c r="TH56" s="621"/>
      <c r="TI56" s="621"/>
      <c r="TJ56" s="621"/>
      <c r="TK56" s="621"/>
      <c r="TL56" s="621"/>
      <c r="TM56" s="621"/>
      <c r="TN56" s="621"/>
      <c r="TO56" s="621"/>
      <c r="TP56" s="621"/>
      <c r="TQ56" s="621"/>
      <c r="TR56" s="621"/>
      <c r="TS56" s="621"/>
      <c r="TT56" s="621"/>
      <c r="TU56" s="621"/>
      <c r="TV56" s="621"/>
      <c r="TW56" s="621"/>
      <c r="TX56" s="621"/>
      <c r="TY56" s="621"/>
      <c r="TZ56" s="621"/>
      <c r="UA56" s="621"/>
      <c r="UB56" s="621"/>
      <c r="UC56" s="621"/>
      <c r="UD56" s="621"/>
      <c r="UE56" s="621"/>
      <c r="UF56" s="621"/>
      <c r="UG56" s="621"/>
      <c r="UH56" s="621"/>
      <c r="UI56" s="621"/>
      <c r="UJ56" s="621"/>
      <c r="UK56" s="621"/>
      <c r="UL56" s="621"/>
      <c r="UM56" s="621"/>
      <c r="UN56" s="621"/>
      <c r="UO56" s="621"/>
      <c r="UP56" s="621"/>
      <c r="UQ56" s="621"/>
      <c r="UR56" s="621"/>
      <c r="US56" s="621"/>
      <c r="UT56" s="621"/>
      <c r="UU56" s="621"/>
      <c r="UV56" s="621"/>
      <c r="UW56" s="621"/>
      <c r="UX56" s="621"/>
      <c r="UY56" s="621"/>
      <c r="UZ56" s="621"/>
      <c r="VA56" s="621"/>
      <c r="VB56" s="621"/>
      <c r="VC56" s="621"/>
      <c r="VD56" s="621"/>
      <c r="VE56" s="621"/>
      <c r="VF56" s="621"/>
      <c r="VG56" s="621"/>
      <c r="VH56" s="621"/>
      <c r="VI56" s="621"/>
      <c r="VJ56" s="621"/>
      <c r="VK56" s="621"/>
      <c r="VL56" s="621"/>
      <c r="VM56" s="621"/>
      <c r="VN56" s="621"/>
      <c r="VO56" s="621"/>
      <c r="VP56" s="621"/>
      <c r="VQ56" s="621"/>
      <c r="VR56" s="621"/>
      <c r="VS56" s="621"/>
      <c r="VT56" s="621"/>
      <c r="VU56" s="621"/>
      <c r="VV56" s="621"/>
      <c r="VW56" s="621"/>
      <c r="VX56" s="621"/>
      <c r="VY56" s="621"/>
      <c r="VZ56" s="621"/>
      <c r="WA56" s="621"/>
      <c r="WB56" s="621"/>
      <c r="WC56" s="621"/>
      <c r="WD56" s="621"/>
      <c r="WE56" s="621"/>
      <c r="WF56" s="621"/>
      <c r="WG56" s="621"/>
      <c r="WH56" s="621"/>
      <c r="WI56" s="621"/>
      <c r="WJ56" s="621"/>
      <c r="WK56" s="621"/>
      <c r="WL56" s="621"/>
      <c r="WM56" s="621"/>
      <c r="WN56" s="621"/>
      <c r="WO56" s="621"/>
      <c r="WP56" s="621"/>
      <c r="WQ56" s="621"/>
      <c r="WR56" s="621"/>
      <c r="WS56" s="621"/>
      <c r="WT56" s="621"/>
      <c r="WU56" s="621"/>
      <c r="WV56" s="621"/>
      <c r="WW56" s="621"/>
      <c r="WX56" s="621"/>
      <c r="WY56" s="621"/>
      <c r="WZ56" s="621"/>
      <c r="XA56" s="621"/>
      <c r="XB56" s="621"/>
      <c r="XC56" s="621"/>
      <c r="XD56" s="621"/>
      <c r="XE56" s="621"/>
      <c r="XF56" s="621"/>
      <c r="XG56" s="621"/>
      <c r="XH56" s="621"/>
      <c r="XI56" s="621"/>
      <c r="XJ56" s="621"/>
      <c r="XK56" s="621"/>
      <c r="XL56" s="621"/>
      <c r="XM56" s="621"/>
      <c r="XN56" s="621"/>
      <c r="XO56" s="621"/>
      <c r="XP56" s="621"/>
      <c r="XQ56" s="621"/>
      <c r="XR56" s="621"/>
      <c r="XS56" s="621"/>
      <c r="XT56" s="621"/>
      <c r="XU56" s="621"/>
      <c r="XV56" s="621"/>
      <c r="XW56" s="621"/>
      <c r="XX56" s="621"/>
      <c r="XY56" s="621"/>
      <c r="XZ56" s="621"/>
      <c r="YA56" s="621"/>
      <c r="YB56" s="621"/>
      <c r="YC56" s="621"/>
      <c r="YD56" s="621"/>
      <c r="YE56" s="621"/>
      <c r="YF56" s="621"/>
      <c r="YG56" s="621"/>
      <c r="YH56" s="621"/>
      <c r="YI56" s="621"/>
      <c r="YJ56" s="621"/>
      <c r="YK56" s="621"/>
      <c r="YL56" s="621"/>
      <c r="YM56" s="621"/>
      <c r="YN56" s="621"/>
      <c r="YO56" s="621"/>
      <c r="YP56" s="621"/>
      <c r="YQ56" s="621"/>
      <c r="YR56" s="621"/>
      <c r="YS56" s="621"/>
      <c r="YT56" s="621"/>
      <c r="YU56" s="621"/>
      <c r="YV56" s="621"/>
      <c r="YW56" s="621"/>
      <c r="YX56" s="621"/>
      <c r="YY56" s="621"/>
      <c r="YZ56" s="621"/>
      <c r="ZA56" s="621"/>
      <c r="ZB56" s="621"/>
      <c r="ZC56" s="621"/>
      <c r="ZD56" s="621"/>
      <c r="ZE56" s="621"/>
      <c r="ZF56" s="621"/>
      <c r="ZG56" s="621"/>
      <c r="ZH56" s="621"/>
      <c r="ZI56" s="621"/>
      <c r="ZJ56" s="621"/>
      <c r="ZK56" s="621"/>
      <c r="ZL56" s="621"/>
      <c r="ZM56" s="621"/>
      <c r="ZN56" s="621"/>
      <c r="ZO56" s="621"/>
      <c r="ZP56" s="621"/>
      <c r="ZQ56" s="621"/>
      <c r="ZR56" s="621"/>
      <c r="ZS56" s="621"/>
      <c r="ZT56" s="621"/>
      <c r="ZU56" s="621"/>
      <c r="ZV56" s="621"/>
      <c r="ZW56" s="621"/>
      <c r="ZX56" s="621"/>
      <c r="ZY56" s="621"/>
      <c r="ZZ56" s="621"/>
      <c r="AAA56" s="621"/>
      <c r="AAB56" s="621"/>
      <c r="AAC56" s="621"/>
      <c r="AAD56" s="621"/>
      <c r="AAE56" s="621"/>
      <c r="AAF56" s="621"/>
      <c r="AAG56" s="621"/>
      <c r="AAH56" s="621"/>
      <c r="AAI56" s="621"/>
      <c r="AAJ56" s="621"/>
      <c r="AAK56" s="621"/>
      <c r="AAL56" s="621"/>
      <c r="AAM56" s="621"/>
      <c r="AAN56" s="621"/>
      <c r="AAO56" s="621"/>
      <c r="AAP56" s="621"/>
      <c r="AAQ56" s="621"/>
      <c r="AAR56" s="621"/>
      <c r="AAS56" s="621"/>
      <c r="AAT56" s="621"/>
      <c r="AAU56" s="621"/>
      <c r="AAV56" s="621"/>
      <c r="AAW56" s="621"/>
      <c r="AAX56" s="621"/>
      <c r="AAY56" s="621"/>
      <c r="AAZ56" s="621"/>
      <c r="ABA56" s="621"/>
      <c r="ABB56" s="621"/>
      <c r="ABC56" s="621"/>
      <c r="ABD56" s="621"/>
      <c r="ABE56" s="621"/>
      <c r="ABF56" s="621"/>
      <c r="ABG56" s="621"/>
      <c r="ABH56" s="621"/>
      <c r="ABI56" s="621"/>
      <c r="ABJ56" s="621"/>
      <c r="ABK56" s="621"/>
      <c r="ABL56" s="621"/>
      <c r="ABM56" s="621"/>
      <c r="ABN56" s="621"/>
      <c r="ABO56" s="621"/>
      <c r="ABP56" s="621"/>
      <c r="ABQ56" s="621"/>
      <c r="ABR56" s="621"/>
      <c r="ABS56" s="621"/>
      <c r="ABT56" s="621"/>
      <c r="ABU56" s="621"/>
      <c r="ABV56" s="621"/>
      <c r="ABW56" s="621"/>
      <c r="ABX56" s="621"/>
      <c r="ABY56" s="621"/>
      <c r="ABZ56" s="621"/>
      <c r="ACA56" s="621"/>
      <c r="ACB56" s="621"/>
      <c r="ACC56" s="621"/>
      <c r="ACD56" s="621"/>
      <c r="ACE56" s="621"/>
      <c r="ACF56" s="621"/>
      <c r="ACG56" s="621"/>
      <c r="ACH56" s="621"/>
      <c r="ACI56" s="621"/>
      <c r="ACJ56" s="621"/>
      <c r="ACK56" s="621"/>
      <c r="ACL56" s="621"/>
      <c r="ACM56" s="621"/>
      <c r="ACN56" s="621"/>
      <c r="ACO56" s="621"/>
      <c r="ACP56" s="621"/>
      <c r="ACQ56" s="621"/>
      <c r="ACR56" s="621"/>
      <c r="ACS56" s="621"/>
      <c r="ACT56" s="621"/>
      <c r="ACU56" s="621"/>
      <c r="ACV56" s="621"/>
      <c r="ACW56" s="621"/>
      <c r="ACX56" s="621"/>
      <c r="ACY56" s="621"/>
      <c r="ACZ56" s="621"/>
      <c r="ADA56" s="621"/>
      <c r="ADB56" s="621"/>
      <c r="ADC56" s="621"/>
      <c r="ADD56" s="621"/>
      <c r="ADE56" s="621"/>
      <c r="ADF56" s="621"/>
      <c r="ADG56" s="621"/>
      <c r="ADH56" s="621"/>
      <c r="ADI56" s="621"/>
      <c r="ADJ56" s="621"/>
      <c r="ADK56" s="621"/>
      <c r="ADL56" s="621"/>
      <c r="ADM56" s="621"/>
      <c r="ADN56" s="621"/>
      <c r="ADO56" s="621"/>
      <c r="ADP56" s="621"/>
      <c r="ADQ56" s="621"/>
      <c r="ADR56" s="621"/>
      <c r="ADS56" s="621"/>
      <c r="ADT56" s="621"/>
      <c r="ADU56" s="621"/>
      <c r="ADV56" s="621"/>
      <c r="ADW56" s="621"/>
      <c r="ADX56" s="621"/>
      <c r="ADY56" s="621"/>
      <c r="ADZ56" s="621"/>
      <c r="AEA56" s="621"/>
      <c r="AEB56" s="621"/>
      <c r="AEC56" s="621"/>
      <c r="AED56" s="621"/>
      <c r="AEE56" s="621"/>
      <c r="AEF56" s="621"/>
      <c r="AEG56" s="621"/>
      <c r="AEH56" s="621"/>
      <c r="AEI56" s="621"/>
      <c r="AEJ56" s="621"/>
      <c r="AEK56" s="621"/>
      <c r="AEL56" s="621"/>
      <c r="AEM56" s="621"/>
      <c r="AEN56" s="621"/>
      <c r="AEO56" s="621"/>
      <c r="AEP56" s="621"/>
      <c r="AEQ56" s="621"/>
      <c r="AER56" s="621"/>
      <c r="AES56" s="621"/>
      <c r="AET56" s="621"/>
      <c r="AEU56" s="621"/>
      <c r="AEV56" s="621"/>
      <c r="AEW56" s="621"/>
      <c r="AEX56" s="621"/>
      <c r="AEY56" s="621"/>
      <c r="AEZ56" s="621"/>
      <c r="AFA56" s="621"/>
      <c r="AFB56" s="621"/>
      <c r="AFC56" s="621"/>
      <c r="AFD56" s="621"/>
      <c r="AFE56" s="621"/>
      <c r="AFF56" s="621"/>
      <c r="AFG56" s="621"/>
      <c r="AFH56" s="621"/>
      <c r="AFI56" s="621"/>
      <c r="AFJ56" s="621"/>
      <c r="AFK56" s="621"/>
      <c r="AFL56" s="621"/>
      <c r="AFM56" s="621"/>
      <c r="AFN56" s="621"/>
      <c r="AFO56" s="621"/>
      <c r="AFP56" s="621"/>
      <c r="AFQ56" s="621"/>
      <c r="AFR56" s="621"/>
      <c r="AFS56" s="621"/>
      <c r="AFT56" s="621"/>
      <c r="AFU56" s="621"/>
      <c r="AFV56" s="621"/>
      <c r="AFW56" s="621"/>
      <c r="AFX56" s="621"/>
      <c r="AFY56" s="621"/>
      <c r="AFZ56" s="621"/>
      <c r="AGA56" s="621"/>
      <c r="AGB56" s="621"/>
      <c r="AGC56" s="621"/>
      <c r="AGD56" s="621"/>
      <c r="AGE56" s="621"/>
      <c r="AGF56" s="621"/>
      <c r="AGG56" s="621"/>
      <c r="AGH56" s="621"/>
      <c r="AGI56" s="621"/>
      <c r="AGJ56" s="621"/>
      <c r="AGK56" s="621"/>
      <c r="AGL56" s="621"/>
      <c r="AGM56" s="621"/>
      <c r="AGN56" s="621"/>
      <c r="AGO56" s="621"/>
      <c r="AGP56" s="621"/>
      <c r="AGQ56" s="621"/>
      <c r="AGR56" s="621"/>
      <c r="AGS56" s="621"/>
      <c r="AGT56" s="621"/>
      <c r="AGU56" s="621"/>
      <c r="AGV56" s="621"/>
      <c r="AGW56" s="621"/>
      <c r="AGX56" s="621"/>
      <c r="AGY56" s="621"/>
      <c r="AGZ56" s="621"/>
      <c r="AHA56" s="621"/>
      <c r="AHB56" s="621"/>
      <c r="AHC56" s="621"/>
      <c r="AHD56" s="621"/>
      <c r="AHE56" s="621"/>
      <c r="AHF56" s="621"/>
      <c r="AHG56" s="621"/>
      <c r="AHH56" s="621"/>
      <c r="AHI56" s="621"/>
      <c r="AHJ56" s="621"/>
      <c r="AHK56" s="621"/>
      <c r="AHL56" s="621"/>
      <c r="AHM56" s="621"/>
      <c r="AHN56" s="621"/>
      <c r="AHO56" s="621"/>
      <c r="AHP56" s="621"/>
      <c r="AHQ56" s="621"/>
      <c r="AHR56" s="621"/>
      <c r="AHS56" s="621"/>
      <c r="AHT56" s="621"/>
      <c r="AHU56" s="621"/>
      <c r="AHV56" s="621"/>
      <c r="AHW56" s="621"/>
      <c r="AHX56" s="621"/>
      <c r="AHY56" s="621"/>
      <c r="AHZ56" s="621"/>
      <c r="AIA56" s="621"/>
      <c r="AIB56" s="621"/>
      <c r="AIC56" s="621"/>
      <c r="AID56" s="621"/>
      <c r="AIE56" s="621"/>
      <c r="AIF56" s="621"/>
      <c r="AIG56" s="621"/>
      <c r="AIH56" s="621"/>
      <c r="AII56" s="621"/>
      <c r="AIJ56" s="621"/>
      <c r="AIK56" s="621"/>
      <c r="AIL56" s="621"/>
      <c r="AIM56" s="621"/>
      <c r="AIN56" s="621"/>
      <c r="AIO56" s="621"/>
      <c r="AIP56" s="621"/>
      <c r="AIQ56" s="621"/>
      <c r="AIR56" s="621"/>
      <c r="AIS56" s="621"/>
      <c r="AIT56" s="621"/>
      <c r="AIU56" s="621"/>
      <c r="AIV56" s="621"/>
      <c r="AIW56" s="621"/>
      <c r="AIX56" s="621"/>
      <c r="AIY56" s="621"/>
      <c r="AIZ56" s="621"/>
      <c r="AJA56" s="621"/>
      <c r="AJB56" s="621"/>
      <c r="AJC56" s="621"/>
      <c r="AJD56" s="621"/>
      <c r="AJE56" s="621"/>
      <c r="AJF56" s="621"/>
      <c r="AJG56" s="621"/>
      <c r="AJH56" s="621"/>
      <c r="AJI56" s="621"/>
      <c r="AJJ56" s="621"/>
      <c r="AJK56" s="621"/>
      <c r="AJL56" s="621"/>
      <c r="AJM56" s="621"/>
      <c r="AJN56" s="621"/>
      <c r="AJO56" s="621"/>
      <c r="AJP56" s="621"/>
      <c r="AJQ56" s="621"/>
      <c r="AJR56" s="621"/>
      <c r="AJS56" s="621"/>
      <c r="AJT56" s="621"/>
      <c r="AJU56" s="621"/>
      <c r="AJV56" s="621"/>
      <c r="AJW56" s="621"/>
      <c r="AJX56" s="621"/>
      <c r="AJY56" s="621"/>
      <c r="AJZ56" s="621"/>
      <c r="AKA56" s="621"/>
      <c r="AKB56" s="621"/>
      <c r="AKC56" s="621"/>
      <c r="AKD56" s="621"/>
      <c r="AKE56" s="621"/>
      <c r="AKF56" s="621"/>
      <c r="AKG56" s="621"/>
      <c r="AKH56" s="621"/>
      <c r="AKI56" s="621"/>
      <c r="AKJ56" s="621"/>
      <c r="AKK56" s="621"/>
      <c r="AKL56" s="621"/>
      <c r="AKM56" s="621"/>
      <c r="AKN56" s="621"/>
      <c r="AKO56" s="621"/>
      <c r="AKP56" s="621"/>
      <c r="AKQ56" s="621"/>
      <c r="AKR56" s="621"/>
      <c r="AKS56" s="621"/>
      <c r="AKT56" s="621"/>
      <c r="AKU56" s="621"/>
      <c r="AKV56" s="621"/>
      <c r="AKW56" s="621"/>
      <c r="AKX56" s="621"/>
      <c r="AKY56" s="621"/>
      <c r="AKZ56" s="621"/>
      <c r="ALA56" s="621"/>
      <c r="ALB56" s="621"/>
      <c r="ALC56" s="621"/>
      <c r="ALD56" s="621"/>
      <c r="ALE56" s="621"/>
      <c r="ALF56" s="621"/>
      <c r="ALG56" s="621"/>
      <c r="ALH56" s="621"/>
      <c r="ALI56" s="621"/>
      <c r="ALJ56" s="621"/>
      <c r="ALK56" s="621"/>
      <c r="ALL56" s="621"/>
      <c r="ALM56" s="621"/>
      <c r="ALN56" s="621"/>
      <c r="ALO56" s="621"/>
      <c r="ALP56" s="621"/>
      <c r="ALQ56" s="621"/>
      <c r="ALR56" s="621"/>
      <c r="ALS56" s="621"/>
      <c r="ALT56" s="621"/>
      <c r="ALU56" s="621"/>
      <c r="ALV56" s="621"/>
      <c r="ALW56" s="621"/>
      <c r="ALX56" s="621"/>
      <c r="ALY56" s="621"/>
      <c r="ALZ56" s="621"/>
      <c r="AMA56" s="621"/>
      <c r="AMB56" s="621"/>
      <c r="AMC56" s="621"/>
      <c r="AMD56" s="621"/>
      <c r="AME56" s="621"/>
      <c r="AMF56" s="621"/>
      <c r="AMG56" s="621"/>
      <c r="AMH56" s="621"/>
      <c r="AMI56" s="621"/>
      <c r="AMJ56" s="621"/>
      <c r="AMK56" s="621"/>
    </row>
    <row r="57" spans="1:1025" ht="28.5" thickBot="1">
      <c r="A57" s="374" t="s">
        <v>353</v>
      </c>
      <c r="B57" s="448" t="s">
        <v>381</v>
      </c>
      <c r="C57" s="376">
        <f>'Weekly Machinery Ex'!R94*16.58</f>
        <v>260326.55919999996</v>
      </c>
      <c r="D57" s="453">
        <f>B16*16.58</f>
        <v>251651.23999999996</v>
      </c>
      <c r="E57" s="2043"/>
      <c r="F57" s="2043"/>
      <c r="G57" s="392"/>
      <c r="H57" s="429"/>
      <c r="I57" s="1497"/>
      <c r="J57" s="1498">
        <v>229496.05</v>
      </c>
      <c r="K57" s="593"/>
      <c r="L57" s="454"/>
      <c r="M57" s="1495"/>
      <c r="N57" s="272"/>
      <c r="O57" s="272"/>
      <c r="P57" s="272"/>
      <c r="Q57" s="455"/>
      <c r="R57" s="1499">
        <f>SUM(R54:R56)</f>
        <v>11597.6</v>
      </c>
      <c r="S57" s="457"/>
      <c r="T57" s="272"/>
      <c r="U57" s="397"/>
      <c r="V57" s="452"/>
      <c r="W57" s="452"/>
      <c r="X57" s="452"/>
      <c r="Y57" s="397"/>
      <c r="Z57" s="397"/>
      <c r="AA57" s="397"/>
      <c r="AE57" s="1471"/>
      <c r="AF57" s="1493" t="s">
        <v>195</v>
      </c>
      <c r="AG57" s="1494"/>
      <c r="AH57" s="1494">
        <v>8</v>
      </c>
      <c r="AI57" s="1494">
        <v>6</v>
      </c>
      <c r="AJ57" s="1494">
        <f t="shared" si="11"/>
        <v>0</v>
      </c>
      <c r="AK57" s="1494">
        <v>18</v>
      </c>
      <c r="AL57" s="1494">
        <f t="shared" si="12"/>
        <v>0</v>
      </c>
      <c r="AM57" s="1475">
        <f t="shared" si="13"/>
        <v>0</v>
      </c>
      <c r="AN57" s="1493">
        <v>550</v>
      </c>
      <c r="AO57" s="1475">
        <f t="shared" si="14"/>
        <v>0</v>
      </c>
      <c r="AP57" s="442"/>
      <c r="AQ57" s="621"/>
      <c r="AR57" s="621"/>
      <c r="AS57" s="621"/>
      <c r="AT57" s="621"/>
      <c r="AU57" s="621"/>
      <c r="AV57" s="621"/>
      <c r="AW57" s="621"/>
      <c r="AX57" s="621"/>
      <c r="AY57" s="621"/>
      <c r="AZ57" s="621"/>
      <c r="BA57" s="621"/>
      <c r="BB57" s="621"/>
      <c r="BC57" s="621"/>
      <c r="BD57" s="621"/>
      <c r="BE57" s="621"/>
      <c r="BF57" s="621"/>
      <c r="BG57" s="621"/>
      <c r="BH57" s="621"/>
      <c r="BI57" s="621"/>
      <c r="BJ57" s="621"/>
      <c r="BK57" s="621"/>
      <c r="BL57" s="621"/>
      <c r="BM57" s="621"/>
      <c r="BN57" s="621"/>
      <c r="BO57" s="621"/>
      <c r="BP57" s="621"/>
      <c r="BQ57" s="621"/>
      <c r="BR57" s="621"/>
      <c r="BS57" s="621"/>
      <c r="BT57" s="621"/>
      <c r="BU57" s="621"/>
      <c r="BV57" s="621"/>
      <c r="BW57" s="621"/>
      <c r="BX57" s="621"/>
      <c r="BY57" s="621"/>
      <c r="BZ57" s="621"/>
      <c r="CA57" s="621"/>
      <c r="CB57" s="621"/>
      <c r="CC57" s="621"/>
      <c r="CD57" s="621"/>
      <c r="CE57" s="621"/>
      <c r="CF57" s="621"/>
      <c r="CG57" s="621"/>
      <c r="CH57" s="621"/>
      <c r="CI57" s="621"/>
      <c r="CJ57" s="621"/>
      <c r="CK57" s="621"/>
      <c r="CL57" s="621"/>
      <c r="CM57" s="621"/>
      <c r="CN57" s="621"/>
      <c r="CO57" s="621"/>
      <c r="CP57" s="621"/>
      <c r="CQ57" s="621"/>
      <c r="CR57" s="621"/>
      <c r="CS57" s="621"/>
      <c r="CT57" s="621"/>
      <c r="CU57" s="621"/>
      <c r="CV57" s="621"/>
      <c r="CW57" s="621"/>
      <c r="CX57" s="621"/>
      <c r="CY57" s="621"/>
      <c r="CZ57" s="621"/>
      <c r="DA57" s="621"/>
      <c r="DB57" s="621"/>
      <c r="DC57" s="621"/>
      <c r="DD57" s="621"/>
      <c r="DE57" s="621"/>
      <c r="DF57" s="621"/>
      <c r="DG57" s="621"/>
      <c r="DH57" s="621"/>
      <c r="DI57" s="621"/>
      <c r="DJ57" s="621"/>
      <c r="DK57" s="621"/>
      <c r="DL57" s="621"/>
      <c r="DM57" s="621"/>
      <c r="DN57" s="621"/>
      <c r="DO57" s="621"/>
      <c r="DP57" s="621"/>
      <c r="DQ57" s="621"/>
      <c r="DR57" s="621"/>
      <c r="DS57" s="621"/>
      <c r="DT57" s="621"/>
      <c r="DU57" s="621"/>
      <c r="DV57" s="621"/>
      <c r="DW57" s="621"/>
      <c r="DX57" s="621"/>
      <c r="DY57" s="621"/>
      <c r="DZ57" s="621"/>
      <c r="EA57" s="621"/>
      <c r="EB57" s="621"/>
      <c r="EC57" s="621"/>
      <c r="ED57" s="621"/>
      <c r="EE57" s="621"/>
      <c r="EF57" s="621"/>
      <c r="EG57" s="621"/>
      <c r="EH57" s="621"/>
      <c r="EI57" s="621"/>
      <c r="EJ57" s="621"/>
      <c r="EK57" s="621"/>
      <c r="EL57" s="621"/>
      <c r="EM57" s="621"/>
      <c r="EN57" s="621"/>
      <c r="EO57" s="621"/>
      <c r="EP57" s="621"/>
      <c r="EQ57" s="621"/>
      <c r="ER57" s="621"/>
      <c r="ES57" s="621"/>
      <c r="ET57" s="621"/>
      <c r="EU57" s="621"/>
      <c r="EV57" s="621"/>
      <c r="EW57" s="621"/>
      <c r="EX57" s="621"/>
      <c r="EY57" s="621"/>
      <c r="EZ57" s="621"/>
      <c r="FA57" s="621"/>
      <c r="FB57" s="621"/>
      <c r="FC57" s="621"/>
      <c r="FD57" s="621"/>
      <c r="FE57" s="621"/>
      <c r="FF57" s="621"/>
      <c r="FG57" s="621"/>
      <c r="FH57" s="621"/>
      <c r="FI57" s="621"/>
      <c r="FJ57" s="621"/>
      <c r="FK57" s="621"/>
      <c r="FL57" s="621"/>
      <c r="FM57" s="621"/>
      <c r="FN57" s="621"/>
      <c r="FO57" s="621"/>
      <c r="FP57" s="621"/>
      <c r="FQ57" s="621"/>
      <c r="FR57" s="621"/>
      <c r="FS57" s="621"/>
      <c r="FT57" s="621"/>
      <c r="FU57" s="621"/>
      <c r="FV57" s="621"/>
      <c r="FW57" s="621"/>
      <c r="FX57" s="621"/>
      <c r="FY57" s="621"/>
      <c r="FZ57" s="621"/>
      <c r="GA57" s="621"/>
      <c r="GB57" s="621"/>
      <c r="GC57" s="621"/>
      <c r="GD57" s="621"/>
      <c r="GE57" s="621"/>
      <c r="GF57" s="621"/>
      <c r="GG57" s="621"/>
      <c r="GH57" s="621"/>
      <c r="GI57" s="621"/>
      <c r="GJ57" s="621"/>
      <c r="GK57" s="621"/>
      <c r="GL57" s="621"/>
      <c r="GM57" s="621"/>
      <c r="GN57" s="621"/>
      <c r="GO57" s="621"/>
      <c r="GP57" s="621"/>
      <c r="GQ57" s="621"/>
      <c r="GR57" s="621"/>
      <c r="GS57" s="621"/>
      <c r="GT57" s="621"/>
      <c r="GU57" s="621"/>
      <c r="GV57" s="621"/>
      <c r="GW57" s="621"/>
      <c r="GX57" s="621"/>
      <c r="GY57" s="621"/>
      <c r="GZ57" s="621"/>
      <c r="HA57" s="621"/>
      <c r="HB57" s="621"/>
      <c r="HC57" s="621"/>
      <c r="HD57" s="621"/>
      <c r="HE57" s="621"/>
      <c r="HF57" s="621"/>
      <c r="HG57" s="621"/>
      <c r="HH57" s="621"/>
      <c r="HI57" s="621"/>
      <c r="HJ57" s="621"/>
      <c r="HK57" s="621"/>
      <c r="HL57" s="621"/>
      <c r="HM57" s="621"/>
      <c r="HN57" s="621"/>
      <c r="HO57" s="621"/>
      <c r="HP57" s="621"/>
      <c r="HQ57" s="621"/>
      <c r="HR57" s="621"/>
      <c r="HS57" s="621"/>
      <c r="HT57" s="621"/>
      <c r="HU57" s="621"/>
      <c r="HV57" s="621"/>
      <c r="HW57" s="621"/>
      <c r="HX57" s="621"/>
      <c r="HY57" s="621"/>
      <c r="HZ57" s="621"/>
      <c r="IA57" s="621"/>
      <c r="IB57" s="621"/>
      <c r="IC57" s="621"/>
      <c r="ID57" s="621"/>
      <c r="IE57" s="621"/>
      <c r="IF57" s="621"/>
      <c r="IG57" s="621"/>
      <c r="IH57" s="621"/>
      <c r="II57" s="621"/>
      <c r="IJ57" s="621"/>
      <c r="IK57" s="621"/>
      <c r="IL57" s="621"/>
      <c r="IM57" s="621"/>
      <c r="IN57" s="621"/>
      <c r="IO57" s="621"/>
      <c r="IP57" s="621"/>
      <c r="IQ57" s="621"/>
      <c r="IR57" s="621"/>
      <c r="IS57" s="621"/>
      <c r="IT57" s="621"/>
      <c r="IU57" s="621"/>
      <c r="IV57" s="621"/>
      <c r="IW57" s="621"/>
      <c r="IX57" s="621"/>
      <c r="IY57" s="621"/>
      <c r="IZ57" s="621"/>
      <c r="JA57" s="621"/>
      <c r="JB57" s="621"/>
      <c r="JC57" s="621"/>
      <c r="JD57" s="621"/>
      <c r="JE57" s="621"/>
      <c r="JF57" s="621"/>
      <c r="JG57" s="621"/>
      <c r="JH57" s="621"/>
      <c r="JI57" s="621"/>
      <c r="JJ57" s="621"/>
      <c r="JK57" s="621"/>
      <c r="JL57" s="621"/>
      <c r="JM57" s="621"/>
      <c r="JN57" s="621"/>
      <c r="JO57" s="621"/>
      <c r="JP57" s="621"/>
      <c r="JQ57" s="621"/>
      <c r="JR57" s="621"/>
      <c r="JS57" s="621"/>
      <c r="JT57" s="621"/>
      <c r="JU57" s="621"/>
      <c r="JV57" s="621"/>
      <c r="JW57" s="621"/>
      <c r="JX57" s="621"/>
      <c r="JY57" s="621"/>
      <c r="JZ57" s="621"/>
      <c r="KA57" s="621"/>
      <c r="KB57" s="621"/>
      <c r="KC57" s="621"/>
      <c r="KD57" s="621"/>
      <c r="KE57" s="621"/>
      <c r="KF57" s="621"/>
      <c r="KG57" s="621"/>
      <c r="KH57" s="621"/>
      <c r="KI57" s="621"/>
      <c r="KJ57" s="621"/>
      <c r="KK57" s="621"/>
      <c r="KL57" s="621"/>
      <c r="KM57" s="621"/>
      <c r="KN57" s="621"/>
      <c r="KO57" s="621"/>
      <c r="KP57" s="621"/>
      <c r="KQ57" s="621"/>
      <c r="KR57" s="621"/>
      <c r="KS57" s="621"/>
      <c r="KT57" s="621"/>
      <c r="KU57" s="621"/>
      <c r="KV57" s="621"/>
      <c r="KW57" s="621"/>
      <c r="KX57" s="621"/>
      <c r="KY57" s="621"/>
      <c r="KZ57" s="621"/>
      <c r="LA57" s="621"/>
      <c r="LB57" s="621"/>
      <c r="LC57" s="621"/>
      <c r="LD57" s="621"/>
      <c r="LE57" s="621"/>
      <c r="LF57" s="621"/>
      <c r="LG57" s="621"/>
      <c r="LH57" s="621"/>
      <c r="LI57" s="621"/>
      <c r="LJ57" s="621"/>
      <c r="LK57" s="621"/>
      <c r="LL57" s="621"/>
      <c r="LM57" s="621"/>
      <c r="LN57" s="621"/>
      <c r="LO57" s="621"/>
      <c r="LP57" s="621"/>
      <c r="LQ57" s="621"/>
      <c r="LR57" s="621"/>
      <c r="LS57" s="621"/>
      <c r="LT57" s="621"/>
      <c r="LU57" s="621"/>
      <c r="LV57" s="621"/>
      <c r="LW57" s="621"/>
      <c r="LX57" s="621"/>
      <c r="LY57" s="621"/>
      <c r="LZ57" s="621"/>
      <c r="MA57" s="621"/>
      <c r="MB57" s="621"/>
      <c r="MC57" s="621"/>
      <c r="MD57" s="621"/>
      <c r="ME57" s="621"/>
      <c r="MF57" s="621"/>
      <c r="MG57" s="621"/>
      <c r="MH57" s="621"/>
      <c r="MI57" s="621"/>
      <c r="MJ57" s="621"/>
      <c r="MK57" s="621"/>
      <c r="ML57" s="621"/>
      <c r="MM57" s="621"/>
      <c r="MN57" s="621"/>
      <c r="MO57" s="621"/>
      <c r="MP57" s="621"/>
      <c r="MQ57" s="621"/>
      <c r="MR57" s="621"/>
      <c r="MS57" s="621"/>
      <c r="MT57" s="621"/>
      <c r="MU57" s="621"/>
      <c r="MV57" s="621"/>
      <c r="MW57" s="621"/>
      <c r="MX57" s="621"/>
      <c r="MY57" s="621"/>
      <c r="MZ57" s="621"/>
      <c r="NA57" s="621"/>
      <c r="NB57" s="621"/>
      <c r="NC57" s="621"/>
      <c r="ND57" s="621"/>
      <c r="NE57" s="621"/>
      <c r="NF57" s="621"/>
      <c r="NG57" s="621"/>
      <c r="NH57" s="621"/>
      <c r="NI57" s="621"/>
      <c r="NJ57" s="621"/>
      <c r="NK57" s="621"/>
      <c r="NL57" s="621"/>
      <c r="NM57" s="621"/>
      <c r="NN57" s="621"/>
      <c r="NO57" s="621"/>
      <c r="NP57" s="621"/>
      <c r="NQ57" s="621"/>
      <c r="NR57" s="621"/>
      <c r="NS57" s="621"/>
      <c r="NT57" s="621"/>
      <c r="NU57" s="621"/>
      <c r="NV57" s="621"/>
      <c r="NW57" s="621"/>
      <c r="NX57" s="621"/>
      <c r="NY57" s="621"/>
      <c r="NZ57" s="621"/>
      <c r="OA57" s="621"/>
      <c r="OB57" s="621"/>
      <c r="OC57" s="621"/>
      <c r="OD57" s="621"/>
      <c r="OE57" s="621"/>
      <c r="OF57" s="621"/>
      <c r="OG57" s="621"/>
      <c r="OH57" s="621"/>
      <c r="OI57" s="621"/>
      <c r="OJ57" s="621"/>
      <c r="OK57" s="621"/>
      <c r="OL57" s="621"/>
      <c r="OM57" s="621"/>
      <c r="ON57" s="621"/>
      <c r="OO57" s="621"/>
      <c r="OP57" s="621"/>
      <c r="OQ57" s="621"/>
      <c r="OR57" s="621"/>
      <c r="OS57" s="621"/>
      <c r="OT57" s="621"/>
      <c r="OU57" s="621"/>
      <c r="OV57" s="621"/>
      <c r="OW57" s="621"/>
      <c r="OX57" s="621"/>
      <c r="OY57" s="621"/>
      <c r="OZ57" s="621"/>
      <c r="PA57" s="621"/>
      <c r="PB57" s="621"/>
      <c r="PC57" s="621"/>
      <c r="PD57" s="621"/>
      <c r="PE57" s="621"/>
      <c r="PF57" s="621"/>
      <c r="PG57" s="621"/>
      <c r="PH57" s="621"/>
      <c r="PI57" s="621"/>
      <c r="PJ57" s="621"/>
      <c r="PK57" s="621"/>
      <c r="PL57" s="621"/>
      <c r="PM57" s="621"/>
      <c r="PN57" s="621"/>
      <c r="PO57" s="621"/>
      <c r="PP57" s="621"/>
      <c r="PQ57" s="621"/>
      <c r="PR57" s="621"/>
      <c r="PS57" s="621"/>
      <c r="PT57" s="621"/>
      <c r="PU57" s="621"/>
      <c r="PV57" s="621"/>
      <c r="PW57" s="621"/>
      <c r="PX57" s="621"/>
      <c r="PY57" s="621"/>
      <c r="PZ57" s="621"/>
      <c r="QA57" s="621"/>
      <c r="QB57" s="621"/>
      <c r="QC57" s="621"/>
      <c r="QD57" s="621"/>
      <c r="QE57" s="621"/>
      <c r="QF57" s="621"/>
      <c r="QG57" s="621"/>
      <c r="QH57" s="621"/>
      <c r="QI57" s="621"/>
      <c r="QJ57" s="621"/>
      <c r="QK57" s="621"/>
      <c r="QL57" s="621"/>
      <c r="QM57" s="621"/>
      <c r="QN57" s="621"/>
      <c r="QO57" s="621"/>
      <c r="QP57" s="621"/>
      <c r="QQ57" s="621"/>
      <c r="QR57" s="621"/>
      <c r="QS57" s="621"/>
      <c r="QT57" s="621"/>
      <c r="QU57" s="621"/>
      <c r="QV57" s="621"/>
      <c r="QW57" s="621"/>
      <c r="QX57" s="621"/>
      <c r="QY57" s="621"/>
      <c r="QZ57" s="621"/>
      <c r="RA57" s="621"/>
      <c r="RB57" s="621"/>
      <c r="RC57" s="621"/>
      <c r="RD57" s="621"/>
      <c r="RE57" s="621"/>
      <c r="RF57" s="621"/>
      <c r="RG57" s="621"/>
      <c r="RH57" s="621"/>
      <c r="RI57" s="621"/>
      <c r="RJ57" s="621"/>
      <c r="RK57" s="621"/>
      <c r="RL57" s="621"/>
      <c r="RM57" s="621"/>
      <c r="RN57" s="621"/>
      <c r="RO57" s="621"/>
      <c r="RP57" s="621"/>
      <c r="RQ57" s="621"/>
      <c r="RR57" s="621"/>
      <c r="RS57" s="621"/>
      <c r="RT57" s="621"/>
      <c r="RU57" s="621"/>
      <c r="RV57" s="621"/>
      <c r="RW57" s="621"/>
      <c r="RX57" s="621"/>
      <c r="RY57" s="621"/>
      <c r="RZ57" s="621"/>
      <c r="SA57" s="621"/>
      <c r="SB57" s="621"/>
      <c r="SC57" s="621"/>
      <c r="SD57" s="621"/>
      <c r="SE57" s="621"/>
      <c r="SF57" s="621"/>
      <c r="SG57" s="621"/>
      <c r="SH57" s="621"/>
      <c r="SI57" s="621"/>
      <c r="SJ57" s="621"/>
      <c r="SK57" s="621"/>
      <c r="SL57" s="621"/>
      <c r="SM57" s="621"/>
      <c r="SN57" s="621"/>
      <c r="SO57" s="621"/>
      <c r="SP57" s="621"/>
      <c r="SQ57" s="621"/>
      <c r="SR57" s="621"/>
      <c r="SS57" s="621"/>
      <c r="ST57" s="621"/>
      <c r="SU57" s="621"/>
      <c r="SV57" s="621"/>
      <c r="SW57" s="621"/>
      <c r="SX57" s="621"/>
      <c r="SY57" s="621"/>
      <c r="SZ57" s="621"/>
      <c r="TA57" s="621"/>
      <c r="TB57" s="621"/>
      <c r="TC57" s="621"/>
      <c r="TD57" s="621"/>
      <c r="TE57" s="621"/>
      <c r="TF57" s="621"/>
      <c r="TG57" s="621"/>
      <c r="TH57" s="621"/>
      <c r="TI57" s="621"/>
      <c r="TJ57" s="621"/>
      <c r="TK57" s="621"/>
      <c r="TL57" s="621"/>
      <c r="TM57" s="621"/>
      <c r="TN57" s="621"/>
      <c r="TO57" s="621"/>
      <c r="TP57" s="621"/>
      <c r="TQ57" s="621"/>
      <c r="TR57" s="621"/>
      <c r="TS57" s="621"/>
      <c r="TT57" s="621"/>
      <c r="TU57" s="621"/>
      <c r="TV57" s="621"/>
      <c r="TW57" s="621"/>
      <c r="TX57" s="621"/>
      <c r="TY57" s="621"/>
      <c r="TZ57" s="621"/>
      <c r="UA57" s="621"/>
      <c r="UB57" s="621"/>
      <c r="UC57" s="621"/>
      <c r="UD57" s="621"/>
      <c r="UE57" s="621"/>
      <c r="UF57" s="621"/>
      <c r="UG57" s="621"/>
      <c r="UH57" s="621"/>
      <c r="UI57" s="621"/>
      <c r="UJ57" s="621"/>
      <c r="UK57" s="621"/>
      <c r="UL57" s="621"/>
      <c r="UM57" s="621"/>
      <c r="UN57" s="621"/>
      <c r="UO57" s="621"/>
      <c r="UP57" s="621"/>
      <c r="UQ57" s="621"/>
      <c r="UR57" s="621"/>
      <c r="US57" s="621"/>
      <c r="UT57" s="621"/>
      <c r="UU57" s="621"/>
      <c r="UV57" s="621"/>
      <c r="UW57" s="621"/>
      <c r="UX57" s="621"/>
      <c r="UY57" s="621"/>
      <c r="UZ57" s="621"/>
      <c r="VA57" s="621"/>
      <c r="VB57" s="621"/>
      <c r="VC57" s="621"/>
      <c r="VD57" s="621"/>
      <c r="VE57" s="621"/>
      <c r="VF57" s="621"/>
      <c r="VG57" s="621"/>
      <c r="VH57" s="621"/>
      <c r="VI57" s="621"/>
      <c r="VJ57" s="621"/>
      <c r="VK57" s="621"/>
      <c r="VL57" s="621"/>
      <c r="VM57" s="621"/>
      <c r="VN57" s="621"/>
      <c r="VO57" s="621"/>
      <c r="VP57" s="621"/>
      <c r="VQ57" s="621"/>
      <c r="VR57" s="621"/>
      <c r="VS57" s="621"/>
      <c r="VT57" s="621"/>
      <c r="VU57" s="621"/>
      <c r="VV57" s="621"/>
      <c r="VW57" s="621"/>
      <c r="VX57" s="621"/>
      <c r="VY57" s="621"/>
      <c r="VZ57" s="621"/>
      <c r="WA57" s="621"/>
      <c r="WB57" s="621"/>
      <c r="WC57" s="621"/>
      <c r="WD57" s="621"/>
      <c r="WE57" s="621"/>
      <c r="WF57" s="621"/>
      <c r="WG57" s="621"/>
      <c r="WH57" s="621"/>
      <c r="WI57" s="621"/>
      <c r="WJ57" s="621"/>
      <c r="WK57" s="621"/>
      <c r="WL57" s="621"/>
      <c r="WM57" s="621"/>
      <c r="WN57" s="621"/>
      <c r="WO57" s="621"/>
      <c r="WP57" s="621"/>
      <c r="WQ57" s="621"/>
      <c r="WR57" s="621"/>
      <c r="WS57" s="621"/>
      <c r="WT57" s="621"/>
      <c r="WU57" s="621"/>
      <c r="WV57" s="621"/>
      <c r="WW57" s="621"/>
      <c r="WX57" s="621"/>
      <c r="WY57" s="621"/>
      <c r="WZ57" s="621"/>
      <c r="XA57" s="621"/>
      <c r="XB57" s="621"/>
      <c r="XC57" s="621"/>
      <c r="XD57" s="621"/>
      <c r="XE57" s="621"/>
      <c r="XF57" s="621"/>
      <c r="XG57" s="621"/>
      <c r="XH57" s="621"/>
      <c r="XI57" s="621"/>
      <c r="XJ57" s="621"/>
      <c r="XK57" s="621"/>
      <c r="XL57" s="621"/>
      <c r="XM57" s="621"/>
      <c r="XN57" s="621"/>
      <c r="XO57" s="621"/>
      <c r="XP57" s="621"/>
      <c r="XQ57" s="621"/>
      <c r="XR57" s="621"/>
      <c r="XS57" s="621"/>
      <c r="XT57" s="621"/>
      <c r="XU57" s="621"/>
      <c r="XV57" s="621"/>
      <c r="XW57" s="621"/>
      <c r="XX57" s="621"/>
      <c r="XY57" s="621"/>
      <c r="XZ57" s="621"/>
      <c r="YA57" s="621"/>
      <c r="YB57" s="621"/>
      <c r="YC57" s="621"/>
      <c r="YD57" s="621"/>
      <c r="YE57" s="621"/>
      <c r="YF57" s="621"/>
      <c r="YG57" s="621"/>
      <c r="YH57" s="621"/>
      <c r="YI57" s="621"/>
      <c r="YJ57" s="621"/>
      <c r="YK57" s="621"/>
      <c r="YL57" s="621"/>
      <c r="YM57" s="621"/>
      <c r="YN57" s="621"/>
      <c r="YO57" s="621"/>
      <c r="YP57" s="621"/>
      <c r="YQ57" s="621"/>
      <c r="YR57" s="621"/>
      <c r="YS57" s="621"/>
      <c r="YT57" s="621"/>
      <c r="YU57" s="621"/>
      <c r="YV57" s="621"/>
      <c r="YW57" s="621"/>
      <c r="YX57" s="621"/>
      <c r="YY57" s="621"/>
      <c r="YZ57" s="621"/>
      <c r="ZA57" s="621"/>
      <c r="ZB57" s="621"/>
      <c r="ZC57" s="621"/>
      <c r="ZD57" s="621"/>
      <c r="ZE57" s="621"/>
      <c r="ZF57" s="621"/>
      <c r="ZG57" s="621"/>
      <c r="ZH57" s="621"/>
      <c r="ZI57" s="621"/>
      <c r="ZJ57" s="621"/>
      <c r="ZK57" s="621"/>
      <c r="ZL57" s="621"/>
      <c r="ZM57" s="621"/>
      <c r="ZN57" s="621"/>
      <c r="ZO57" s="621"/>
      <c r="ZP57" s="621"/>
      <c r="ZQ57" s="621"/>
      <c r="ZR57" s="621"/>
      <c r="ZS57" s="621"/>
      <c r="ZT57" s="621"/>
      <c r="ZU57" s="621"/>
      <c r="ZV57" s="621"/>
      <c r="ZW57" s="621"/>
      <c r="ZX57" s="621"/>
      <c r="ZY57" s="621"/>
      <c r="ZZ57" s="621"/>
      <c r="AAA57" s="621"/>
      <c r="AAB57" s="621"/>
      <c r="AAC57" s="621"/>
      <c r="AAD57" s="621"/>
      <c r="AAE57" s="621"/>
      <c r="AAF57" s="621"/>
      <c r="AAG57" s="621"/>
      <c r="AAH57" s="621"/>
      <c r="AAI57" s="621"/>
      <c r="AAJ57" s="621"/>
      <c r="AAK57" s="621"/>
      <c r="AAL57" s="621"/>
      <c r="AAM57" s="621"/>
      <c r="AAN57" s="621"/>
      <c r="AAO57" s="621"/>
      <c r="AAP57" s="621"/>
      <c r="AAQ57" s="621"/>
      <c r="AAR57" s="621"/>
      <c r="AAS57" s="621"/>
      <c r="AAT57" s="621"/>
      <c r="AAU57" s="621"/>
      <c r="AAV57" s="621"/>
      <c r="AAW57" s="621"/>
      <c r="AAX57" s="621"/>
      <c r="AAY57" s="621"/>
      <c r="AAZ57" s="621"/>
      <c r="ABA57" s="621"/>
      <c r="ABB57" s="621"/>
      <c r="ABC57" s="621"/>
      <c r="ABD57" s="621"/>
      <c r="ABE57" s="621"/>
      <c r="ABF57" s="621"/>
      <c r="ABG57" s="621"/>
      <c r="ABH57" s="621"/>
      <c r="ABI57" s="621"/>
      <c r="ABJ57" s="621"/>
      <c r="ABK57" s="621"/>
      <c r="ABL57" s="621"/>
      <c r="ABM57" s="621"/>
      <c r="ABN57" s="621"/>
      <c r="ABO57" s="621"/>
      <c r="ABP57" s="621"/>
      <c r="ABQ57" s="621"/>
      <c r="ABR57" s="621"/>
      <c r="ABS57" s="621"/>
      <c r="ABT57" s="621"/>
      <c r="ABU57" s="621"/>
      <c r="ABV57" s="621"/>
      <c r="ABW57" s="621"/>
      <c r="ABX57" s="621"/>
      <c r="ABY57" s="621"/>
      <c r="ABZ57" s="621"/>
      <c r="ACA57" s="621"/>
      <c r="ACB57" s="621"/>
      <c r="ACC57" s="621"/>
      <c r="ACD57" s="621"/>
      <c r="ACE57" s="621"/>
      <c r="ACF57" s="621"/>
      <c r="ACG57" s="621"/>
      <c r="ACH57" s="621"/>
      <c r="ACI57" s="621"/>
      <c r="ACJ57" s="621"/>
      <c r="ACK57" s="621"/>
      <c r="ACL57" s="621"/>
      <c r="ACM57" s="621"/>
      <c r="ACN57" s="621"/>
      <c r="ACO57" s="621"/>
      <c r="ACP57" s="621"/>
      <c r="ACQ57" s="621"/>
      <c r="ACR57" s="621"/>
      <c r="ACS57" s="621"/>
      <c r="ACT57" s="621"/>
      <c r="ACU57" s="621"/>
      <c r="ACV57" s="621"/>
      <c r="ACW57" s="621"/>
      <c r="ACX57" s="621"/>
      <c r="ACY57" s="621"/>
      <c r="ACZ57" s="621"/>
      <c r="ADA57" s="621"/>
      <c r="ADB57" s="621"/>
      <c r="ADC57" s="621"/>
      <c r="ADD57" s="621"/>
      <c r="ADE57" s="621"/>
      <c r="ADF57" s="621"/>
      <c r="ADG57" s="621"/>
      <c r="ADH57" s="621"/>
      <c r="ADI57" s="621"/>
      <c r="ADJ57" s="621"/>
      <c r="ADK57" s="621"/>
      <c r="ADL57" s="621"/>
      <c r="ADM57" s="621"/>
      <c r="ADN57" s="621"/>
      <c r="ADO57" s="621"/>
      <c r="ADP57" s="621"/>
      <c r="ADQ57" s="621"/>
      <c r="ADR57" s="621"/>
      <c r="ADS57" s="621"/>
      <c r="ADT57" s="621"/>
      <c r="ADU57" s="621"/>
      <c r="ADV57" s="621"/>
      <c r="ADW57" s="621"/>
      <c r="ADX57" s="621"/>
      <c r="ADY57" s="621"/>
      <c r="ADZ57" s="621"/>
      <c r="AEA57" s="621"/>
      <c r="AEB57" s="621"/>
      <c r="AEC57" s="621"/>
      <c r="AED57" s="621"/>
      <c r="AEE57" s="621"/>
      <c r="AEF57" s="621"/>
      <c r="AEG57" s="621"/>
      <c r="AEH57" s="621"/>
      <c r="AEI57" s="621"/>
      <c r="AEJ57" s="621"/>
      <c r="AEK57" s="621"/>
      <c r="AEL57" s="621"/>
      <c r="AEM57" s="621"/>
      <c r="AEN57" s="621"/>
      <c r="AEO57" s="621"/>
      <c r="AEP57" s="621"/>
      <c r="AEQ57" s="621"/>
      <c r="AER57" s="621"/>
      <c r="AES57" s="621"/>
      <c r="AET57" s="621"/>
      <c r="AEU57" s="621"/>
      <c r="AEV57" s="621"/>
      <c r="AEW57" s="621"/>
      <c r="AEX57" s="621"/>
      <c r="AEY57" s="621"/>
      <c r="AEZ57" s="621"/>
      <c r="AFA57" s="621"/>
      <c r="AFB57" s="621"/>
      <c r="AFC57" s="621"/>
      <c r="AFD57" s="621"/>
      <c r="AFE57" s="621"/>
      <c r="AFF57" s="621"/>
      <c r="AFG57" s="621"/>
      <c r="AFH57" s="621"/>
      <c r="AFI57" s="621"/>
      <c r="AFJ57" s="621"/>
      <c r="AFK57" s="621"/>
      <c r="AFL57" s="621"/>
      <c r="AFM57" s="621"/>
      <c r="AFN57" s="621"/>
      <c r="AFO57" s="621"/>
      <c r="AFP57" s="621"/>
      <c r="AFQ57" s="621"/>
      <c r="AFR57" s="621"/>
      <c r="AFS57" s="621"/>
      <c r="AFT57" s="621"/>
      <c r="AFU57" s="621"/>
      <c r="AFV57" s="621"/>
      <c r="AFW57" s="621"/>
      <c r="AFX57" s="621"/>
      <c r="AFY57" s="621"/>
      <c r="AFZ57" s="621"/>
      <c r="AGA57" s="621"/>
      <c r="AGB57" s="621"/>
      <c r="AGC57" s="621"/>
      <c r="AGD57" s="621"/>
      <c r="AGE57" s="621"/>
      <c r="AGF57" s="621"/>
      <c r="AGG57" s="621"/>
      <c r="AGH57" s="621"/>
      <c r="AGI57" s="621"/>
      <c r="AGJ57" s="621"/>
      <c r="AGK57" s="621"/>
      <c r="AGL57" s="621"/>
      <c r="AGM57" s="621"/>
      <c r="AGN57" s="621"/>
      <c r="AGO57" s="621"/>
      <c r="AGP57" s="621"/>
      <c r="AGQ57" s="621"/>
      <c r="AGR57" s="621"/>
      <c r="AGS57" s="621"/>
      <c r="AGT57" s="621"/>
      <c r="AGU57" s="621"/>
      <c r="AGV57" s="621"/>
      <c r="AGW57" s="621"/>
      <c r="AGX57" s="621"/>
      <c r="AGY57" s="621"/>
      <c r="AGZ57" s="621"/>
      <c r="AHA57" s="621"/>
      <c r="AHB57" s="621"/>
      <c r="AHC57" s="621"/>
      <c r="AHD57" s="621"/>
      <c r="AHE57" s="621"/>
      <c r="AHF57" s="621"/>
      <c r="AHG57" s="621"/>
      <c r="AHH57" s="621"/>
      <c r="AHI57" s="621"/>
      <c r="AHJ57" s="621"/>
      <c r="AHK57" s="621"/>
      <c r="AHL57" s="621"/>
      <c r="AHM57" s="621"/>
      <c r="AHN57" s="621"/>
      <c r="AHO57" s="621"/>
      <c r="AHP57" s="621"/>
      <c r="AHQ57" s="621"/>
      <c r="AHR57" s="621"/>
      <c r="AHS57" s="621"/>
      <c r="AHT57" s="621"/>
      <c r="AHU57" s="621"/>
      <c r="AHV57" s="621"/>
      <c r="AHW57" s="621"/>
      <c r="AHX57" s="621"/>
      <c r="AHY57" s="621"/>
      <c r="AHZ57" s="621"/>
      <c r="AIA57" s="621"/>
      <c r="AIB57" s="621"/>
      <c r="AIC57" s="621"/>
      <c r="AID57" s="621"/>
      <c r="AIE57" s="621"/>
      <c r="AIF57" s="621"/>
      <c r="AIG57" s="621"/>
      <c r="AIH57" s="621"/>
      <c r="AII57" s="621"/>
      <c r="AIJ57" s="621"/>
      <c r="AIK57" s="621"/>
      <c r="AIL57" s="621"/>
      <c r="AIM57" s="621"/>
      <c r="AIN57" s="621"/>
      <c r="AIO57" s="621"/>
      <c r="AIP57" s="621"/>
      <c r="AIQ57" s="621"/>
      <c r="AIR57" s="621"/>
      <c r="AIS57" s="621"/>
      <c r="AIT57" s="621"/>
      <c r="AIU57" s="621"/>
      <c r="AIV57" s="621"/>
      <c r="AIW57" s="621"/>
      <c r="AIX57" s="621"/>
      <c r="AIY57" s="621"/>
      <c r="AIZ57" s="621"/>
      <c r="AJA57" s="621"/>
      <c r="AJB57" s="621"/>
      <c r="AJC57" s="621"/>
      <c r="AJD57" s="621"/>
      <c r="AJE57" s="621"/>
      <c r="AJF57" s="621"/>
      <c r="AJG57" s="621"/>
      <c r="AJH57" s="621"/>
      <c r="AJI57" s="621"/>
      <c r="AJJ57" s="621"/>
      <c r="AJK57" s="621"/>
      <c r="AJL57" s="621"/>
      <c r="AJM57" s="621"/>
      <c r="AJN57" s="621"/>
      <c r="AJO57" s="621"/>
      <c r="AJP57" s="621"/>
      <c r="AJQ57" s="621"/>
      <c r="AJR57" s="621"/>
      <c r="AJS57" s="621"/>
      <c r="AJT57" s="621"/>
      <c r="AJU57" s="621"/>
      <c r="AJV57" s="621"/>
      <c r="AJW57" s="621"/>
      <c r="AJX57" s="621"/>
      <c r="AJY57" s="621"/>
      <c r="AJZ57" s="621"/>
      <c r="AKA57" s="621"/>
      <c r="AKB57" s="621"/>
      <c r="AKC57" s="621"/>
      <c r="AKD57" s="621"/>
      <c r="AKE57" s="621"/>
      <c r="AKF57" s="621"/>
      <c r="AKG57" s="621"/>
      <c r="AKH57" s="621"/>
      <c r="AKI57" s="621"/>
      <c r="AKJ57" s="621"/>
      <c r="AKK57" s="621"/>
      <c r="AKL57" s="621"/>
      <c r="AKM57" s="621"/>
      <c r="AKN57" s="621"/>
      <c r="AKO57" s="621"/>
      <c r="AKP57" s="621"/>
      <c r="AKQ57" s="621"/>
      <c r="AKR57" s="621"/>
      <c r="AKS57" s="621"/>
      <c r="AKT57" s="621"/>
      <c r="AKU57" s="621"/>
      <c r="AKV57" s="621"/>
      <c r="AKW57" s="621"/>
      <c r="AKX57" s="621"/>
      <c r="AKY57" s="621"/>
      <c r="AKZ57" s="621"/>
      <c r="ALA57" s="621"/>
      <c r="ALB57" s="621"/>
      <c r="ALC57" s="621"/>
      <c r="ALD57" s="621"/>
      <c r="ALE57" s="621"/>
      <c r="ALF57" s="621"/>
      <c r="ALG57" s="621"/>
      <c r="ALH57" s="621"/>
      <c r="ALI57" s="621"/>
      <c r="ALJ57" s="621"/>
      <c r="ALK57" s="621"/>
      <c r="ALL57" s="621"/>
      <c r="ALM57" s="621"/>
      <c r="ALN57" s="621"/>
      <c r="ALO57" s="621"/>
      <c r="ALP57" s="621"/>
      <c r="ALQ57" s="621"/>
      <c r="ALR57" s="621"/>
      <c r="ALS57" s="621"/>
      <c r="ALT57" s="621"/>
      <c r="ALU57" s="621"/>
      <c r="ALV57" s="621"/>
      <c r="ALW57" s="621"/>
      <c r="ALX57" s="621"/>
      <c r="ALY57" s="621"/>
      <c r="ALZ57" s="621"/>
      <c r="AMA57" s="621"/>
      <c r="AMB57" s="621"/>
      <c r="AMC57" s="621"/>
      <c r="AMD57" s="621"/>
      <c r="AME57" s="621"/>
      <c r="AMF57" s="621"/>
      <c r="AMG57" s="621"/>
      <c r="AMH57" s="621"/>
      <c r="AMI57" s="621"/>
      <c r="AMJ57" s="621"/>
      <c r="AMK57" s="621"/>
    </row>
    <row r="58" spans="1:1025" ht="28.5" thickTop="1">
      <c r="A58" s="374" t="s">
        <v>357</v>
      </c>
      <c r="B58" s="448" t="s">
        <v>383</v>
      </c>
      <c r="C58" s="376">
        <f>'Weekly Machinery Ex'!T143*16.58</f>
        <v>139205.68</v>
      </c>
      <c r="D58" s="453">
        <f>C16*16.58</f>
        <v>89830.439999999988</v>
      </c>
      <c r="E58" s="2043"/>
      <c r="F58" s="2043"/>
      <c r="G58" s="392"/>
      <c r="H58" s="429"/>
      <c r="I58" s="1497"/>
      <c r="J58" s="1498">
        <v>134301.65</v>
      </c>
      <c r="K58" s="593"/>
      <c r="L58" s="454"/>
      <c r="M58" s="1495"/>
      <c r="N58" s="272"/>
      <c r="O58" s="272"/>
      <c r="P58" s="272"/>
      <c r="T58" s="397"/>
      <c r="U58" s="397"/>
      <c r="V58" s="452"/>
      <c r="W58" s="452"/>
      <c r="X58" s="452"/>
      <c r="Y58" s="397"/>
      <c r="Z58" s="397"/>
      <c r="AA58" s="397"/>
      <c r="AE58" s="1471"/>
      <c r="AF58" s="1493" t="s">
        <v>132</v>
      </c>
      <c r="AG58" s="1494"/>
      <c r="AH58" s="1494">
        <v>8</v>
      </c>
      <c r="AI58" s="1494">
        <v>6</v>
      </c>
      <c r="AJ58" s="1494">
        <f t="shared" si="11"/>
        <v>0</v>
      </c>
      <c r="AK58" s="1494">
        <v>2</v>
      </c>
      <c r="AL58" s="1494">
        <f t="shared" si="12"/>
        <v>0</v>
      </c>
      <c r="AM58" s="1475">
        <f t="shared" si="13"/>
        <v>0</v>
      </c>
      <c r="AN58" s="1493">
        <v>50</v>
      </c>
      <c r="AO58" s="1475">
        <f t="shared" si="14"/>
        <v>0</v>
      </c>
      <c r="AP58" s="442"/>
      <c r="AQ58" s="621"/>
      <c r="AR58" s="621"/>
      <c r="AS58" s="621"/>
      <c r="AT58" s="621"/>
      <c r="AU58" s="621"/>
      <c r="AV58" s="621"/>
      <c r="AW58" s="621"/>
      <c r="AX58" s="621"/>
      <c r="AY58" s="621"/>
      <c r="AZ58" s="621"/>
      <c r="BA58" s="621"/>
      <c r="BB58" s="621"/>
      <c r="BC58" s="621"/>
      <c r="BD58" s="621"/>
      <c r="BE58" s="621"/>
      <c r="BF58" s="621"/>
      <c r="BG58" s="621"/>
      <c r="BH58" s="621"/>
      <c r="BI58" s="621"/>
      <c r="BJ58" s="621"/>
      <c r="BK58" s="621"/>
      <c r="BL58" s="621"/>
      <c r="BM58" s="621"/>
      <c r="BN58" s="621"/>
      <c r="BO58" s="621"/>
      <c r="BP58" s="621"/>
      <c r="BQ58" s="621"/>
      <c r="BR58" s="621"/>
      <c r="BS58" s="621"/>
      <c r="BT58" s="621"/>
      <c r="BU58" s="621"/>
      <c r="BV58" s="621"/>
      <c r="BW58" s="621"/>
      <c r="BX58" s="621"/>
      <c r="BY58" s="621"/>
      <c r="BZ58" s="621"/>
      <c r="CA58" s="621"/>
      <c r="CB58" s="621"/>
      <c r="CC58" s="621"/>
      <c r="CD58" s="621"/>
      <c r="CE58" s="621"/>
      <c r="CF58" s="621"/>
      <c r="CG58" s="621"/>
      <c r="CH58" s="621"/>
      <c r="CI58" s="621"/>
      <c r="CJ58" s="621"/>
      <c r="CK58" s="621"/>
      <c r="CL58" s="621"/>
      <c r="CM58" s="621"/>
      <c r="CN58" s="621"/>
      <c r="CO58" s="621"/>
      <c r="CP58" s="621"/>
      <c r="CQ58" s="621"/>
      <c r="CR58" s="621"/>
      <c r="CS58" s="621"/>
      <c r="CT58" s="621"/>
      <c r="CU58" s="621"/>
      <c r="CV58" s="621"/>
      <c r="CW58" s="621"/>
      <c r="CX58" s="621"/>
      <c r="CY58" s="621"/>
      <c r="CZ58" s="621"/>
      <c r="DA58" s="621"/>
      <c r="DB58" s="621"/>
      <c r="DC58" s="621"/>
      <c r="DD58" s="621"/>
      <c r="DE58" s="621"/>
      <c r="DF58" s="621"/>
      <c r="DG58" s="621"/>
      <c r="DH58" s="621"/>
      <c r="DI58" s="621"/>
      <c r="DJ58" s="621"/>
      <c r="DK58" s="621"/>
      <c r="DL58" s="621"/>
      <c r="DM58" s="621"/>
      <c r="DN58" s="621"/>
      <c r="DO58" s="621"/>
      <c r="DP58" s="621"/>
      <c r="DQ58" s="621"/>
      <c r="DR58" s="621"/>
      <c r="DS58" s="621"/>
      <c r="DT58" s="621"/>
      <c r="DU58" s="621"/>
      <c r="DV58" s="621"/>
      <c r="DW58" s="621"/>
      <c r="DX58" s="621"/>
      <c r="DY58" s="621"/>
      <c r="DZ58" s="621"/>
      <c r="EA58" s="621"/>
      <c r="EB58" s="621"/>
      <c r="EC58" s="621"/>
      <c r="ED58" s="621"/>
      <c r="EE58" s="621"/>
      <c r="EF58" s="621"/>
      <c r="EG58" s="621"/>
      <c r="EH58" s="621"/>
      <c r="EI58" s="621"/>
      <c r="EJ58" s="621"/>
      <c r="EK58" s="621"/>
      <c r="EL58" s="621"/>
      <c r="EM58" s="621"/>
      <c r="EN58" s="621"/>
      <c r="EO58" s="621"/>
      <c r="EP58" s="621"/>
      <c r="EQ58" s="621"/>
      <c r="ER58" s="621"/>
      <c r="ES58" s="621"/>
      <c r="ET58" s="621"/>
      <c r="EU58" s="621"/>
      <c r="EV58" s="621"/>
      <c r="EW58" s="621"/>
      <c r="EX58" s="621"/>
      <c r="EY58" s="621"/>
      <c r="EZ58" s="621"/>
      <c r="FA58" s="621"/>
      <c r="FB58" s="621"/>
      <c r="FC58" s="621"/>
      <c r="FD58" s="621"/>
      <c r="FE58" s="621"/>
      <c r="FF58" s="621"/>
      <c r="FG58" s="621"/>
      <c r="FH58" s="621"/>
      <c r="FI58" s="621"/>
      <c r="FJ58" s="621"/>
      <c r="FK58" s="621"/>
      <c r="FL58" s="621"/>
      <c r="FM58" s="621"/>
      <c r="FN58" s="621"/>
      <c r="FO58" s="621"/>
      <c r="FP58" s="621"/>
      <c r="FQ58" s="621"/>
      <c r="FR58" s="621"/>
      <c r="FS58" s="621"/>
      <c r="FT58" s="621"/>
      <c r="FU58" s="621"/>
      <c r="FV58" s="621"/>
      <c r="FW58" s="621"/>
      <c r="FX58" s="621"/>
      <c r="FY58" s="621"/>
      <c r="FZ58" s="621"/>
      <c r="GA58" s="621"/>
      <c r="GB58" s="621"/>
      <c r="GC58" s="621"/>
      <c r="GD58" s="621"/>
      <c r="GE58" s="621"/>
      <c r="GF58" s="621"/>
      <c r="GG58" s="621"/>
      <c r="GH58" s="621"/>
      <c r="GI58" s="621"/>
      <c r="GJ58" s="621"/>
      <c r="GK58" s="621"/>
      <c r="GL58" s="621"/>
      <c r="GM58" s="621"/>
      <c r="GN58" s="621"/>
      <c r="GO58" s="621"/>
      <c r="GP58" s="621"/>
      <c r="GQ58" s="621"/>
      <c r="GR58" s="621"/>
      <c r="GS58" s="621"/>
      <c r="GT58" s="621"/>
      <c r="GU58" s="621"/>
      <c r="GV58" s="621"/>
      <c r="GW58" s="621"/>
      <c r="GX58" s="621"/>
      <c r="GY58" s="621"/>
      <c r="GZ58" s="621"/>
      <c r="HA58" s="621"/>
      <c r="HB58" s="621"/>
      <c r="HC58" s="621"/>
      <c r="HD58" s="621"/>
      <c r="HE58" s="621"/>
      <c r="HF58" s="621"/>
      <c r="HG58" s="621"/>
      <c r="HH58" s="621"/>
      <c r="HI58" s="621"/>
      <c r="HJ58" s="621"/>
      <c r="HK58" s="621"/>
      <c r="HL58" s="621"/>
      <c r="HM58" s="621"/>
      <c r="HN58" s="621"/>
      <c r="HO58" s="621"/>
      <c r="HP58" s="621"/>
      <c r="HQ58" s="621"/>
      <c r="HR58" s="621"/>
      <c r="HS58" s="621"/>
      <c r="HT58" s="621"/>
      <c r="HU58" s="621"/>
      <c r="HV58" s="621"/>
      <c r="HW58" s="621"/>
      <c r="HX58" s="621"/>
      <c r="HY58" s="621"/>
      <c r="HZ58" s="621"/>
      <c r="IA58" s="621"/>
      <c r="IB58" s="621"/>
      <c r="IC58" s="621"/>
      <c r="ID58" s="621"/>
      <c r="IE58" s="621"/>
      <c r="IF58" s="621"/>
      <c r="IG58" s="621"/>
      <c r="IH58" s="621"/>
      <c r="II58" s="621"/>
      <c r="IJ58" s="621"/>
      <c r="IK58" s="621"/>
      <c r="IL58" s="621"/>
      <c r="IM58" s="621"/>
      <c r="IN58" s="621"/>
      <c r="IO58" s="621"/>
      <c r="IP58" s="621"/>
      <c r="IQ58" s="621"/>
      <c r="IR58" s="621"/>
      <c r="IS58" s="621"/>
      <c r="IT58" s="621"/>
      <c r="IU58" s="621"/>
      <c r="IV58" s="621"/>
      <c r="IW58" s="621"/>
      <c r="IX58" s="621"/>
      <c r="IY58" s="621"/>
      <c r="IZ58" s="621"/>
      <c r="JA58" s="621"/>
      <c r="JB58" s="621"/>
      <c r="JC58" s="621"/>
      <c r="JD58" s="621"/>
      <c r="JE58" s="621"/>
      <c r="JF58" s="621"/>
      <c r="JG58" s="621"/>
      <c r="JH58" s="621"/>
      <c r="JI58" s="621"/>
      <c r="JJ58" s="621"/>
      <c r="JK58" s="621"/>
      <c r="JL58" s="621"/>
      <c r="JM58" s="621"/>
      <c r="JN58" s="621"/>
      <c r="JO58" s="621"/>
      <c r="JP58" s="621"/>
      <c r="JQ58" s="621"/>
      <c r="JR58" s="621"/>
      <c r="JS58" s="621"/>
      <c r="JT58" s="621"/>
      <c r="JU58" s="621"/>
      <c r="JV58" s="621"/>
      <c r="JW58" s="621"/>
      <c r="JX58" s="621"/>
      <c r="JY58" s="621"/>
      <c r="JZ58" s="621"/>
      <c r="KA58" s="621"/>
      <c r="KB58" s="621"/>
      <c r="KC58" s="621"/>
      <c r="KD58" s="621"/>
      <c r="KE58" s="621"/>
      <c r="KF58" s="621"/>
      <c r="KG58" s="621"/>
      <c r="KH58" s="621"/>
      <c r="KI58" s="621"/>
      <c r="KJ58" s="621"/>
      <c r="KK58" s="621"/>
      <c r="KL58" s="621"/>
      <c r="KM58" s="621"/>
      <c r="KN58" s="621"/>
      <c r="KO58" s="621"/>
      <c r="KP58" s="621"/>
      <c r="KQ58" s="621"/>
      <c r="KR58" s="621"/>
      <c r="KS58" s="621"/>
      <c r="KT58" s="621"/>
      <c r="KU58" s="621"/>
      <c r="KV58" s="621"/>
      <c r="KW58" s="621"/>
      <c r="KX58" s="621"/>
      <c r="KY58" s="621"/>
      <c r="KZ58" s="621"/>
      <c r="LA58" s="621"/>
      <c r="LB58" s="621"/>
      <c r="LC58" s="621"/>
      <c r="LD58" s="621"/>
      <c r="LE58" s="621"/>
      <c r="LF58" s="621"/>
      <c r="LG58" s="621"/>
      <c r="LH58" s="621"/>
      <c r="LI58" s="621"/>
      <c r="LJ58" s="621"/>
      <c r="LK58" s="621"/>
      <c r="LL58" s="621"/>
      <c r="LM58" s="621"/>
      <c r="LN58" s="621"/>
      <c r="LO58" s="621"/>
      <c r="LP58" s="621"/>
      <c r="LQ58" s="621"/>
      <c r="LR58" s="621"/>
      <c r="LS58" s="621"/>
      <c r="LT58" s="621"/>
      <c r="LU58" s="621"/>
      <c r="LV58" s="621"/>
      <c r="LW58" s="621"/>
      <c r="LX58" s="621"/>
      <c r="LY58" s="621"/>
      <c r="LZ58" s="621"/>
      <c r="MA58" s="621"/>
      <c r="MB58" s="621"/>
      <c r="MC58" s="621"/>
      <c r="MD58" s="621"/>
      <c r="ME58" s="621"/>
      <c r="MF58" s="621"/>
      <c r="MG58" s="621"/>
      <c r="MH58" s="621"/>
      <c r="MI58" s="621"/>
      <c r="MJ58" s="621"/>
      <c r="MK58" s="621"/>
      <c r="ML58" s="621"/>
      <c r="MM58" s="621"/>
      <c r="MN58" s="621"/>
      <c r="MO58" s="621"/>
      <c r="MP58" s="621"/>
      <c r="MQ58" s="621"/>
      <c r="MR58" s="621"/>
      <c r="MS58" s="621"/>
      <c r="MT58" s="621"/>
      <c r="MU58" s="621"/>
      <c r="MV58" s="621"/>
      <c r="MW58" s="621"/>
      <c r="MX58" s="621"/>
      <c r="MY58" s="621"/>
      <c r="MZ58" s="621"/>
      <c r="NA58" s="621"/>
      <c r="NB58" s="621"/>
      <c r="NC58" s="621"/>
      <c r="ND58" s="621"/>
      <c r="NE58" s="621"/>
      <c r="NF58" s="621"/>
      <c r="NG58" s="621"/>
      <c r="NH58" s="621"/>
      <c r="NI58" s="621"/>
      <c r="NJ58" s="621"/>
      <c r="NK58" s="621"/>
      <c r="NL58" s="621"/>
      <c r="NM58" s="621"/>
      <c r="NN58" s="621"/>
      <c r="NO58" s="621"/>
      <c r="NP58" s="621"/>
      <c r="NQ58" s="621"/>
      <c r="NR58" s="621"/>
      <c r="NS58" s="621"/>
      <c r="NT58" s="621"/>
      <c r="NU58" s="621"/>
      <c r="NV58" s="621"/>
      <c r="NW58" s="621"/>
      <c r="NX58" s="621"/>
      <c r="NY58" s="621"/>
      <c r="NZ58" s="621"/>
      <c r="OA58" s="621"/>
      <c r="OB58" s="621"/>
      <c r="OC58" s="621"/>
      <c r="OD58" s="621"/>
      <c r="OE58" s="621"/>
      <c r="OF58" s="621"/>
      <c r="OG58" s="621"/>
      <c r="OH58" s="621"/>
      <c r="OI58" s="621"/>
      <c r="OJ58" s="621"/>
      <c r="OK58" s="621"/>
      <c r="OL58" s="621"/>
      <c r="OM58" s="621"/>
      <c r="ON58" s="621"/>
      <c r="OO58" s="621"/>
      <c r="OP58" s="621"/>
      <c r="OQ58" s="621"/>
      <c r="OR58" s="621"/>
      <c r="OS58" s="621"/>
      <c r="OT58" s="621"/>
      <c r="OU58" s="621"/>
      <c r="OV58" s="621"/>
      <c r="OW58" s="621"/>
      <c r="OX58" s="621"/>
      <c r="OY58" s="621"/>
      <c r="OZ58" s="621"/>
      <c r="PA58" s="621"/>
      <c r="PB58" s="621"/>
      <c r="PC58" s="621"/>
      <c r="PD58" s="621"/>
      <c r="PE58" s="621"/>
      <c r="PF58" s="621"/>
      <c r="PG58" s="621"/>
      <c r="PH58" s="621"/>
      <c r="PI58" s="621"/>
      <c r="PJ58" s="621"/>
      <c r="PK58" s="621"/>
      <c r="PL58" s="621"/>
      <c r="PM58" s="621"/>
      <c r="PN58" s="621"/>
      <c r="PO58" s="621"/>
      <c r="PP58" s="621"/>
      <c r="PQ58" s="621"/>
      <c r="PR58" s="621"/>
      <c r="PS58" s="621"/>
      <c r="PT58" s="621"/>
      <c r="PU58" s="621"/>
      <c r="PV58" s="621"/>
      <c r="PW58" s="621"/>
      <c r="PX58" s="621"/>
      <c r="PY58" s="621"/>
      <c r="PZ58" s="621"/>
      <c r="QA58" s="621"/>
      <c r="QB58" s="621"/>
      <c r="QC58" s="621"/>
      <c r="QD58" s="621"/>
      <c r="QE58" s="621"/>
      <c r="QF58" s="621"/>
      <c r="QG58" s="621"/>
      <c r="QH58" s="621"/>
      <c r="QI58" s="621"/>
      <c r="QJ58" s="621"/>
      <c r="QK58" s="621"/>
      <c r="QL58" s="621"/>
      <c r="QM58" s="621"/>
      <c r="QN58" s="621"/>
      <c r="QO58" s="621"/>
      <c r="QP58" s="621"/>
      <c r="QQ58" s="621"/>
      <c r="QR58" s="621"/>
      <c r="QS58" s="621"/>
      <c r="QT58" s="621"/>
      <c r="QU58" s="621"/>
      <c r="QV58" s="621"/>
      <c r="QW58" s="621"/>
      <c r="QX58" s="621"/>
      <c r="QY58" s="621"/>
      <c r="QZ58" s="621"/>
      <c r="RA58" s="621"/>
      <c r="RB58" s="621"/>
      <c r="RC58" s="621"/>
      <c r="RD58" s="621"/>
      <c r="RE58" s="621"/>
      <c r="RF58" s="621"/>
      <c r="RG58" s="621"/>
      <c r="RH58" s="621"/>
      <c r="RI58" s="621"/>
      <c r="RJ58" s="621"/>
      <c r="RK58" s="621"/>
      <c r="RL58" s="621"/>
      <c r="RM58" s="621"/>
      <c r="RN58" s="621"/>
      <c r="RO58" s="621"/>
      <c r="RP58" s="621"/>
      <c r="RQ58" s="621"/>
      <c r="RR58" s="621"/>
      <c r="RS58" s="621"/>
      <c r="RT58" s="621"/>
      <c r="RU58" s="621"/>
      <c r="RV58" s="621"/>
      <c r="RW58" s="621"/>
      <c r="RX58" s="621"/>
      <c r="RY58" s="621"/>
      <c r="RZ58" s="621"/>
      <c r="SA58" s="621"/>
      <c r="SB58" s="621"/>
      <c r="SC58" s="621"/>
      <c r="SD58" s="621"/>
      <c r="SE58" s="621"/>
      <c r="SF58" s="621"/>
      <c r="SG58" s="621"/>
      <c r="SH58" s="621"/>
      <c r="SI58" s="621"/>
      <c r="SJ58" s="621"/>
      <c r="SK58" s="621"/>
      <c r="SL58" s="621"/>
      <c r="SM58" s="621"/>
      <c r="SN58" s="621"/>
      <c r="SO58" s="621"/>
      <c r="SP58" s="621"/>
      <c r="SQ58" s="621"/>
      <c r="SR58" s="621"/>
      <c r="SS58" s="621"/>
      <c r="ST58" s="621"/>
      <c r="SU58" s="621"/>
      <c r="SV58" s="621"/>
      <c r="SW58" s="621"/>
      <c r="SX58" s="621"/>
      <c r="SY58" s="621"/>
      <c r="SZ58" s="621"/>
      <c r="TA58" s="621"/>
      <c r="TB58" s="621"/>
      <c r="TC58" s="621"/>
      <c r="TD58" s="621"/>
      <c r="TE58" s="621"/>
      <c r="TF58" s="621"/>
      <c r="TG58" s="621"/>
      <c r="TH58" s="621"/>
      <c r="TI58" s="621"/>
      <c r="TJ58" s="621"/>
      <c r="TK58" s="621"/>
      <c r="TL58" s="621"/>
      <c r="TM58" s="621"/>
      <c r="TN58" s="621"/>
      <c r="TO58" s="621"/>
      <c r="TP58" s="621"/>
      <c r="TQ58" s="621"/>
      <c r="TR58" s="621"/>
      <c r="TS58" s="621"/>
      <c r="TT58" s="621"/>
      <c r="TU58" s="621"/>
      <c r="TV58" s="621"/>
      <c r="TW58" s="621"/>
      <c r="TX58" s="621"/>
      <c r="TY58" s="621"/>
      <c r="TZ58" s="621"/>
      <c r="UA58" s="621"/>
      <c r="UB58" s="621"/>
      <c r="UC58" s="621"/>
      <c r="UD58" s="621"/>
      <c r="UE58" s="621"/>
      <c r="UF58" s="621"/>
      <c r="UG58" s="621"/>
      <c r="UH58" s="621"/>
      <c r="UI58" s="621"/>
      <c r="UJ58" s="621"/>
      <c r="UK58" s="621"/>
      <c r="UL58" s="621"/>
      <c r="UM58" s="621"/>
      <c r="UN58" s="621"/>
      <c r="UO58" s="621"/>
      <c r="UP58" s="621"/>
      <c r="UQ58" s="621"/>
      <c r="UR58" s="621"/>
      <c r="US58" s="621"/>
      <c r="UT58" s="621"/>
      <c r="UU58" s="621"/>
      <c r="UV58" s="621"/>
      <c r="UW58" s="621"/>
      <c r="UX58" s="621"/>
      <c r="UY58" s="621"/>
      <c r="UZ58" s="621"/>
      <c r="VA58" s="621"/>
      <c r="VB58" s="621"/>
      <c r="VC58" s="621"/>
      <c r="VD58" s="621"/>
      <c r="VE58" s="621"/>
      <c r="VF58" s="621"/>
      <c r="VG58" s="621"/>
      <c r="VH58" s="621"/>
      <c r="VI58" s="621"/>
      <c r="VJ58" s="621"/>
      <c r="VK58" s="621"/>
      <c r="VL58" s="621"/>
      <c r="VM58" s="621"/>
      <c r="VN58" s="621"/>
      <c r="VO58" s="621"/>
      <c r="VP58" s="621"/>
      <c r="VQ58" s="621"/>
      <c r="VR58" s="621"/>
      <c r="VS58" s="621"/>
      <c r="VT58" s="621"/>
      <c r="VU58" s="621"/>
      <c r="VV58" s="621"/>
      <c r="VW58" s="621"/>
      <c r="VX58" s="621"/>
      <c r="VY58" s="621"/>
      <c r="VZ58" s="621"/>
      <c r="WA58" s="621"/>
      <c r="WB58" s="621"/>
      <c r="WC58" s="621"/>
      <c r="WD58" s="621"/>
      <c r="WE58" s="621"/>
      <c r="WF58" s="621"/>
      <c r="WG58" s="621"/>
      <c r="WH58" s="621"/>
      <c r="WI58" s="621"/>
      <c r="WJ58" s="621"/>
      <c r="WK58" s="621"/>
      <c r="WL58" s="621"/>
      <c r="WM58" s="621"/>
      <c r="WN58" s="621"/>
      <c r="WO58" s="621"/>
      <c r="WP58" s="621"/>
      <c r="WQ58" s="621"/>
      <c r="WR58" s="621"/>
      <c r="WS58" s="621"/>
      <c r="WT58" s="621"/>
      <c r="WU58" s="621"/>
      <c r="WV58" s="621"/>
      <c r="WW58" s="621"/>
      <c r="WX58" s="621"/>
      <c r="WY58" s="621"/>
      <c r="WZ58" s="621"/>
      <c r="XA58" s="621"/>
      <c r="XB58" s="621"/>
      <c r="XC58" s="621"/>
      <c r="XD58" s="621"/>
      <c r="XE58" s="621"/>
      <c r="XF58" s="621"/>
      <c r="XG58" s="621"/>
      <c r="XH58" s="621"/>
      <c r="XI58" s="621"/>
      <c r="XJ58" s="621"/>
      <c r="XK58" s="621"/>
      <c r="XL58" s="621"/>
      <c r="XM58" s="621"/>
      <c r="XN58" s="621"/>
      <c r="XO58" s="621"/>
      <c r="XP58" s="621"/>
      <c r="XQ58" s="621"/>
      <c r="XR58" s="621"/>
      <c r="XS58" s="621"/>
      <c r="XT58" s="621"/>
      <c r="XU58" s="621"/>
      <c r="XV58" s="621"/>
      <c r="XW58" s="621"/>
      <c r="XX58" s="621"/>
      <c r="XY58" s="621"/>
      <c r="XZ58" s="621"/>
      <c r="YA58" s="621"/>
      <c r="YB58" s="621"/>
      <c r="YC58" s="621"/>
      <c r="YD58" s="621"/>
      <c r="YE58" s="621"/>
      <c r="YF58" s="621"/>
      <c r="YG58" s="621"/>
      <c r="YH58" s="621"/>
      <c r="YI58" s="621"/>
      <c r="YJ58" s="621"/>
      <c r="YK58" s="621"/>
      <c r="YL58" s="621"/>
      <c r="YM58" s="621"/>
      <c r="YN58" s="621"/>
      <c r="YO58" s="621"/>
      <c r="YP58" s="621"/>
      <c r="YQ58" s="621"/>
      <c r="YR58" s="621"/>
      <c r="YS58" s="621"/>
      <c r="YT58" s="621"/>
      <c r="YU58" s="621"/>
      <c r="YV58" s="621"/>
      <c r="YW58" s="621"/>
      <c r="YX58" s="621"/>
      <c r="YY58" s="621"/>
      <c r="YZ58" s="621"/>
      <c r="ZA58" s="621"/>
      <c r="ZB58" s="621"/>
      <c r="ZC58" s="621"/>
      <c r="ZD58" s="621"/>
      <c r="ZE58" s="621"/>
      <c r="ZF58" s="621"/>
      <c r="ZG58" s="621"/>
      <c r="ZH58" s="621"/>
      <c r="ZI58" s="621"/>
      <c r="ZJ58" s="621"/>
      <c r="ZK58" s="621"/>
      <c r="ZL58" s="621"/>
      <c r="ZM58" s="621"/>
      <c r="ZN58" s="621"/>
      <c r="ZO58" s="621"/>
      <c r="ZP58" s="621"/>
      <c r="ZQ58" s="621"/>
      <c r="ZR58" s="621"/>
      <c r="ZS58" s="621"/>
      <c r="ZT58" s="621"/>
      <c r="ZU58" s="621"/>
      <c r="ZV58" s="621"/>
      <c r="ZW58" s="621"/>
      <c r="ZX58" s="621"/>
      <c r="ZY58" s="621"/>
      <c r="ZZ58" s="621"/>
      <c r="AAA58" s="621"/>
      <c r="AAB58" s="621"/>
      <c r="AAC58" s="621"/>
      <c r="AAD58" s="621"/>
      <c r="AAE58" s="621"/>
      <c r="AAF58" s="621"/>
      <c r="AAG58" s="621"/>
      <c r="AAH58" s="621"/>
      <c r="AAI58" s="621"/>
      <c r="AAJ58" s="621"/>
      <c r="AAK58" s="621"/>
      <c r="AAL58" s="621"/>
      <c r="AAM58" s="621"/>
      <c r="AAN58" s="621"/>
      <c r="AAO58" s="621"/>
      <c r="AAP58" s="621"/>
      <c r="AAQ58" s="621"/>
      <c r="AAR58" s="621"/>
      <c r="AAS58" s="621"/>
      <c r="AAT58" s="621"/>
      <c r="AAU58" s="621"/>
      <c r="AAV58" s="621"/>
      <c r="AAW58" s="621"/>
      <c r="AAX58" s="621"/>
      <c r="AAY58" s="621"/>
      <c r="AAZ58" s="621"/>
      <c r="ABA58" s="621"/>
      <c r="ABB58" s="621"/>
      <c r="ABC58" s="621"/>
      <c r="ABD58" s="621"/>
      <c r="ABE58" s="621"/>
      <c r="ABF58" s="621"/>
      <c r="ABG58" s="621"/>
      <c r="ABH58" s="621"/>
      <c r="ABI58" s="621"/>
      <c r="ABJ58" s="621"/>
      <c r="ABK58" s="621"/>
      <c r="ABL58" s="621"/>
      <c r="ABM58" s="621"/>
      <c r="ABN58" s="621"/>
      <c r="ABO58" s="621"/>
      <c r="ABP58" s="621"/>
      <c r="ABQ58" s="621"/>
      <c r="ABR58" s="621"/>
      <c r="ABS58" s="621"/>
      <c r="ABT58" s="621"/>
      <c r="ABU58" s="621"/>
      <c r="ABV58" s="621"/>
      <c r="ABW58" s="621"/>
      <c r="ABX58" s="621"/>
      <c r="ABY58" s="621"/>
      <c r="ABZ58" s="621"/>
      <c r="ACA58" s="621"/>
      <c r="ACB58" s="621"/>
      <c r="ACC58" s="621"/>
      <c r="ACD58" s="621"/>
      <c r="ACE58" s="621"/>
      <c r="ACF58" s="621"/>
      <c r="ACG58" s="621"/>
      <c r="ACH58" s="621"/>
      <c r="ACI58" s="621"/>
      <c r="ACJ58" s="621"/>
      <c r="ACK58" s="621"/>
      <c r="ACL58" s="621"/>
      <c r="ACM58" s="621"/>
      <c r="ACN58" s="621"/>
      <c r="ACO58" s="621"/>
      <c r="ACP58" s="621"/>
      <c r="ACQ58" s="621"/>
      <c r="ACR58" s="621"/>
      <c r="ACS58" s="621"/>
      <c r="ACT58" s="621"/>
      <c r="ACU58" s="621"/>
      <c r="ACV58" s="621"/>
      <c r="ACW58" s="621"/>
      <c r="ACX58" s="621"/>
      <c r="ACY58" s="621"/>
      <c r="ACZ58" s="621"/>
      <c r="ADA58" s="621"/>
      <c r="ADB58" s="621"/>
      <c r="ADC58" s="621"/>
      <c r="ADD58" s="621"/>
      <c r="ADE58" s="621"/>
      <c r="ADF58" s="621"/>
      <c r="ADG58" s="621"/>
      <c r="ADH58" s="621"/>
      <c r="ADI58" s="621"/>
      <c r="ADJ58" s="621"/>
      <c r="ADK58" s="621"/>
      <c r="ADL58" s="621"/>
      <c r="ADM58" s="621"/>
      <c r="ADN58" s="621"/>
      <c r="ADO58" s="621"/>
      <c r="ADP58" s="621"/>
      <c r="ADQ58" s="621"/>
      <c r="ADR58" s="621"/>
      <c r="ADS58" s="621"/>
      <c r="ADT58" s="621"/>
      <c r="ADU58" s="621"/>
      <c r="ADV58" s="621"/>
      <c r="ADW58" s="621"/>
      <c r="ADX58" s="621"/>
      <c r="ADY58" s="621"/>
      <c r="ADZ58" s="621"/>
      <c r="AEA58" s="621"/>
      <c r="AEB58" s="621"/>
      <c r="AEC58" s="621"/>
      <c r="AED58" s="621"/>
      <c r="AEE58" s="621"/>
      <c r="AEF58" s="621"/>
      <c r="AEG58" s="621"/>
      <c r="AEH58" s="621"/>
      <c r="AEI58" s="621"/>
      <c r="AEJ58" s="621"/>
      <c r="AEK58" s="621"/>
      <c r="AEL58" s="621"/>
      <c r="AEM58" s="621"/>
      <c r="AEN58" s="621"/>
      <c r="AEO58" s="621"/>
      <c r="AEP58" s="621"/>
      <c r="AEQ58" s="621"/>
      <c r="AER58" s="621"/>
      <c r="AES58" s="621"/>
      <c r="AET58" s="621"/>
      <c r="AEU58" s="621"/>
      <c r="AEV58" s="621"/>
      <c r="AEW58" s="621"/>
      <c r="AEX58" s="621"/>
      <c r="AEY58" s="621"/>
      <c r="AEZ58" s="621"/>
      <c r="AFA58" s="621"/>
      <c r="AFB58" s="621"/>
      <c r="AFC58" s="621"/>
      <c r="AFD58" s="621"/>
      <c r="AFE58" s="621"/>
      <c r="AFF58" s="621"/>
      <c r="AFG58" s="621"/>
      <c r="AFH58" s="621"/>
      <c r="AFI58" s="621"/>
      <c r="AFJ58" s="621"/>
      <c r="AFK58" s="621"/>
      <c r="AFL58" s="621"/>
      <c r="AFM58" s="621"/>
      <c r="AFN58" s="621"/>
      <c r="AFO58" s="621"/>
      <c r="AFP58" s="621"/>
      <c r="AFQ58" s="621"/>
      <c r="AFR58" s="621"/>
      <c r="AFS58" s="621"/>
      <c r="AFT58" s="621"/>
      <c r="AFU58" s="621"/>
      <c r="AFV58" s="621"/>
      <c r="AFW58" s="621"/>
      <c r="AFX58" s="621"/>
      <c r="AFY58" s="621"/>
      <c r="AFZ58" s="621"/>
      <c r="AGA58" s="621"/>
      <c r="AGB58" s="621"/>
      <c r="AGC58" s="621"/>
      <c r="AGD58" s="621"/>
      <c r="AGE58" s="621"/>
      <c r="AGF58" s="621"/>
      <c r="AGG58" s="621"/>
      <c r="AGH58" s="621"/>
      <c r="AGI58" s="621"/>
      <c r="AGJ58" s="621"/>
      <c r="AGK58" s="621"/>
      <c r="AGL58" s="621"/>
      <c r="AGM58" s="621"/>
      <c r="AGN58" s="621"/>
      <c r="AGO58" s="621"/>
      <c r="AGP58" s="621"/>
      <c r="AGQ58" s="621"/>
      <c r="AGR58" s="621"/>
      <c r="AGS58" s="621"/>
      <c r="AGT58" s="621"/>
      <c r="AGU58" s="621"/>
      <c r="AGV58" s="621"/>
      <c r="AGW58" s="621"/>
      <c r="AGX58" s="621"/>
      <c r="AGY58" s="621"/>
      <c r="AGZ58" s="621"/>
      <c r="AHA58" s="621"/>
      <c r="AHB58" s="621"/>
      <c r="AHC58" s="621"/>
      <c r="AHD58" s="621"/>
      <c r="AHE58" s="621"/>
      <c r="AHF58" s="621"/>
      <c r="AHG58" s="621"/>
      <c r="AHH58" s="621"/>
      <c r="AHI58" s="621"/>
      <c r="AHJ58" s="621"/>
      <c r="AHK58" s="621"/>
      <c r="AHL58" s="621"/>
      <c r="AHM58" s="621"/>
      <c r="AHN58" s="621"/>
      <c r="AHO58" s="621"/>
      <c r="AHP58" s="621"/>
      <c r="AHQ58" s="621"/>
      <c r="AHR58" s="621"/>
      <c r="AHS58" s="621"/>
      <c r="AHT58" s="621"/>
      <c r="AHU58" s="621"/>
      <c r="AHV58" s="621"/>
      <c r="AHW58" s="621"/>
      <c r="AHX58" s="621"/>
      <c r="AHY58" s="621"/>
      <c r="AHZ58" s="621"/>
      <c r="AIA58" s="621"/>
      <c r="AIB58" s="621"/>
      <c r="AIC58" s="621"/>
      <c r="AID58" s="621"/>
      <c r="AIE58" s="621"/>
      <c r="AIF58" s="621"/>
      <c r="AIG58" s="621"/>
      <c r="AIH58" s="621"/>
      <c r="AII58" s="621"/>
      <c r="AIJ58" s="621"/>
      <c r="AIK58" s="621"/>
      <c r="AIL58" s="621"/>
      <c r="AIM58" s="621"/>
      <c r="AIN58" s="621"/>
      <c r="AIO58" s="621"/>
      <c r="AIP58" s="621"/>
      <c r="AIQ58" s="621"/>
      <c r="AIR58" s="621"/>
      <c r="AIS58" s="621"/>
      <c r="AIT58" s="621"/>
      <c r="AIU58" s="621"/>
      <c r="AIV58" s="621"/>
      <c r="AIW58" s="621"/>
      <c r="AIX58" s="621"/>
      <c r="AIY58" s="621"/>
      <c r="AIZ58" s="621"/>
      <c r="AJA58" s="621"/>
      <c r="AJB58" s="621"/>
      <c r="AJC58" s="621"/>
      <c r="AJD58" s="621"/>
      <c r="AJE58" s="621"/>
      <c r="AJF58" s="621"/>
      <c r="AJG58" s="621"/>
      <c r="AJH58" s="621"/>
      <c r="AJI58" s="621"/>
      <c r="AJJ58" s="621"/>
      <c r="AJK58" s="621"/>
      <c r="AJL58" s="621"/>
      <c r="AJM58" s="621"/>
      <c r="AJN58" s="621"/>
      <c r="AJO58" s="621"/>
      <c r="AJP58" s="621"/>
      <c r="AJQ58" s="621"/>
      <c r="AJR58" s="621"/>
      <c r="AJS58" s="621"/>
      <c r="AJT58" s="621"/>
      <c r="AJU58" s="621"/>
      <c r="AJV58" s="621"/>
      <c r="AJW58" s="621"/>
      <c r="AJX58" s="621"/>
      <c r="AJY58" s="621"/>
      <c r="AJZ58" s="621"/>
      <c r="AKA58" s="621"/>
      <c r="AKB58" s="621"/>
      <c r="AKC58" s="621"/>
      <c r="AKD58" s="621"/>
      <c r="AKE58" s="621"/>
      <c r="AKF58" s="621"/>
      <c r="AKG58" s="621"/>
      <c r="AKH58" s="621"/>
      <c r="AKI58" s="621"/>
      <c r="AKJ58" s="621"/>
      <c r="AKK58" s="621"/>
      <c r="AKL58" s="621"/>
      <c r="AKM58" s="621"/>
      <c r="AKN58" s="621"/>
      <c r="AKO58" s="621"/>
      <c r="AKP58" s="621"/>
      <c r="AKQ58" s="621"/>
      <c r="AKR58" s="621"/>
      <c r="AKS58" s="621"/>
      <c r="AKT58" s="621"/>
      <c r="AKU58" s="621"/>
      <c r="AKV58" s="621"/>
      <c r="AKW58" s="621"/>
      <c r="AKX58" s="621"/>
      <c r="AKY58" s="621"/>
      <c r="AKZ58" s="621"/>
      <c r="ALA58" s="621"/>
      <c r="ALB58" s="621"/>
      <c r="ALC58" s="621"/>
      <c r="ALD58" s="621"/>
      <c r="ALE58" s="621"/>
      <c r="ALF58" s="621"/>
      <c r="ALG58" s="621"/>
      <c r="ALH58" s="621"/>
      <c r="ALI58" s="621"/>
      <c r="ALJ58" s="621"/>
      <c r="ALK58" s="621"/>
      <c r="ALL58" s="621"/>
      <c r="ALM58" s="621"/>
      <c r="ALN58" s="621"/>
      <c r="ALO58" s="621"/>
      <c r="ALP58" s="621"/>
      <c r="ALQ58" s="621"/>
      <c r="ALR58" s="621"/>
      <c r="ALS58" s="621"/>
      <c r="ALT58" s="621"/>
      <c r="ALU58" s="621"/>
      <c r="ALV58" s="621"/>
      <c r="ALW58" s="621"/>
      <c r="ALX58" s="621"/>
      <c r="ALY58" s="621"/>
      <c r="ALZ58" s="621"/>
      <c r="AMA58" s="621"/>
      <c r="AMB58" s="621"/>
      <c r="AMC58" s="621"/>
      <c r="AMD58" s="621"/>
      <c r="AME58" s="621"/>
      <c r="AMF58" s="621"/>
      <c r="AMG58" s="621"/>
      <c r="AMH58" s="621"/>
      <c r="AMI58" s="621"/>
      <c r="AMJ58" s="621"/>
      <c r="AMK58" s="621"/>
    </row>
    <row r="59" spans="1:1025" ht="60" customHeight="1">
      <c r="A59" s="374">
        <v>2.5</v>
      </c>
      <c r="B59" s="1335" t="s">
        <v>769</v>
      </c>
      <c r="C59" s="408">
        <f>SUM(C60:C61)</f>
        <v>56487.342999999993</v>
      </c>
      <c r="D59" s="409">
        <f>SUM(D60:D61)</f>
        <v>51352.12999999999</v>
      </c>
      <c r="E59" s="2043"/>
      <c r="F59" s="2043"/>
      <c r="G59" s="443"/>
      <c r="H59" s="420"/>
      <c r="I59" s="594"/>
      <c r="J59" s="549">
        <v>1623.915</v>
      </c>
      <c r="K59" s="594">
        <f>+D59-J59</f>
        <v>49728.214999999989</v>
      </c>
      <c r="L59" s="458"/>
      <c r="M59" s="542"/>
      <c r="N59" s="272"/>
      <c r="O59" s="272"/>
      <c r="P59" s="272"/>
      <c r="T59" s="397"/>
      <c r="U59" s="397"/>
      <c r="V59" s="452"/>
      <c r="W59" s="452"/>
      <c r="X59" s="452"/>
      <c r="Y59" s="397"/>
      <c r="Z59" s="397"/>
      <c r="AA59" s="397"/>
      <c r="AD59" s="1455"/>
      <c r="AE59" s="1486"/>
      <c r="AF59" s="1484" t="s">
        <v>137</v>
      </c>
      <c r="AG59" s="1485"/>
      <c r="AH59" s="1485">
        <v>4</v>
      </c>
      <c r="AI59" s="1485">
        <v>6</v>
      </c>
      <c r="AJ59" s="1485">
        <f t="shared" si="11"/>
        <v>0</v>
      </c>
      <c r="AK59" s="1485">
        <v>0.5</v>
      </c>
      <c r="AL59" s="1485">
        <f t="shared" si="12"/>
        <v>0</v>
      </c>
      <c r="AM59" s="1475">
        <f t="shared" si="13"/>
        <v>0</v>
      </c>
      <c r="AN59" s="1484">
        <v>5</v>
      </c>
      <c r="AO59" s="1483">
        <f t="shared" si="14"/>
        <v>0</v>
      </c>
      <c r="AP59" s="442"/>
      <c r="AQ59" s="621"/>
      <c r="AR59" s="621"/>
      <c r="AS59" s="621"/>
      <c r="AT59" s="621"/>
      <c r="AU59" s="621"/>
      <c r="AV59" s="621"/>
      <c r="AW59" s="621"/>
      <c r="AX59" s="621"/>
      <c r="AY59" s="621"/>
      <c r="AZ59" s="621"/>
      <c r="BA59" s="621"/>
      <c r="BB59" s="621"/>
      <c r="BC59" s="621"/>
      <c r="BD59" s="621"/>
      <c r="BE59" s="621"/>
      <c r="BF59" s="621"/>
      <c r="BG59" s="621"/>
      <c r="BH59" s="621"/>
      <c r="BI59" s="621"/>
      <c r="BJ59" s="621"/>
      <c r="BK59" s="621"/>
      <c r="BL59" s="621"/>
      <c r="BM59" s="621"/>
      <c r="BN59" s="621"/>
      <c r="BO59" s="621"/>
      <c r="BP59" s="621"/>
      <c r="BQ59" s="621"/>
      <c r="BR59" s="621"/>
      <c r="BS59" s="621"/>
      <c r="BT59" s="621"/>
      <c r="BU59" s="621"/>
      <c r="BV59" s="621"/>
      <c r="BW59" s="621"/>
      <c r="BX59" s="621"/>
      <c r="BY59" s="621"/>
      <c r="BZ59" s="621"/>
      <c r="CA59" s="621"/>
      <c r="CB59" s="621"/>
      <c r="CC59" s="621"/>
      <c r="CD59" s="621"/>
      <c r="CE59" s="621"/>
      <c r="CF59" s="621"/>
      <c r="CG59" s="621"/>
      <c r="CH59" s="621"/>
      <c r="CI59" s="621"/>
      <c r="CJ59" s="621"/>
      <c r="CK59" s="621"/>
      <c r="CL59" s="621"/>
      <c r="CM59" s="621"/>
      <c r="CN59" s="621"/>
      <c r="CO59" s="621"/>
      <c r="CP59" s="621"/>
      <c r="CQ59" s="621"/>
      <c r="CR59" s="621"/>
      <c r="CS59" s="621"/>
      <c r="CT59" s="621"/>
      <c r="CU59" s="621"/>
      <c r="CV59" s="621"/>
      <c r="CW59" s="621"/>
      <c r="CX59" s="621"/>
      <c r="CY59" s="621"/>
      <c r="CZ59" s="621"/>
      <c r="DA59" s="621"/>
      <c r="DB59" s="621"/>
      <c r="DC59" s="621"/>
      <c r="DD59" s="621"/>
      <c r="DE59" s="621"/>
      <c r="DF59" s="621"/>
      <c r="DG59" s="621"/>
      <c r="DH59" s="621"/>
      <c r="DI59" s="621"/>
      <c r="DJ59" s="621"/>
      <c r="DK59" s="621"/>
      <c r="DL59" s="621"/>
      <c r="DM59" s="621"/>
      <c r="DN59" s="621"/>
      <c r="DO59" s="621"/>
      <c r="DP59" s="621"/>
      <c r="DQ59" s="621"/>
      <c r="DR59" s="621"/>
      <c r="DS59" s="621"/>
      <c r="DT59" s="621"/>
      <c r="DU59" s="621"/>
      <c r="DV59" s="621"/>
      <c r="DW59" s="621"/>
      <c r="DX59" s="621"/>
      <c r="DY59" s="621"/>
      <c r="DZ59" s="621"/>
      <c r="EA59" s="621"/>
      <c r="EB59" s="621"/>
      <c r="EC59" s="621"/>
      <c r="ED59" s="621"/>
      <c r="EE59" s="621"/>
      <c r="EF59" s="621"/>
      <c r="EG59" s="621"/>
      <c r="EH59" s="621"/>
      <c r="EI59" s="621"/>
      <c r="EJ59" s="621"/>
      <c r="EK59" s="621"/>
      <c r="EL59" s="621"/>
      <c r="EM59" s="621"/>
      <c r="EN59" s="621"/>
      <c r="EO59" s="621"/>
      <c r="EP59" s="621"/>
      <c r="EQ59" s="621"/>
      <c r="ER59" s="621"/>
      <c r="ES59" s="621"/>
      <c r="ET59" s="621"/>
      <c r="EU59" s="621"/>
      <c r="EV59" s="621"/>
      <c r="EW59" s="621"/>
      <c r="EX59" s="621"/>
      <c r="EY59" s="621"/>
      <c r="EZ59" s="621"/>
      <c r="FA59" s="621"/>
      <c r="FB59" s="621"/>
      <c r="FC59" s="621"/>
      <c r="FD59" s="621"/>
      <c r="FE59" s="621"/>
      <c r="FF59" s="621"/>
      <c r="FG59" s="621"/>
      <c r="FH59" s="621"/>
      <c r="FI59" s="621"/>
      <c r="FJ59" s="621"/>
      <c r="FK59" s="621"/>
      <c r="FL59" s="621"/>
      <c r="FM59" s="621"/>
      <c r="FN59" s="621"/>
      <c r="FO59" s="621"/>
      <c r="FP59" s="621"/>
      <c r="FQ59" s="621"/>
      <c r="FR59" s="621"/>
      <c r="FS59" s="621"/>
      <c r="FT59" s="621"/>
      <c r="FU59" s="621"/>
      <c r="FV59" s="621"/>
      <c r="FW59" s="621"/>
      <c r="FX59" s="621"/>
      <c r="FY59" s="621"/>
      <c r="FZ59" s="621"/>
      <c r="GA59" s="621"/>
      <c r="GB59" s="621"/>
      <c r="GC59" s="621"/>
      <c r="GD59" s="621"/>
      <c r="GE59" s="621"/>
      <c r="GF59" s="621"/>
      <c r="GG59" s="621"/>
      <c r="GH59" s="621"/>
      <c r="GI59" s="621"/>
      <c r="GJ59" s="621"/>
      <c r="GK59" s="621"/>
      <c r="GL59" s="621"/>
      <c r="GM59" s="621"/>
      <c r="GN59" s="621"/>
      <c r="GO59" s="621"/>
      <c r="GP59" s="621"/>
      <c r="GQ59" s="621"/>
      <c r="GR59" s="621"/>
      <c r="GS59" s="621"/>
      <c r="GT59" s="621"/>
      <c r="GU59" s="621"/>
      <c r="GV59" s="621"/>
      <c r="GW59" s="621"/>
      <c r="GX59" s="621"/>
      <c r="GY59" s="621"/>
      <c r="GZ59" s="621"/>
      <c r="HA59" s="621"/>
      <c r="HB59" s="621"/>
      <c r="HC59" s="621"/>
      <c r="HD59" s="621"/>
      <c r="HE59" s="621"/>
      <c r="HF59" s="621"/>
      <c r="HG59" s="621"/>
      <c r="HH59" s="621"/>
      <c r="HI59" s="621"/>
      <c r="HJ59" s="621"/>
      <c r="HK59" s="621"/>
      <c r="HL59" s="621"/>
      <c r="HM59" s="621"/>
      <c r="HN59" s="621"/>
      <c r="HO59" s="621"/>
      <c r="HP59" s="621"/>
      <c r="HQ59" s="621"/>
      <c r="HR59" s="621"/>
      <c r="HS59" s="621"/>
      <c r="HT59" s="621"/>
      <c r="HU59" s="621"/>
      <c r="HV59" s="621"/>
      <c r="HW59" s="621"/>
      <c r="HX59" s="621"/>
      <c r="HY59" s="621"/>
      <c r="HZ59" s="621"/>
      <c r="IA59" s="621"/>
      <c r="IB59" s="621"/>
      <c r="IC59" s="621"/>
      <c r="ID59" s="621"/>
      <c r="IE59" s="621"/>
      <c r="IF59" s="621"/>
      <c r="IG59" s="621"/>
      <c r="IH59" s="621"/>
      <c r="II59" s="621"/>
      <c r="IJ59" s="621"/>
      <c r="IK59" s="621"/>
      <c r="IL59" s="621"/>
      <c r="IM59" s="621"/>
      <c r="IN59" s="621"/>
      <c r="IO59" s="621"/>
      <c r="IP59" s="621"/>
      <c r="IQ59" s="621"/>
      <c r="IR59" s="621"/>
      <c r="IS59" s="621"/>
      <c r="IT59" s="621"/>
      <c r="IU59" s="621"/>
      <c r="IV59" s="621"/>
      <c r="IW59" s="621"/>
      <c r="IX59" s="621"/>
      <c r="IY59" s="621"/>
      <c r="IZ59" s="621"/>
      <c r="JA59" s="621"/>
      <c r="JB59" s="621"/>
      <c r="JC59" s="621"/>
      <c r="JD59" s="621"/>
      <c r="JE59" s="621"/>
      <c r="JF59" s="621"/>
      <c r="JG59" s="621"/>
      <c r="JH59" s="621"/>
      <c r="JI59" s="621"/>
      <c r="JJ59" s="621"/>
      <c r="JK59" s="621"/>
      <c r="JL59" s="621"/>
      <c r="JM59" s="621"/>
      <c r="JN59" s="621"/>
      <c r="JO59" s="621"/>
      <c r="JP59" s="621"/>
      <c r="JQ59" s="621"/>
      <c r="JR59" s="621"/>
      <c r="JS59" s="621"/>
      <c r="JT59" s="621"/>
      <c r="JU59" s="621"/>
      <c r="JV59" s="621"/>
      <c r="JW59" s="621"/>
      <c r="JX59" s="621"/>
      <c r="JY59" s="621"/>
      <c r="JZ59" s="621"/>
      <c r="KA59" s="621"/>
      <c r="KB59" s="621"/>
      <c r="KC59" s="621"/>
      <c r="KD59" s="621"/>
      <c r="KE59" s="621"/>
      <c r="KF59" s="621"/>
      <c r="KG59" s="621"/>
      <c r="KH59" s="621"/>
      <c r="KI59" s="621"/>
      <c r="KJ59" s="621"/>
      <c r="KK59" s="621"/>
      <c r="KL59" s="621"/>
      <c r="KM59" s="621"/>
      <c r="KN59" s="621"/>
      <c r="KO59" s="621"/>
      <c r="KP59" s="621"/>
      <c r="KQ59" s="621"/>
      <c r="KR59" s="621"/>
      <c r="KS59" s="621"/>
      <c r="KT59" s="621"/>
      <c r="KU59" s="621"/>
      <c r="KV59" s="621"/>
      <c r="KW59" s="621"/>
      <c r="KX59" s="621"/>
      <c r="KY59" s="621"/>
      <c r="KZ59" s="621"/>
      <c r="LA59" s="621"/>
      <c r="LB59" s="621"/>
      <c r="LC59" s="621"/>
      <c r="LD59" s="621"/>
      <c r="LE59" s="621"/>
      <c r="LF59" s="621"/>
      <c r="LG59" s="621"/>
      <c r="LH59" s="621"/>
      <c r="LI59" s="621"/>
      <c r="LJ59" s="621"/>
      <c r="LK59" s="621"/>
      <c r="LL59" s="621"/>
      <c r="LM59" s="621"/>
      <c r="LN59" s="621"/>
      <c r="LO59" s="621"/>
      <c r="LP59" s="621"/>
      <c r="LQ59" s="621"/>
      <c r="LR59" s="621"/>
      <c r="LS59" s="621"/>
      <c r="LT59" s="621"/>
      <c r="LU59" s="621"/>
      <c r="LV59" s="621"/>
      <c r="LW59" s="621"/>
      <c r="LX59" s="621"/>
      <c r="LY59" s="621"/>
      <c r="LZ59" s="621"/>
      <c r="MA59" s="621"/>
      <c r="MB59" s="621"/>
      <c r="MC59" s="621"/>
      <c r="MD59" s="621"/>
      <c r="ME59" s="621"/>
      <c r="MF59" s="621"/>
      <c r="MG59" s="621"/>
      <c r="MH59" s="621"/>
      <c r="MI59" s="621"/>
      <c r="MJ59" s="621"/>
      <c r="MK59" s="621"/>
      <c r="ML59" s="621"/>
      <c r="MM59" s="621"/>
      <c r="MN59" s="621"/>
      <c r="MO59" s="621"/>
      <c r="MP59" s="621"/>
      <c r="MQ59" s="621"/>
      <c r="MR59" s="621"/>
      <c r="MS59" s="621"/>
      <c r="MT59" s="621"/>
      <c r="MU59" s="621"/>
      <c r="MV59" s="621"/>
      <c r="MW59" s="621"/>
      <c r="MX59" s="621"/>
      <c r="MY59" s="621"/>
      <c r="MZ59" s="621"/>
      <c r="NA59" s="621"/>
      <c r="NB59" s="621"/>
      <c r="NC59" s="621"/>
      <c r="ND59" s="621"/>
      <c r="NE59" s="621"/>
      <c r="NF59" s="621"/>
      <c r="NG59" s="621"/>
      <c r="NH59" s="621"/>
      <c r="NI59" s="621"/>
      <c r="NJ59" s="621"/>
      <c r="NK59" s="621"/>
      <c r="NL59" s="621"/>
      <c r="NM59" s="621"/>
      <c r="NN59" s="621"/>
      <c r="NO59" s="621"/>
      <c r="NP59" s="621"/>
      <c r="NQ59" s="621"/>
      <c r="NR59" s="621"/>
      <c r="NS59" s="621"/>
      <c r="NT59" s="621"/>
      <c r="NU59" s="621"/>
      <c r="NV59" s="621"/>
      <c r="NW59" s="621"/>
      <c r="NX59" s="621"/>
      <c r="NY59" s="621"/>
      <c r="NZ59" s="621"/>
      <c r="OA59" s="621"/>
      <c r="OB59" s="621"/>
      <c r="OC59" s="621"/>
      <c r="OD59" s="621"/>
      <c r="OE59" s="621"/>
      <c r="OF59" s="621"/>
      <c r="OG59" s="621"/>
      <c r="OH59" s="621"/>
      <c r="OI59" s="621"/>
      <c r="OJ59" s="621"/>
      <c r="OK59" s="621"/>
      <c r="OL59" s="621"/>
      <c r="OM59" s="621"/>
      <c r="ON59" s="621"/>
      <c r="OO59" s="621"/>
      <c r="OP59" s="621"/>
      <c r="OQ59" s="621"/>
      <c r="OR59" s="621"/>
      <c r="OS59" s="621"/>
      <c r="OT59" s="621"/>
      <c r="OU59" s="621"/>
      <c r="OV59" s="621"/>
      <c r="OW59" s="621"/>
      <c r="OX59" s="621"/>
      <c r="OY59" s="621"/>
      <c r="OZ59" s="621"/>
      <c r="PA59" s="621"/>
      <c r="PB59" s="621"/>
      <c r="PC59" s="621"/>
      <c r="PD59" s="621"/>
      <c r="PE59" s="621"/>
      <c r="PF59" s="621"/>
      <c r="PG59" s="621"/>
      <c r="PH59" s="621"/>
      <c r="PI59" s="621"/>
      <c r="PJ59" s="621"/>
      <c r="PK59" s="621"/>
      <c r="PL59" s="621"/>
      <c r="PM59" s="621"/>
      <c r="PN59" s="621"/>
      <c r="PO59" s="621"/>
      <c r="PP59" s="621"/>
      <c r="PQ59" s="621"/>
      <c r="PR59" s="621"/>
      <c r="PS59" s="621"/>
      <c r="PT59" s="621"/>
      <c r="PU59" s="621"/>
      <c r="PV59" s="621"/>
      <c r="PW59" s="621"/>
      <c r="PX59" s="621"/>
      <c r="PY59" s="621"/>
      <c r="PZ59" s="621"/>
      <c r="QA59" s="621"/>
      <c r="QB59" s="621"/>
      <c r="QC59" s="621"/>
      <c r="QD59" s="621"/>
      <c r="QE59" s="621"/>
      <c r="QF59" s="621"/>
      <c r="QG59" s="621"/>
      <c r="QH59" s="621"/>
      <c r="QI59" s="621"/>
      <c r="QJ59" s="621"/>
      <c r="QK59" s="621"/>
      <c r="QL59" s="621"/>
      <c r="QM59" s="621"/>
      <c r="QN59" s="621"/>
      <c r="QO59" s="621"/>
      <c r="QP59" s="621"/>
      <c r="QQ59" s="621"/>
      <c r="QR59" s="621"/>
      <c r="QS59" s="621"/>
      <c r="QT59" s="621"/>
      <c r="QU59" s="621"/>
      <c r="QV59" s="621"/>
      <c r="QW59" s="621"/>
      <c r="QX59" s="621"/>
      <c r="QY59" s="621"/>
      <c r="QZ59" s="621"/>
      <c r="RA59" s="621"/>
      <c r="RB59" s="621"/>
      <c r="RC59" s="621"/>
      <c r="RD59" s="621"/>
      <c r="RE59" s="621"/>
      <c r="RF59" s="621"/>
      <c r="RG59" s="621"/>
      <c r="RH59" s="621"/>
      <c r="RI59" s="621"/>
      <c r="RJ59" s="621"/>
      <c r="RK59" s="621"/>
      <c r="RL59" s="621"/>
      <c r="RM59" s="621"/>
      <c r="RN59" s="621"/>
      <c r="RO59" s="621"/>
      <c r="RP59" s="621"/>
      <c r="RQ59" s="621"/>
      <c r="RR59" s="621"/>
      <c r="RS59" s="621"/>
      <c r="RT59" s="621"/>
      <c r="RU59" s="621"/>
      <c r="RV59" s="621"/>
      <c r="RW59" s="621"/>
      <c r="RX59" s="621"/>
      <c r="RY59" s="621"/>
      <c r="RZ59" s="621"/>
      <c r="SA59" s="621"/>
      <c r="SB59" s="621"/>
      <c r="SC59" s="621"/>
      <c r="SD59" s="621"/>
      <c r="SE59" s="621"/>
      <c r="SF59" s="621"/>
      <c r="SG59" s="621"/>
      <c r="SH59" s="621"/>
      <c r="SI59" s="621"/>
      <c r="SJ59" s="621"/>
      <c r="SK59" s="621"/>
      <c r="SL59" s="621"/>
      <c r="SM59" s="621"/>
      <c r="SN59" s="621"/>
      <c r="SO59" s="621"/>
      <c r="SP59" s="621"/>
      <c r="SQ59" s="621"/>
      <c r="SR59" s="621"/>
      <c r="SS59" s="621"/>
      <c r="ST59" s="621"/>
      <c r="SU59" s="621"/>
      <c r="SV59" s="621"/>
      <c r="SW59" s="621"/>
      <c r="SX59" s="621"/>
      <c r="SY59" s="621"/>
      <c r="SZ59" s="621"/>
      <c r="TA59" s="621"/>
      <c r="TB59" s="621"/>
      <c r="TC59" s="621"/>
      <c r="TD59" s="621"/>
      <c r="TE59" s="621"/>
      <c r="TF59" s="621"/>
      <c r="TG59" s="621"/>
      <c r="TH59" s="621"/>
      <c r="TI59" s="621"/>
      <c r="TJ59" s="621"/>
      <c r="TK59" s="621"/>
      <c r="TL59" s="621"/>
      <c r="TM59" s="621"/>
      <c r="TN59" s="621"/>
      <c r="TO59" s="621"/>
      <c r="TP59" s="621"/>
      <c r="TQ59" s="621"/>
      <c r="TR59" s="621"/>
      <c r="TS59" s="621"/>
      <c r="TT59" s="621"/>
      <c r="TU59" s="621"/>
      <c r="TV59" s="621"/>
      <c r="TW59" s="621"/>
      <c r="TX59" s="621"/>
      <c r="TY59" s="621"/>
      <c r="TZ59" s="621"/>
      <c r="UA59" s="621"/>
      <c r="UB59" s="621"/>
      <c r="UC59" s="621"/>
      <c r="UD59" s="621"/>
      <c r="UE59" s="621"/>
      <c r="UF59" s="621"/>
      <c r="UG59" s="621"/>
      <c r="UH59" s="621"/>
      <c r="UI59" s="621"/>
      <c r="UJ59" s="621"/>
      <c r="UK59" s="621"/>
      <c r="UL59" s="621"/>
      <c r="UM59" s="621"/>
      <c r="UN59" s="621"/>
      <c r="UO59" s="621"/>
      <c r="UP59" s="621"/>
      <c r="UQ59" s="621"/>
      <c r="UR59" s="621"/>
      <c r="US59" s="621"/>
      <c r="UT59" s="621"/>
      <c r="UU59" s="621"/>
      <c r="UV59" s="621"/>
      <c r="UW59" s="621"/>
      <c r="UX59" s="621"/>
      <c r="UY59" s="621"/>
      <c r="UZ59" s="621"/>
      <c r="VA59" s="621"/>
      <c r="VB59" s="621"/>
      <c r="VC59" s="621"/>
      <c r="VD59" s="621"/>
      <c r="VE59" s="621"/>
      <c r="VF59" s="621"/>
      <c r="VG59" s="621"/>
      <c r="VH59" s="621"/>
      <c r="VI59" s="621"/>
      <c r="VJ59" s="621"/>
      <c r="VK59" s="621"/>
      <c r="VL59" s="621"/>
      <c r="VM59" s="621"/>
      <c r="VN59" s="621"/>
      <c r="VO59" s="621"/>
      <c r="VP59" s="621"/>
      <c r="VQ59" s="621"/>
      <c r="VR59" s="621"/>
      <c r="VS59" s="621"/>
      <c r="VT59" s="621"/>
      <c r="VU59" s="621"/>
      <c r="VV59" s="621"/>
      <c r="VW59" s="621"/>
      <c r="VX59" s="621"/>
      <c r="VY59" s="621"/>
      <c r="VZ59" s="621"/>
      <c r="WA59" s="621"/>
      <c r="WB59" s="621"/>
      <c r="WC59" s="621"/>
      <c r="WD59" s="621"/>
      <c r="WE59" s="621"/>
      <c r="WF59" s="621"/>
      <c r="WG59" s="621"/>
      <c r="WH59" s="621"/>
      <c r="WI59" s="621"/>
      <c r="WJ59" s="621"/>
      <c r="WK59" s="621"/>
      <c r="WL59" s="621"/>
      <c r="WM59" s="621"/>
      <c r="WN59" s="621"/>
      <c r="WO59" s="621"/>
      <c r="WP59" s="621"/>
      <c r="WQ59" s="621"/>
      <c r="WR59" s="621"/>
      <c r="WS59" s="621"/>
      <c r="WT59" s="621"/>
      <c r="WU59" s="621"/>
      <c r="WV59" s="621"/>
      <c r="WW59" s="621"/>
      <c r="WX59" s="621"/>
      <c r="WY59" s="621"/>
      <c r="WZ59" s="621"/>
      <c r="XA59" s="621"/>
      <c r="XB59" s="621"/>
      <c r="XC59" s="621"/>
      <c r="XD59" s="621"/>
      <c r="XE59" s="621"/>
      <c r="XF59" s="621"/>
      <c r="XG59" s="621"/>
      <c r="XH59" s="621"/>
      <c r="XI59" s="621"/>
      <c r="XJ59" s="621"/>
      <c r="XK59" s="621"/>
      <c r="XL59" s="621"/>
      <c r="XM59" s="621"/>
      <c r="XN59" s="621"/>
      <c r="XO59" s="621"/>
      <c r="XP59" s="621"/>
      <c r="XQ59" s="621"/>
      <c r="XR59" s="621"/>
      <c r="XS59" s="621"/>
      <c r="XT59" s="621"/>
      <c r="XU59" s="621"/>
      <c r="XV59" s="621"/>
      <c r="XW59" s="621"/>
      <c r="XX59" s="621"/>
      <c r="XY59" s="621"/>
      <c r="XZ59" s="621"/>
      <c r="YA59" s="621"/>
      <c r="YB59" s="621"/>
      <c r="YC59" s="621"/>
      <c r="YD59" s="621"/>
      <c r="YE59" s="621"/>
      <c r="YF59" s="621"/>
      <c r="YG59" s="621"/>
      <c r="YH59" s="621"/>
      <c r="YI59" s="621"/>
      <c r="YJ59" s="621"/>
      <c r="YK59" s="621"/>
      <c r="YL59" s="621"/>
      <c r="YM59" s="621"/>
      <c r="YN59" s="621"/>
      <c r="YO59" s="621"/>
      <c r="YP59" s="621"/>
      <c r="YQ59" s="621"/>
      <c r="YR59" s="621"/>
      <c r="YS59" s="621"/>
      <c r="YT59" s="621"/>
      <c r="YU59" s="621"/>
      <c r="YV59" s="621"/>
      <c r="YW59" s="621"/>
      <c r="YX59" s="621"/>
      <c r="YY59" s="621"/>
      <c r="YZ59" s="621"/>
      <c r="ZA59" s="621"/>
      <c r="ZB59" s="621"/>
      <c r="ZC59" s="621"/>
      <c r="ZD59" s="621"/>
      <c r="ZE59" s="621"/>
      <c r="ZF59" s="621"/>
      <c r="ZG59" s="621"/>
      <c r="ZH59" s="621"/>
      <c r="ZI59" s="621"/>
      <c r="ZJ59" s="621"/>
      <c r="ZK59" s="621"/>
      <c r="ZL59" s="621"/>
      <c r="ZM59" s="621"/>
      <c r="ZN59" s="621"/>
      <c r="ZO59" s="621"/>
      <c r="ZP59" s="621"/>
      <c r="ZQ59" s="621"/>
      <c r="ZR59" s="621"/>
      <c r="ZS59" s="621"/>
      <c r="ZT59" s="621"/>
      <c r="ZU59" s="621"/>
      <c r="ZV59" s="621"/>
      <c r="ZW59" s="621"/>
      <c r="ZX59" s="621"/>
      <c r="ZY59" s="621"/>
      <c r="ZZ59" s="621"/>
      <c r="AAA59" s="621"/>
      <c r="AAB59" s="621"/>
      <c r="AAC59" s="621"/>
      <c r="AAD59" s="621"/>
      <c r="AAE59" s="621"/>
      <c r="AAF59" s="621"/>
      <c r="AAG59" s="621"/>
      <c r="AAH59" s="621"/>
      <c r="AAI59" s="621"/>
      <c r="AAJ59" s="621"/>
      <c r="AAK59" s="621"/>
      <c r="AAL59" s="621"/>
      <c r="AAM59" s="621"/>
      <c r="AAN59" s="621"/>
      <c r="AAO59" s="621"/>
      <c r="AAP59" s="621"/>
      <c r="AAQ59" s="621"/>
      <c r="AAR59" s="621"/>
      <c r="AAS59" s="621"/>
      <c r="AAT59" s="621"/>
      <c r="AAU59" s="621"/>
      <c r="AAV59" s="621"/>
      <c r="AAW59" s="621"/>
      <c r="AAX59" s="621"/>
      <c r="AAY59" s="621"/>
      <c r="AAZ59" s="621"/>
      <c r="ABA59" s="621"/>
      <c r="ABB59" s="621"/>
      <c r="ABC59" s="621"/>
      <c r="ABD59" s="621"/>
      <c r="ABE59" s="621"/>
      <c r="ABF59" s="621"/>
      <c r="ABG59" s="621"/>
      <c r="ABH59" s="621"/>
      <c r="ABI59" s="621"/>
      <c r="ABJ59" s="621"/>
      <c r="ABK59" s="621"/>
      <c r="ABL59" s="621"/>
      <c r="ABM59" s="621"/>
      <c r="ABN59" s="621"/>
      <c r="ABO59" s="621"/>
      <c r="ABP59" s="621"/>
      <c r="ABQ59" s="621"/>
      <c r="ABR59" s="621"/>
      <c r="ABS59" s="621"/>
      <c r="ABT59" s="621"/>
      <c r="ABU59" s="621"/>
      <c r="ABV59" s="621"/>
      <c r="ABW59" s="621"/>
      <c r="ABX59" s="621"/>
      <c r="ABY59" s="621"/>
      <c r="ABZ59" s="621"/>
      <c r="ACA59" s="621"/>
      <c r="ACB59" s="621"/>
      <c r="ACC59" s="621"/>
      <c r="ACD59" s="621"/>
      <c r="ACE59" s="621"/>
      <c r="ACF59" s="621"/>
      <c r="ACG59" s="621"/>
      <c r="ACH59" s="621"/>
      <c r="ACI59" s="621"/>
      <c r="ACJ59" s="621"/>
      <c r="ACK59" s="621"/>
      <c r="ACL59" s="621"/>
      <c r="ACM59" s="621"/>
      <c r="ACN59" s="621"/>
      <c r="ACO59" s="621"/>
      <c r="ACP59" s="621"/>
      <c r="ACQ59" s="621"/>
      <c r="ACR59" s="621"/>
      <c r="ACS59" s="621"/>
      <c r="ACT59" s="621"/>
      <c r="ACU59" s="621"/>
      <c r="ACV59" s="621"/>
      <c r="ACW59" s="621"/>
      <c r="ACX59" s="621"/>
      <c r="ACY59" s="621"/>
      <c r="ACZ59" s="621"/>
      <c r="ADA59" s="621"/>
      <c r="ADB59" s="621"/>
      <c r="ADC59" s="621"/>
      <c r="ADD59" s="621"/>
      <c r="ADE59" s="621"/>
      <c r="ADF59" s="621"/>
      <c r="ADG59" s="621"/>
      <c r="ADH59" s="621"/>
      <c r="ADI59" s="621"/>
      <c r="ADJ59" s="621"/>
      <c r="ADK59" s="621"/>
      <c r="ADL59" s="621"/>
      <c r="ADM59" s="621"/>
      <c r="ADN59" s="621"/>
      <c r="ADO59" s="621"/>
      <c r="ADP59" s="621"/>
      <c r="ADQ59" s="621"/>
      <c r="ADR59" s="621"/>
      <c r="ADS59" s="621"/>
      <c r="ADT59" s="621"/>
      <c r="ADU59" s="621"/>
      <c r="ADV59" s="621"/>
      <c r="ADW59" s="621"/>
      <c r="ADX59" s="621"/>
      <c r="ADY59" s="621"/>
      <c r="ADZ59" s="621"/>
      <c r="AEA59" s="621"/>
      <c r="AEB59" s="621"/>
      <c r="AEC59" s="621"/>
      <c r="AED59" s="621"/>
      <c r="AEE59" s="621"/>
      <c r="AEF59" s="621"/>
      <c r="AEG59" s="621"/>
      <c r="AEH59" s="621"/>
      <c r="AEI59" s="621"/>
      <c r="AEJ59" s="621"/>
      <c r="AEK59" s="621"/>
      <c r="AEL59" s="621"/>
      <c r="AEM59" s="621"/>
      <c r="AEN59" s="621"/>
      <c r="AEO59" s="621"/>
      <c r="AEP59" s="621"/>
      <c r="AEQ59" s="621"/>
      <c r="AER59" s="621"/>
      <c r="AES59" s="621"/>
      <c r="AET59" s="621"/>
      <c r="AEU59" s="621"/>
      <c r="AEV59" s="621"/>
      <c r="AEW59" s="621"/>
      <c r="AEX59" s="621"/>
      <c r="AEY59" s="621"/>
      <c r="AEZ59" s="621"/>
      <c r="AFA59" s="621"/>
      <c r="AFB59" s="621"/>
      <c r="AFC59" s="621"/>
      <c r="AFD59" s="621"/>
      <c r="AFE59" s="621"/>
      <c r="AFF59" s="621"/>
      <c r="AFG59" s="621"/>
      <c r="AFH59" s="621"/>
      <c r="AFI59" s="621"/>
      <c r="AFJ59" s="621"/>
      <c r="AFK59" s="621"/>
      <c r="AFL59" s="621"/>
      <c r="AFM59" s="621"/>
      <c r="AFN59" s="621"/>
      <c r="AFO59" s="621"/>
      <c r="AFP59" s="621"/>
      <c r="AFQ59" s="621"/>
      <c r="AFR59" s="621"/>
      <c r="AFS59" s="621"/>
      <c r="AFT59" s="621"/>
      <c r="AFU59" s="621"/>
      <c r="AFV59" s="621"/>
      <c r="AFW59" s="621"/>
      <c r="AFX59" s="621"/>
      <c r="AFY59" s="621"/>
      <c r="AFZ59" s="621"/>
      <c r="AGA59" s="621"/>
      <c r="AGB59" s="621"/>
      <c r="AGC59" s="621"/>
      <c r="AGD59" s="621"/>
      <c r="AGE59" s="621"/>
      <c r="AGF59" s="621"/>
      <c r="AGG59" s="621"/>
      <c r="AGH59" s="621"/>
      <c r="AGI59" s="621"/>
      <c r="AGJ59" s="621"/>
      <c r="AGK59" s="621"/>
      <c r="AGL59" s="621"/>
      <c r="AGM59" s="621"/>
      <c r="AGN59" s="621"/>
      <c r="AGO59" s="621"/>
      <c r="AGP59" s="621"/>
      <c r="AGQ59" s="621"/>
      <c r="AGR59" s="621"/>
      <c r="AGS59" s="621"/>
      <c r="AGT59" s="621"/>
      <c r="AGU59" s="621"/>
      <c r="AGV59" s="621"/>
      <c r="AGW59" s="621"/>
      <c r="AGX59" s="621"/>
      <c r="AGY59" s="621"/>
      <c r="AGZ59" s="621"/>
      <c r="AHA59" s="621"/>
      <c r="AHB59" s="621"/>
      <c r="AHC59" s="621"/>
      <c r="AHD59" s="621"/>
      <c r="AHE59" s="621"/>
      <c r="AHF59" s="621"/>
      <c r="AHG59" s="621"/>
      <c r="AHH59" s="621"/>
      <c r="AHI59" s="621"/>
      <c r="AHJ59" s="621"/>
      <c r="AHK59" s="621"/>
      <c r="AHL59" s="621"/>
      <c r="AHM59" s="621"/>
      <c r="AHN59" s="621"/>
      <c r="AHO59" s="621"/>
      <c r="AHP59" s="621"/>
      <c r="AHQ59" s="621"/>
      <c r="AHR59" s="621"/>
      <c r="AHS59" s="621"/>
      <c r="AHT59" s="621"/>
      <c r="AHU59" s="621"/>
      <c r="AHV59" s="621"/>
      <c r="AHW59" s="621"/>
      <c r="AHX59" s="621"/>
      <c r="AHY59" s="621"/>
      <c r="AHZ59" s="621"/>
      <c r="AIA59" s="621"/>
      <c r="AIB59" s="621"/>
      <c r="AIC59" s="621"/>
      <c r="AID59" s="621"/>
      <c r="AIE59" s="621"/>
      <c r="AIF59" s="621"/>
      <c r="AIG59" s="621"/>
      <c r="AIH59" s="621"/>
      <c r="AII59" s="621"/>
      <c r="AIJ59" s="621"/>
      <c r="AIK59" s="621"/>
      <c r="AIL59" s="621"/>
      <c r="AIM59" s="621"/>
      <c r="AIN59" s="621"/>
      <c r="AIO59" s="621"/>
      <c r="AIP59" s="621"/>
      <c r="AIQ59" s="621"/>
      <c r="AIR59" s="621"/>
      <c r="AIS59" s="621"/>
      <c r="AIT59" s="621"/>
      <c r="AIU59" s="621"/>
      <c r="AIV59" s="621"/>
      <c r="AIW59" s="621"/>
      <c r="AIX59" s="621"/>
      <c r="AIY59" s="621"/>
      <c r="AIZ59" s="621"/>
      <c r="AJA59" s="621"/>
      <c r="AJB59" s="621"/>
      <c r="AJC59" s="621"/>
      <c r="AJD59" s="621"/>
      <c r="AJE59" s="621"/>
      <c r="AJF59" s="621"/>
      <c r="AJG59" s="621"/>
      <c r="AJH59" s="621"/>
      <c r="AJI59" s="621"/>
      <c r="AJJ59" s="621"/>
      <c r="AJK59" s="621"/>
      <c r="AJL59" s="621"/>
      <c r="AJM59" s="621"/>
      <c r="AJN59" s="621"/>
      <c r="AJO59" s="621"/>
      <c r="AJP59" s="621"/>
      <c r="AJQ59" s="621"/>
      <c r="AJR59" s="621"/>
      <c r="AJS59" s="621"/>
      <c r="AJT59" s="621"/>
      <c r="AJU59" s="621"/>
      <c r="AJV59" s="621"/>
      <c r="AJW59" s="621"/>
      <c r="AJX59" s="621"/>
      <c r="AJY59" s="621"/>
      <c r="AJZ59" s="621"/>
      <c r="AKA59" s="621"/>
      <c r="AKB59" s="621"/>
      <c r="AKC59" s="621"/>
      <c r="AKD59" s="621"/>
      <c r="AKE59" s="621"/>
      <c r="AKF59" s="621"/>
      <c r="AKG59" s="621"/>
      <c r="AKH59" s="621"/>
      <c r="AKI59" s="621"/>
      <c r="AKJ59" s="621"/>
      <c r="AKK59" s="621"/>
      <c r="AKL59" s="621"/>
      <c r="AKM59" s="621"/>
      <c r="AKN59" s="621"/>
      <c r="AKO59" s="621"/>
      <c r="AKP59" s="621"/>
      <c r="AKQ59" s="621"/>
      <c r="AKR59" s="621"/>
      <c r="AKS59" s="621"/>
      <c r="AKT59" s="621"/>
      <c r="AKU59" s="621"/>
      <c r="AKV59" s="621"/>
      <c r="AKW59" s="621"/>
      <c r="AKX59" s="621"/>
      <c r="AKY59" s="621"/>
      <c r="AKZ59" s="621"/>
      <c r="ALA59" s="621"/>
      <c r="ALB59" s="621"/>
      <c r="ALC59" s="621"/>
      <c r="ALD59" s="621"/>
      <c r="ALE59" s="621"/>
      <c r="ALF59" s="621"/>
      <c r="ALG59" s="621"/>
      <c r="ALH59" s="621"/>
      <c r="ALI59" s="621"/>
      <c r="ALJ59" s="621"/>
      <c r="ALK59" s="621"/>
      <c r="ALL59" s="621"/>
      <c r="ALM59" s="621"/>
      <c r="ALN59" s="621"/>
      <c r="ALO59" s="621"/>
      <c r="ALP59" s="621"/>
      <c r="ALQ59" s="621"/>
      <c r="ALR59" s="621"/>
      <c r="ALS59" s="621"/>
      <c r="ALT59" s="621"/>
      <c r="ALU59" s="621"/>
      <c r="ALV59" s="621"/>
      <c r="ALW59" s="621"/>
      <c r="ALX59" s="621"/>
      <c r="ALY59" s="621"/>
      <c r="ALZ59" s="621"/>
      <c r="AMA59" s="621"/>
      <c r="AMB59" s="621"/>
      <c r="AMC59" s="621"/>
      <c r="AMD59" s="621"/>
      <c r="AME59" s="621"/>
      <c r="AMF59" s="621"/>
      <c r="AMG59" s="621"/>
      <c r="AMH59" s="621"/>
      <c r="AMI59" s="621"/>
      <c r="AMJ59" s="621"/>
      <c r="AMK59" s="621"/>
    </row>
    <row r="60" spans="1:1025" ht="30" customHeight="1">
      <c r="A60" s="374" t="s">
        <v>353</v>
      </c>
      <c r="B60" s="448" t="s">
        <v>381</v>
      </c>
      <c r="C60" s="376">
        <f>D60*1.1</f>
        <v>50068.017999999996</v>
      </c>
      <c r="D60" s="1333">
        <f>16390.8+19092.32+3736.6+4952.16+54.5+1290</f>
        <v>45516.37999999999</v>
      </c>
      <c r="E60" s="2043"/>
      <c r="F60" s="2043"/>
      <c r="G60" s="1333"/>
      <c r="H60" s="429"/>
      <c r="I60" s="1497"/>
      <c r="J60" s="1498">
        <v>1623.915</v>
      </c>
      <c r="K60" s="593"/>
      <c r="L60" s="454"/>
      <c r="M60" s="1495"/>
      <c r="N60" s="272"/>
      <c r="O60" s="272"/>
      <c r="P60" s="272"/>
      <c r="T60" s="397"/>
      <c r="U60" s="397"/>
      <c r="V60" s="452"/>
      <c r="W60" s="452"/>
      <c r="X60" s="452"/>
      <c r="Y60" s="397"/>
      <c r="Z60" s="397"/>
      <c r="AA60" s="397"/>
      <c r="AE60" s="1471"/>
      <c r="AF60" s="1493" t="s">
        <v>322</v>
      </c>
      <c r="AG60" s="1494"/>
      <c r="AH60" s="1494">
        <v>8</v>
      </c>
      <c r="AI60" s="1494">
        <v>6</v>
      </c>
      <c r="AJ60" s="1494">
        <f t="shared" si="11"/>
        <v>0</v>
      </c>
      <c r="AK60" s="1494">
        <v>0.5</v>
      </c>
      <c r="AL60" s="1494">
        <f t="shared" si="12"/>
        <v>0</v>
      </c>
      <c r="AM60" s="1475">
        <f t="shared" si="13"/>
        <v>0</v>
      </c>
      <c r="AN60" s="1493">
        <v>5</v>
      </c>
      <c r="AO60" s="1475">
        <f t="shared" si="14"/>
        <v>0</v>
      </c>
      <c r="AP60" s="442"/>
      <c r="AQ60" s="621"/>
      <c r="AR60" s="621"/>
      <c r="AS60" s="621"/>
      <c r="AT60" s="621"/>
      <c r="AU60" s="621"/>
      <c r="AV60" s="621"/>
      <c r="AW60" s="621"/>
      <c r="AX60" s="621"/>
      <c r="AY60" s="621"/>
      <c r="AZ60" s="621"/>
      <c r="BA60" s="621"/>
      <c r="BB60" s="621"/>
      <c r="BC60" s="621"/>
      <c r="BD60" s="621"/>
      <c r="BE60" s="621"/>
      <c r="BF60" s="621"/>
      <c r="BG60" s="621"/>
      <c r="BH60" s="621"/>
      <c r="BI60" s="621"/>
      <c r="BJ60" s="621"/>
      <c r="BK60" s="621"/>
      <c r="BL60" s="621"/>
      <c r="BM60" s="621"/>
      <c r="BN60" s="621"/>
      <c r="BO60" s="621"/>
      <c r="BP60" s="621"/>
      <c r="BQ60" s="621"/>
      <c r="BR60" s="621"/>
      <c r="BS60" s="621"/>
      <c r="BT60" s="621"/>
      <c r="BU60" s="621"/>
      <c r="BV60" s="621"/>
      <c r="BW60" s="621"/>
      <c r="BX60" s="621"/>
      <c r="BY60" s="621"/>
      <c r="BZ60" s="621"/>
      <c r="CA60" s="621"/>
      <c r="CB60" s="621"/>
      <c r="CC60" s="621"/>
      <c r="CD60" s="621"/>
      <c r="CE60" s="621"/>
      <c r="CF60" s="621"/>
      <c r="CG60" s="621"/>
      <c r="CH60" s="621"/>
      <c r="CI60" s="621"/>
      <c r="CJ60" s="621"/>
      <c r="CK60" s="621"/>
      <c r="CL60" s="621"/>
      <c r="CM60" s="621"/>
      <c r="CN60" s="621"/>
      <c r="CO60" s="621"/>
      <c r="CP60" s="621"/>
      <c r="CQ60" s="621"/>
      <c r="CR60" s="621"/>
      <c r="CS60" s="621"/>
      <c r="CT60" s="621"/>
      <c r="CU60" s="621"/>
      <c r="CV60" s="621"/>
      <c r="CW60" s="621"/>
      <c r="CX60" s="621"/>
      <c r="CY60" s="621"/>
      <c r="CZ60" s="621"/>
      <c r="DA60" s="621"/>
      <c r="DB60" s="621"/>
      <c r="DC60" s="621"/>
      <c r="DD60" s="621"/>
      <c r="DE60" s="621"/>
      <c r="DF60" s="621"/>
      <c r="DG60" s="621"/>
      <c r="DH60" s="621"/>
      <c r="DI60" s="621"/>
      <c r="DJ60" s="621"/>
      <c r="DK60" s="621"/>
      <c r="DL60" s="621"/>
      <c r="DM60" s="621"/>
      <c r="DN60" s="621"/>
      <c r="DO60" s="621"/>
      <c r="DP60" s="621"/>
      <c r="DQ60" s="621"/>
      <c r="DR60" s="621"/>
      <c r="DS60" s="621"/>
      <c r="DT60" s="621"/>
      <c r="DU60" s="621"/>
      <c r="DV60" s="621"/>
      <c r="DW60" s="621"/>
      <c r="DX60" s="621"/>
      <c r="DY60" s="621"/>
      <c r="DZ60" s="621"/>
      <c r="EA60" s="621"/>
      <c r="EB60" s="621"/>
      <c r="EC60" s="621"/>
      <c r="ED60" s="621"/>
      <c r="EE60" s="621"/>
      <c r="EF60" s="621"/>
      <c r="EG60" s="621"/>
      <c r="EH60" s="621"/>
      <c r="EI60" s="621"/>
      <c r="EJ60" s="621"/>
      <c r="EK60" s="621"/>
      <c r="EL60" s="621"/>
      <c r="EM60" s="621"/>
      <c r="EN60" s="621"/>
      <c r="EO60" s="621"/>
      <c r="EP60" s="621"/>
      <c r="EQ60" s="621"/>
      <c r="ER60" s="621"/>
      <c r="ES60" s="621"/>
      <c r="ET60" s="621"/>
      <c r="EU60" s="621"/>
      <c r="EV60" s="621"/>
      <c r="EW60" s="621"/>
      <c r="EX60" s="621"/>
      <c r="EY60" s="621"/>
      <c r="EZ60" s="621"/>
      <c r="FA60" s="621"/>
      <c r="FB60" s="621"/>
      <c r="FC60" s="621"/>
      <c r="FD60" s="621"/>
      <c r="FE60" s="621"/>
      <c r="FF60" s="621"/>
      <c r="FG60" s="621"/>
      <c r="FH60" s="621"/>
      <c r="FI60" s="621"/>
      <c r="FJ60" s="621"/>
      <c r="FK60" s="621"/>
      <c r="FL60" s="621"/>
      <c r="FM60" s="621"/>
      <c r="FN60" s="621"/>
      <c r="FO60" s="621"/>
      <c r="FP60" s="621"/>
      <c r="FQ60" s="621"/>
      <c r="FR60" s="621"/>
      <c r="FS60" s="621"/>
      <c r="FT60" s="621"/>
      <c r="FU60" s="621"/>
      <c r="FV60" s="621"/>
      <c r="FW60" s="621"/>
      <c r="FX60" s="621"/>
      <c r="FY60" s="621"/>
      <c r="FZ60" s="621"/>
      <c r="GA60" s="621"/>
      <c r="GB60" s="621"/>
      <c r="GC60" s="621"/>
      <c r="GD60" s="621"/>
      <c r="GE60" s="621"/>
      <c r="GF60" s="621"/>
      <c r="GG60" s="621"/>
      <c r="GH60" s="621"/>
      <c r="GI60" s="621"/>
      <c r="GJ60" s="621"/>
      <c r="GK60" s="621"/>
      <c r="GL60" s="621"/>
      <c r="GM60" s="621"/>
      <c r="GN60" s="621"/>
      <c r="GO60" s="621"/>
      <c r="GP60" s="621"/>
      <c r="GQ60" s="621"/>
      <c r="GR60" s="621"/>
      <c r="GS60" s="621"/>
      <c r="GT60" s="621"/>
      <c r="GU60" s="621"/>
      <c r="GV60" s="621"/>
      <c r="GW60" s="621"/>
      <c r="GX60" s="621"/>
      <c r="GY60" s="621"/>
      <c r="GZ60" s="621"/>
      <c r="HA60" s="621"/>
      <c r="HB60" s="621"/>
      <c r="HC60" s="621"/>
      <c r="HD60" s="621"/>
      <c r="HE60" s="621"/>
      <c r="HF60" s="621"/>
      <c r="HG60" s="621"/>
      <c r="HH60" s="621"/>
      <c r="HI60" s="621"/>
      <c r="HJ60" s="621"/>
      <c r="HK60" s="621"/>
      <c r="HL60" s="621"/>
      <c r="HM60" s="621"/>
      <c r="HN60" s="621"/>
      <c r="HO60" s="621"/>
      <c r="HP60" s="621"/>
      <c r="HQ60" s="621"/>
      <c r="HR60" s="621"/>
      <c r="HS60" s="621"/>
      <c r="HT60" s="621"/>
      <c r="HU60" s="621"/>
      <c r="HV60" s="621"/>
      <c r="HW60" s="621"/>
      <c r="HX60" s="621"/>
      <c r="HY60" s="621"/>
      <c r="HZ60" s="621"/>
      <c r="IA60" s="621"/>
      <c r="IB60" s="621"/>
      <c r="IC60" s="621"/>
      <c r="ID60" s="621"/>
      <c r="IE60" s="621"/>
      <c r="IF60" s="621"/>
      <c r="IG60" s="621"/>
      <c r="IH60" s="621"/>
      <c r="II60" s="621"/>
      <c r="IJ60" s="621"/>
      <c r="IK60" s="621"/>
      <c r="IL60" s="621"/>
      <c r="IM60" s="621"/>
      <c r="IN60" s="621"/>
      <c r="IO60" s="621"/>
      <c r="IP60" s="621"/>
      <c r="IQ60" s="621"/>
      <c r="IR60" s="621"/>
      <c r="IS60" s="621"/>
      <c r="IT60" s="621"/>
      <c r="IU60" s="621"/>
      <c r="IV60" s="621"/>
      <c r="IW60" s="621"/>
      <c r="IX60" s="621"/>
      <c r="IY60" s="621"/>
      <c r="IZ60" s="621"/>
      <c r="JA60" s="621"/>
      <c r="JB60" s="621"/>
      <c r="JC60" s="621"/>
      <c r="JD60" s="621"/>
      <c r="JE60" s="621"/>
      <c r="JF60" s="621"/>
      <c r="JG60" s="621"/>
      <c r="JH60" s="621"/>
      <c r="JI60" s="621"/>
      <c r="JJ60" s="621"/>
      <c r="JK60" s="621"/>
      <c r="JL60" s="621"/>
      <c r="JM60" s="621"/>
      <c r="JN60" s="621"/>
      <c r="JO60" s="621"/>
      <c r="JP60" s="621"/>
      <c r="JQ60" s="621"/>
      <c r="JR60" s="621"/>
      <c r="JS60" s="621"/>
      <c r="JT60" s="621"/>
      <c r="JU60" s="621"/>
      <c r="JV60" s="621"/>
      <c r="JW60" s="621"/>
      <c r="JX60" s="621"/>
      <c r="JY60" s="621"/>
      <c r="JZ60" s="621"/>
      <c r="KA60" s="621"/>
      <c r="KB60" s="621"/>
      <c r="KC60" s="621"/>
      <c r="KD60" s="621"/>
      <c r="KE60" s="621"/>
      <c r="KF60" s="621"/>
      <c r="KG60" s="621"/>
      <c r="KH60" s="621"/>
      <c r="KI60" s="621"/>
      <c r="KJ60" s="621"/>
      <c r="KK60" s="621"/>
      <c r="KL60" s="621"/>
      <c r="KM60" s="621"/>
      <c r="KN60" s="621"/>
      <c r="KO60" s="621"/>
      <c r="KP60" s="621"/>
      <c r="KQ60" s="621"/>
      <c r="KR60" s="621"/>
      <c r="KS60" s="621"/>
      <c r="KT60" s="621"/>
      <c r="KU60" s="621"/>
      <c r="KV60" s="621"/>
      <c r="KW60" s="621"/>
      <c r="KX60" s="621"/>
      <c r="KY60" s="621"/>
      <c r="KZ60" s="621"/>
      <c r="LA60" s="621"/>
      <c r="LB60" s="621"/>
      <c r="LC60" s="621"/>
      <c r="LD60" s="621"/>
      <c r="LE60" s="621"/>
      <c r="LF60" s="621"/>
      <c r="LG60" s="621"/>
      <c r="LH60" s="621"/>
      <c r="LI60" s="621"/>
      <c r="LJ60" s="621"/>
      <c r="LK60" s="621"/>
      <c r="LL60" s="621"/>
      <c r="LM60" s="621"/>
      <c r="LN60" s="621"/>
      <c r="LO60" s="621"/>
      <c r="LP60" s="621"/>
      <c r="LQ60" s="621"/>
      <c r="LR60" s="621"/>
      <c r="LS60" s="621"/>
      <c r="LT60" s="621"/>
      <c r="LU60" s="621"/>
      <c r="LV60" s="621"/>
      <c r="LW60" s="621"/>
      <c r="LX60" s="621"/>
      <c r="LY60" s="621"/>
      <c r="LZ60" s="621"/>
      <c r="MA60" s="621"/>
      <c r="MB60" s="621"/>
      <c r="MC60" s="621"/>
      <c r="MD60" s="621"/>
      <c r="ME60" s="621"/>
      <c r="MF60" s="621"/>
      <c r="MG60" s="621"/>
      <c r="MH60" s="621"/>
      <c r="MI60" s="621"/>
      <c r="MJ60" s="621"/>
      <c r="MK60" s="621"/>
      <c r="ML60" s="621"/>
      <c r="MM60" s="621"/>
      <c r="MN60" s="621"/>
      <c r="MO60" s="621"/>
      <c r="MP60" s="621"/>
      <c r="MQ60" s="621"/>
      <c r="MR60" s="621"/>
      <c r="MS60" s="621"/>
      <c r="MT60" s="621"/>
      <c r="MU60" s="621"/>
      <c r="MV60" s="621"/>
      <c r="MW60" s="621"/>
      <c r="MX60" s="621"/>
      <c r="MY60" s="621"/>
      <c r="MZ60" s="621"/>
      <c r="NA60" s="621"/>
      <c r="NB60" s="621"/>
      <c r="NC60" s="621"/>
      <c r="ND60" s="621"/>
      <c r="NE60" s="621"/>
      <c r="NF60" s="621"/>
      <c r="NG60" s="621"/>
      <c r="NH60" s="621"/>
      <c r="NI60" s="621"/>
      <c r="NJ60" s="621"/>
      <c r="NK60" s="621"/>
      <c r="NL60" s="621"/>
      <c r="NM60" s="621"/>
      <c r="NN60" s="621"/>
      <c r="NO60" s="621"/>
      <c r="NP60" s="621"/>
      <c r="NQ60" s="621"/>
      <c r="NR60" s="621"/>
      <c r="NS60" s="621"/>
      <c r="NT60" s="621"/>
      <c r="NU60" s="621"/>
      <c r="NV60" s="621"/>
      <c r="NW60" s="621"/>
      <c r="NX60" s="621"/>
      <c r="NY60" s="621"/>
      <c r="NZ60" s="621"/>
      <c r="OA60" s="621"/>
      <c r="OB60" s="621"/>
      <c r="OC60" s="621"/>
      <c r="OD60" s="621"/>
      <c r="OE60" s="621"/>
      <c r="OF60" s="621"/>
      <c r="OG60" s="621"/>
      <c r="OH60" s="621"/>
      <c r="OI60" s="621"/>
      <c r="OJ60" s="621"/>
      <c r="OK60" s="621"/>
      <c r="OL60" s="621"/>
      <c r="OM60" s="621"/>
      <c r="ON60" s="621"/>
      <c r="OO60" s="621"/>
      <c r="OP60" s="621"/>
      <c r="OQ60" s="621"/>
      <c r="OR60" s="621"/>
      <c r="OS60" s="621"/>
      <c r="OT60" s="621"/>
      <c r="OU60" s="621"/>
      <c r="OV60" s="621"/>
      <c r="OW60" s="621"/>
      <c r="OX60" s="621"/>
      <c r="OY60" s="621"/>
      <c r="OZ60" s="621"/>
      <c r="PA60" s="621"/>
      <c r="PB60" s="621"/>
      <c r="PC60" s="621"/>
      <c r="PD60" s="621"/>
      <c r="PE60" s="621"/>
      <c r="PF60" s="621"/>
      <c r="PG60" s="621"/>
      <c r="PH60" s="621"/>
      <c r="PI60" s="621"/>
      <c r="PJ60" s="621"/>
      <c r="PK60" s="621"/>
      <c r="PL60" s="621"/>
      <c r="PM60" s="621"/>
      <c r="PN60" s="621"/>
      <c r="PO60" s="621"/>
      <c r="PP60" s="621"/>
      <c r="PQ60" s="621"/>
      <c r="PR60" s="621"/>
      <c r="PS60" s="621"/>
      <c r="PT60" s="621"/>
      <c r="PU60" s="621"/>
      <c r="PV60" s="621"/>
      <c r="PW60" s="621"/>
      <c r="PX60" s="621"/>
      <c r="PY60" s="621"/>
      <c r="PZ60" s="621"/>
      <c r="QA60" s="621"/>
      <c r="QB60" s="621"/>
      <c r="QC60" s="621"/>
      <c r="QD60" s="621"/>
      <c r="QE60" s="621"/>
      <c r="QF60" s="621"/>
      <c r="QG60" s="621"/>
      <c r="QH60" s="621"/>
      <c r="QI60" s="621"/>
      <c r="QJ60" s="621"/>
      <c r="QK60" s="621"/>
      <c r="QL60" s="621"/>
      <c r="QM60" s="621"/>
      <c r="QN60" s="621"/>
      <c r="QO60" s="621"/>
      <c r="QP60" s="621"/>
      <c r="QQ60" s="621"/>
      <c r="QR60" s="621"/>
      <c r="QS60" s="621"/>
      <c r="QT60" s="621"/>
      <c r="QU60" s="621"/>
      <c r="QV60" s="621"/>
      <c r="QW60" s="621"/>
      <c r="QX60" s="621"/>
      <c r="QY60" s="621"/>
      <c r="QZ60" s="621"/>
      <c r="RA60" s="621"/>
      <c r="RB60" s="621"/>
      <c r="RC60" s="621"/>
      <c r="RD60" s="621"/>
      <c r="RE60" s="621"/>
      <c r="RF60" s="621"/>
      <c r="RG60" s="621"/>
      <c r="RH60" s="621"/>
      <c r="RI60" s="621"/>
      <c r="RJ60" s="621"/>
      <c r="RK60" s="621"/>
      <c r="RL60" s="621"/>
      <c r="RM60" s="621"/>
      <c r="RN60" s="621"/>
      <c r="RO60" s="621"/>
      <c r="RP60" s="621"/>
      <c r="RQ60" s="621"/>
      <c r="RR60" s="621"/>
      <c r="RS60" s="621"/>
      <c r="RT60" s="621"/>
      <c r="RU60" s="621"/>
      <c r="RV60" s="621"/>
      <c r="RW60" s="621"/>
      <c r="RX60" s="621"/>
      <c r="RY60" s="621"/>
      <c r="RZ60" s="621"/>
      <c r="SA60" s="621"/>
      <c r="SB60" s="621"/>
      <c r="SC60" s="621"/>
      <c r="SD60" s="621"/>
      <c r="SE60" s="621"/>
      <c r="SF60" s="621"/>
      <c r="SG60" s="621"/>
      <c r="SH60" s="621"/>
      <c r="SI60" s="621"/>
      <c r="SJ60" s="621"/>
      <c r="SK60" s="621"/>
      <c r="SL60" s="621"/>
      <c r="SM60" s="621"/>
      <c r="SN60" s="621"/>
      <c r="SO60" s="621"/>
      <c r="SP60" s="621"/>
      <c r="SQ60" s="621"/>
      <c r="SR60" s="621"/>
      <c r="SS60" s="621"/>
      <c r="ST60" s="621"/>
      <c r="SU60" s="621"/>
      <c r="SV60" s="621"/>
      <c r="SW60" s="621"/>
      <c r="SX60" s="621"/>
      <c r="SY60" s="621"/>
      <c r="SZ60" s="621"/>
      <c r="TA60" s="621"/>
      <c r="TB60" s="621"/>
      <c r="TC60" s="621"/>
      <c r="TD60" s="621"/>
      <c r="TE60" s="621"/>
      <c r="TF60" s="621"/>
      <c r="TG60" s="621"/>
      <c r="TH60" s="621"/>
      <c r="TI60" s="621"/>
      <c r="TJ60" s="621"/>
      <c r="TK60" s="621"/>
      <c r="TL60" s="621"/>
      <c r="TM60" s="621"/>
      <c r="TN60" s="621"/>
      <c r="TO60" s="621"/>
      <c r="TP60" s="621"/>
      <c r="TQ60" s="621"/>
      <c r="TR60" s="621"/>
      <c r="TS60" s="621"/>
      <c r="TT60" s="621"/>
      <c r="TU60" s="621"/>
      <c r="TV60" s="621"/>
      <c r="TW60" s="621"/>
      <c r="TX60" s="621"/>
      <c r="TY60" s="621"/>
      <c r="TZ60" s="621"/>
      <c r="UA60" s="621"/>
      <c r="UB60" s="621"/>
      <c r="UC60" s="621"/>
      <c r="UD60" s="621"/>
      <c r="UE60" s="621"/>
      <c r="UF60" s="621"/>
      <c r="UG60" s="621"/>
      <c r="UH60" s="621"/>
      <c r="UI60" s="621"/>
      <c r="UJ60" s="621"/>
      <c r="UK60" s="621"/>
      <c r="UL60" s="621"/>
      <c r="UM60" s="621"/>
      <c r="UN60" s="621"/>
      <c r="UO60" s="621"/>
      <c r="UP60" s="621"/>
      <c r="UQ60" s="621"/>
      <c r="UR60" s="621"/>
      <c r="US60" s="621"/>
      <c r="UT60" s="621"/>
      <c r="UU60" s="621"/>
      <c r="UV60" s="621"/>
      <c r="UW60" s="621"/>
      <c r="UX60" s="621"/>
      <c r="UY60" s="621"/>
      <c r="UZ60" s="621"/>
      <c r="VA60" s="621"/>
      <c r="VB60" s="621"/>
      <c r="VC60" s="621"/>
      <c r="VD60" s="621"/>
      <c r="VE60" s="621"/>
      <c r="VF60" s="621"/>
      <c r="VG60" s="621"/>
      <c r="VH60" s="621"/>
      <c r="VI60" s="621"/>
      <c r="VJ60" s="621"/>
      <c r="VK60" s="621"/>
      <c r="VL60" s="621"/>
      <c r="VM60" s="621"/>
      <c r="VN60" s="621"/>
      <c r="VO60" s="621"/>
      <c r="VP60" s="621"/>
      <c r="VQ60" s="621"/>
      <c r="VR60" s="621"/>
      <c r="VS60" s="621"/>
      <c r="VT60" s="621"/>
      <c r="VU60" s="621"/>
      <c r="VV60" s="621"/>
      <c r="VW60" s="621"/>
      <c r="VX60" s="621"/>
      <c r="VY60" s="621"/>
      <c r="VZ60" s="621"/>
      <c r="WA60" s="621"/>
      <c r="WB60" s="621"/>
      <c r="WC60" s="621"/>
      <c r="WD60" s="621"/>
      <c r="WE60" s="621"/>
      <c r="WF60" s="621"/>
      <c r="WG60" s="621"/>
      <c r="WH60" s="621"/>
      <c r="WI60" s="621"/>
      <c r="WJ60" s="621"/>
      <c r="WK60" s="621"/>
      <c r="WL60" s="621"/>
      <c r="WM60" s="621"/>
      <c r="WN60" s="621"/>
      <c r="WO60" s="621"/>
      <c r="WP60" s="621"/>
      <c r="WQ60" s="621"/>
      <c r="WR60" s="621"/>
      <c r="WS60" s="621"/>
      <c r="WT60" s="621"/>
      <c r="WU60" s="621"/>
      <c r="WV60" s="621"/>
      <c r="WW60" s="621"/>
      <c r="WX60" s="621"/>
      <c r="WY60" s="621"/>
      <c r="WZ60" s="621"/>
      <c r="XA60" s="621"/>
      <c r="XB60" s="621"/>
      <c r="XC60" s="621"/>
      <c r="XD60" s="621"/>
      <c r="XE60" s="621"/>
      <c r="XF60" s="621"/>
      <c r="XG60" s="621"/>
      <c r="XH60" s="621"/>
      <c r="XI60" s="621"/>
      <c r="XJ60" s="621"/>
      <c r="XK60" s="621"/>
      <c r="XL60" s="621"/>
      <c r="XM60" s="621"/>
      <c r="XN60" s="621"/>
      <c r="XO60" s="621"/>
      <c r="XP60" s="621"/>
      <c r="XQ60" s="621"/>
      <c r="XR60" s="621"/>
      <c r="XS60" s="621"/>
      <c r="XT60" s="621"/>
      <c r="XU60" s="621"/>
      <c r="XV60" s="621"/>
      <c r="XW60" s="621"/>
      <c r="XX60" s="621"/>
      <c r="XY60" s="621"/>
      <c r="XZ60" s="621"/>
      <c r="YA60" s="621"/>
      <c r="YB60" s="621"/>
      <c r="YC60" s="621"/>
      <c r="YD60" s="621"/>
      <c r="YE60" s="621"/>
      <c r="YF60" s="621"/>
      <c r="YG60" s="621"/>
      <c r="YH60" s="621"/>
      <c r="YI60" s="621"/>
      <c r="YJ60" s="621"/>
      <c r="YK60" s="621"/>
      <c r="YL60" s="621"/>
      <c r="YM60" s="621"/>
      <c r="YN60" s="621"/>
      <c r="YO60" s="621"/>
      <c r="YP60" s="621"/>
      <c r="YQ60" s="621"/>
      <c r="YR60" s="621"/>
      <c r="YS60" s="621"/>
      <c r="YT60" s="621"/>
      <c r="YU60" s="621"/>
      <c r="YV60" s="621"/>
      <c r="YW60" s="621"/>
      <c r="YX60" s="621"/>
      <c r="YY60" s="621"/>
      <c r="YZ60" s="621"/>
      <c r="ZA60" s="621"/>
      <c r="ZB60" s="621"/>
      <c r="ZC60" s="621"/>
      <c r="ZD60" s="621"/>
      <c r="ZE60" s="621"/>
      <c r="ZF60" s="621"/>
      <c r="ZG60" s="621"/>
      <c r="ZH60" s="621"/>
      <c r="ZI60" s="621"/>
      <c r="ZJ60" s="621"/>
      <c r="ZK60" s="621"/>
      <c r="ZL60" s="621"/>
      <c r="ZM60" s="621"/>
      <c r="ZN60" s="621"/>
      <c r="ZO60" s="621"/>
      <c r="ZP60" s="621"/>
      <c r="ZQ60" s="621"/>
      <c r="ZR60" s="621"/>
      <c r="ZS60" s="621"/>
      <c r="ZT60" s="621"/>
      <c r="ZU60" s="621"/>
      <c r="ZV60" s="621"/>
      <c r="ZW60" s="621"/>
      <c r="ZX60" s="621"/>
      <c r="ZY60" s="621"/>
      <c r="ZZ60" s="621"/>
      <c r="AAA60" s="621"/>
      <c r="AAB60" s="621"/>
      <c r="AAC60" s="621"/>
      <c r="AAD60" s="621"/>
      <c r="AAE60" s="621"/>
      <c r="AAF60" s="621"/>
      <c r="AAG60" s="621"/>
      <c r="AAH60" s="621"/>
      <c r="AAI60" s="621"/>
      <c r="AAJ60" s="621"/>
      <c r="AAK60" s="621"/>
      <c r="AAL60" s="621"/>
      <c r="AAM60" s="621"/>
      <c r="AAN60" s="621"/>
      <c r="AAO60" s="621"/>
      <c r="AAP60" s="621"/>
      <c r="AAQ60" s="621"/>
      <c r="AAR60" s="621"/>
      <c r="AAS60" s="621"/>
      <c r="AAT60" s="621"/>
      <c r="AAU60" s="621"/>
      <c r="AAV60" s="621"/>
      <c r="AAW60" s="621"/>
      <c r="AAX60" s="621"/>
      <c r="AAY60" s="621"/>
      <c r="AAZ60" s="621"/>
      <c r="ABA60" s="621"/>
      <c r="ABB60" s="621"/>
      <c r="ABC60" s="621"/>
      <c r="ABD60" s="621"/>
      <c r="ABE60" s="621"/>
      <c r="ABF60" s="621"/>
      <c r="ABG60" s="621"/>
      <c r="ABH60" s="621"/>
      <c r="ABI60" s="621"/>
      <c r="ABJ60" s="621"/>
      <c r="ABK60" s="621"/>
      <c r="ABL60" s="621"/>
      <c r="ABM60" s="621"/>
      <c r="ABN60" s="621"/>
      <c r="ABO60" s="621"/>
      <c r="ABP60" s="621"/>
      <c r="ABQ60" s="621"/>
      <c r="ABR60" s="621"/>
      <c r="ABS60" s="621"/>
      <c r="ABT60" s="621"/>
      <c r="ABU60" s="621"/>
      <c r="ABV60" s="621"/>
      <c r="ABW60" s="621"/>
      <c r="ABX60" s="621"/>
      <c r="ABY60" s="621"/>
      <c r="ABZ60" s="621"/>
      <c r="ACA60" s="621"/>
      <c r="ACB60" s="621"/>
      <c r="ACC60" s="621"/>
      <c r="ACD60" s="621"/>
      <c r="ACE60" s="621"/>
      <c r="ACF60" s="621"/>
      <c r="ACG60" s="621"/>
      <c r="ACH60" s="621"/>
      <c r="ACI60" s="621"/>
      <c r="ACJ60" s="621"/>
      <c r="ACK60" s="621"/>
      <c r="ACL60" s="621"/>
      <c r="ACM60" s="621"/>
      <c r="ACN60" s="621"/>
      <c r="ACO60" s="621"/>
      <c r="ACP60" s="621"/>
      <c r="ACQ60" s="621"/>
      <c r="ACR60" s="621"/>
      <c r="ACS60" s="621"/>
      <c r="ACT60" s="621"/>
      <c r="ACU60" s="621"/>
      <c r="ACV60" s="621"/>
      <c r="ACW60" s="621"/>
      <c r="ACX60" s="621"/>
      <c r="ACY60" s="621"/>
      <c r="ACZ60" s="621"/>
      <c r="ADA60" s="621"/>
      <c r="ADB60" s="621"/>
      <c r="ADC60" s="621"/>
      <c r="ADD60" s="621"/>
      <c r="ADE60" s="621"/>
      <c r="ADF60" s="621"/>
      <c r="ADG60" s="621"/>
      <c r="ADH60" s="621"/>
      <c r="ADI60" s="621"/>
      <c r="ADJ60" s="621"/>
      <c r="ADK60" s="621"/>
      <c r="ADL60" s="621"/>
      <c r="ADM60" s="621"/>
      <c r="ADN60" s="621"/>
      <c r="ADO60" s="621"/>
      <c r="ADP60" s="621"/>
      <c r="ADQ60" s="621"/>
      <c r="ADR60" s="621"/>
      <c r="ADS60" s="621"/>
      <c r="ADT60" s="621"/>
      <c r="ADU60" s="621"/>
      <c r="ADV60" s="621"/>
      <c r="ADW60" s="621"/>
      <c r="ADX60" s="621"/>
      <c r="ADY60" s="621"/>
      <c r="ADZ60" s="621"/>
      <c r="AEA60" s="621"/>
      <c r="AEB60" s="621"/>
      <c r="AEC60" s="621"/>
      <c r="AED60" s="621"/>
      <c r="AEE60" s="621"/>
      <c r="AEF60" s="621"/>
      <c r="AEG60" s="621"/>
      <c r="AEH60" s="621"/>
      <c r="AEI60" s="621"/>
      <c r="AEJ60" s="621"/>
      <c r="AEK60" s="621"/>
      <c r="AEL60" s="621"/>
      <c r="AEM60" s="621"/>
      <c r="AEN60" s="621"/>
      <c r="AEO60" s="621"/>
      <c r="AEP60" s="621"/>
      <c r="AEQ60" s="621"/>
      <c r="AER60" s="621"/>
      <c r="AES60" s="621"/>
      <c r="AET60" s="621"/>
      <c r="AEU60" s="621"/>
      <c r="AEV60" s="621"/>
      <c r="AEW60" s="621"/>
      <c r="AEX60" s="621"/>
      <c r="AEY60" s="621"/>
      <c r="AEZ60" s="621"/>
      <c r="AFA60" s="621"/>
      <c r="AFB60" s="621"/>
      <c r="AFC60" s="621"/>
      <c r="AFD60" s="621"/>
      <c r="AFE60" s="621"/>
      <c r="AFF60" s="621"/>
      <c r="AFG60" s="621"/>
      <c r="AFH60" s="621"/>
      <c r="AFI60" s="621"/>
      <c r="AFJ60" s="621"/>
      <c r="AFK60" s="621"/>
      <c r="AFL60" s="621"/>
      <c r="AFM60" s="621"/>
      <c r="AFN60" s="621"/>
      <c r="AFO60" s="621"/>
      <c r="AFP60" s="621"/>
      <c r="AFQ60" s="621"/>
      <c r="AFR60" s="621"/>
      <c r="AFS60" s="621"/>
      <c r="AFT60" s="621"/>
      <c r="AFU60" s="621"/>
      <c r="AFV60" s="621"/>
      <c r="AFW60" s="621"/>
      <c r="AFX60" s="621"/>
      <c r="AFY60" s="621"/>
      <c r="AFZ60" s="621"/>
      <c r="AGA60" s="621"/>
      <c r="AGB60" s="621"/>
      <c r="AGC60" s="621"/>
      <c r="AGD60" s="621"/>
      <c r="AGE60" s="621"/>
      <c r="AGF60" s="621"/>
      <c r="AGG60" s="621"/>
      <c r="AGH60" s="621"/>
      <c r="AGI60" s="621"/>
      <c r="AGJ60" s="621"/>
      <c r="AGK60" s="621"/>
      <c r="AGL60" s="621"/>
      <c r="AGM60" s="621"/>
      <c r="AGN60" s="621"/>
      <c r="AGO60" s="621"/>
      <c r="AGP60" s="621"/>
      <c r="AGQ60" s="621"/>
      <c r="AGR60" s="621"/>
      <c r="AGS60" s="621"/>
      <c r="AGT60" s="621"/>
      <c r="AGU60" s="621"/>
      <c r="AGV60" s="621"/>
      <c r="AGW60" s="621"/>
      <c r="AGX60" s="621"/>
      <c r="AGY60" s="621"/>
      <c r="AGZ60" s="621"/>
      <c r="AHA60" s="621"/>
      <c r="AHB60" s="621"/>
      <c r="AHC60" s="621"/>
      <c r="AHD60" s="621"/>
      <c r="AHE60" s="621"/>
      <c r="AHF60" s="621"/>
      <c r="AHG60" s="621"/>
      <c r="AHH60" s="621"/>
      <c r="AHI60" s="621"/>
      <c r="AHJ60" s="621"/>
      <c r="AHK60" s="621"/>
      <c r="AHL60" s="621"/>
      <c r="AHM60" s="621"/>
      <c r="AHN60" s="621"/>
      <c r="AHO60" s="621"/>
      <c r="AHP60" s="621"/>
      <c r="AHQ60" s="621"/>
      <c r="AHR60" s="621"/>
      <c r="AHS60" s="621"/>
      <c r="AHT60" s="621"/>
      <c r="AHU60" s="621"/>
      <c r="AHV60" s="621"/>
      <c r="AHW60" s="621"/>
      <c r="AHX60" s="621"/>
      <c r="AHY60" s="621"/>
      <c r="AHZ60" s="621"/>
      <c r="AIA60" s="621"/>
      <c r="AIB60" s="621"/>
      <c r="AIC60" s="621"/>
      <c r="AID60" s="621"/>
      <c r="AIE60" s="621"/>
      <c r="AIF60" s="621"/>
      <c r="AIG60" s="621"/>
      <c r="AIH60" s="621"/>
      <c r="AII60" s="621"/>
      <c r="AIJ60" s="621"/>
      <c r="AIK60" s="621"/>
      <c r="AIL60" s="621"/>
      <c r="AIM60" s="621"/>
      <c r="AIN60" s="621"/>
      <c r="AIO60" s="621"/>
      <c r="AIP60" s="621"/>
      <c r="AIQ60" s="621"/>
      <c r="AIR60" s="621"/>
      <c r="AIS60" s="621"/>
      <c r="AIT60" s="621"/>
      <c r="AIU60" s="621"/>
      <c r="AIV60" s="621"/>
      <c r="AIW60" s="621"/>
      <c r="AIX60" s="621"/>
      <c r="AIY60" s="621"/>
      <c r="AIZ60" s="621"/>
      <c r="AJA60" s="621"/>
      <c r="AJB60" s="621"/>
      <c r="AJC60" s="621"/>
      <c r="AJD60" s="621"/>
      <c r="AJE60" s="621"/>
      <c r="AJF60" s="621"/>
      <c r="AJG60" s="621"/>
      <c r="AJH60" s="621"/>
      <c r="AJI60" s="621"/>
      <c r="AJJ60" s="621"/>
      <c r="AJK60" s="621"/>
      <c r="AJL60" s="621"/>
      <c r="AJM60" s="621"/>
      <c r="AJN60" s="621"/>
      <c r="AJO60" s="621"/>
      <c r="AJP60" s="621"/>
      <c r="AJQ60" s="621"/>
      <c r="AJR60" s="621"/>
      <c r="AJS60" s="621"/>
      <c r="AJT60" s="621"/>
      <c r="AJU60" s="621"/>
      <c r="AJV60" s="621"/>
      <c r="AJW60" s="621"/>
      <c r="AJX60" s="621"/>
      <c r="AJY60" s="621"/>
      <c r="AJZ60" s="621"/>
      <c r="AKA60" s="621"/>
      <c r="AKB60" s="621"/>
      <c r="AKC60" s="621"/>
      <c r="AKD60" s="621"/>
      <c r="AKE60" s="621"/>
      <c r="AKF60" s="621"/>
      <c r="AKG60" s="621"/>
      <c r="AKH60" s="621"/>
      <c r="AKI60" s="621"/>
      <c r="AKJ60" s="621"/>
      <c r="AKK60" s="621"/>
      <c r="AKL60" s="621"/>
      <c r="AKM60" s="621"/>
      <c r="AKN60" s="621"/>
      <c r="AKO60" s="621"/>
      <c r="AKP60" s="621"/>
      <c r="AKQ60" s="621"/>
      <c r="AKR60" s="621"/>
      <c r="AKS60" s="621"/>
      <c r="AKT60" s="621"/>
      <c r="AKU60" s="621"/>
      <c r="AKV60" s="621"/>
      <c r="AKW60" s="621"/>
      <c r="AKX60" s="621"/>
      <c r="AKY60" s="621"/>
      <c r="AKZ60" s="621"/>
      <c r="ALA60" s="621"/>
      <c r="ALB60" s="621"/>
      <c r="ALC60" s="621"/>
      <c r="ALD60" s="621"/>
      <c r="ALE60" s="621"/>
      <c r="ALF60" s="621"/>
      <c r="ALG60" s="621"/>
      <c r="ALH60" s="621"/>
      <c r="ALI60" s="621"/>
      <c r="ALJ60" s="621"/>
      <c r="ALK60" s="621"/>
      <c r="ALL60" s="621"/>
      <c r="ALM60" s="621"/>
      <c r="ALN60" s="621"/>
      <c r="ALO60" s="621"/>
      <c r="ALP60" s="621"/>
      <c r="ALQ60" s="621"/>
      <c r="ALR60" s="621"/>
      <c r="ALS60" s="621"/>
      <c r="ALT60" s="621"/>
      <c r="ALU60" s="621"/>
      <c r="ALV60" s="621"/>
      <c r="ALW60" s="621"/>
      <c r="ALX60" s="621"/>
      <c r="ALY60" s="621"/>
      <c r="ALZ60" s="621"/>
      <c r="AMA60" s="621"/>
      <c r="AMB60" s="621"/>
      <c r="AMC60" s="621"/>
      <c r="AMD60" s="621"/>
      <c r="AME60" s="621"/>
      <c r="AMF60" s="621"/>
      <c r="AMG60" s="621"/>
      <c r="AMH60" s="621"/>
      <c r="AMI60" s="621"/>
      <c r="AMJ60" s="621"/>
      <c r="AMK60" s="621"/>
    </row>
    <row r="61" spans="1:1025" ht="37.5" customHeight="1">
      <c r="A61" s="374" t="s">
        <v>357</v>
      </c>
      <c r="B61" s="448" t="s">
        <v>383</v>
      </c>
      <c r="C61" s="376">
        <f>D61*1.1</f>
        <v>6419.3250000000007</v>
      </c>
      <c r="D61" s="1333">
        <f>4992.6+458.95+329.7+54.5</f>
        <v>5835.75</v>
      </c>
      <c r="E61" s="2050"/>
      <c r="F61" s="2043"/>
      <c r="G61" s="392"/>
      <c r="H61" s="429"/>
      <c r="I61" s="1497"/>
      <c r="J61" s="1495">
        <v>0</v>
      </c>
      <c r="K61" s="1472"/>
      <c r="L61" s="413"/>
      <c r="M61" s="1495"/>
      <c r="N61" s="272"/>
      <c r="O61" s="272"/>
      <c r="P61" s="272"/>
      <c r="T61" s="397"/>
      <c r="U61" s="397"/>
      <c r="V61" s="452"/>
      <c r="W61" s="452"/>
      <c r="X61" s="452"/>
      <c r="Y61" s="397"/>
      <c r="Z61" s="397"/>
      <c r="AA61" s="397"/>
      <c r="AE61" s="1471"/>
      <c r="AF61" s="1493" t="s">
        <v>141</v>
      </c>
      <c r="AG61" s="1494">
        <v>10</v>
      </c>
      <c r="AH61" s="1494">
        <v>8</v>
      </c>
      <c r="AI61" s="1494">
        <v>6</v>
      </c>
      <c r="AJ61" s="1494">
        <f t="shared" si="11"/>
        <v>480</v>
      </c>
      <c r="AK61" s="1494">
        <v>10</v>
      </c>
      <c r="AL61" s="1494">
        <f t="shared" si="12"/>
        <v>4800</v>
      </c>
      <c r="AM61" s="1475">
        <f t="shared" si="13"/>
        <v>45840</v>
      </c>
      <c r="AN61" s="1493">
        <v>160</v>
      </c>
      <c r="AO61" s="1475">
        <f t="shared" si="14"/>
        <v>76800</v>
      </c>
      <c r="AP61" s="289"/>
      <c r="AQ61" s="621"/>
      <c r="AR61" s="621"/>
      <c r="AS61" s="621"/>
      <c r="AT61" s="621"/>
      <c r="AU61" s="621"/>
      <c r="AV61" s="621"/>
      <c r="AW61" s="621"/>
      <c r="AX61" s="621"/>
      <c r="AY61" s="621"/>
      <c r="AZ61" s="621"/>
      <c r="BA61" s="621"/>
      <c r="BB61" s="621"/>
      <c r="BC61" s="621"/>
      <c r="BD61" s="621"/>
      <c r="BE61" s="621"/>
      <c r="BF61" s="621"/>
      <c r="BG61" s="621"/>
      <c r="BH61" s="621"/>
      <c r="BI61" s="621"/>
      <c r="BJ61" s="621"/>
      <c r="BK61" s="621"/>
      <c r="BL61" s="621"/>
      <c r="BM61" s="621"/>
      <c r="BN61" s="621"/>
      <c r="BO61" s="621"/>
      <c r="BP61" s="621"/>
      <c r="BQ61" s="621"/>
      <c r="BR61" s="621"/>
      <c r="BS61" s="621"/>
      <c r="BT61" s="621"/>
      <c r="BU61" s="621"/>
      <c r="BV61" s="621"/>
      <c r="BW61" s="621"/>
      <c r="BX61" s="621"/>
      <c r="BY61" s="621"/>
      <c r="BZ61" s="621"/>
      <c r="CA61" s="621"/>
      <c r="CB61" s="621"/>
      <c r="CC61" s="621"/>
      <c r="CD61" s="621"/>
      <c r="CE61" s="621"/>
      <c r="CF61" s="621"/>
      <c r="CG61" s="621"/>
      <c r="CH61" s="621"/>
      <c r="CI61" s="621"/>
      <c r="CJ61" s="621"/>
      <c r="CK61" s="621"/>
      <c r="CL61" s="621"/>
      <c r="CM61" s="621"/>
      <c r="CN61" s="621"/>
      <c r="CO61" s="621"/>
      <c r="CP61" s="621"/>
      <c r="CQ61" s="621"/>
      <c r="CR61" s="621"/>
      <c r="CS61" s="621"/>
      <c r="CT61" s="621"/>
      <c r="CU61" s="621"/>
      <c r="CV61" s="621"/>
      <c r="CW61" s="621"/>
      <c r="CX61" s="621"/>
      <c r="CY61" s="621"/>
      <c r="CZ61" s="621"/>
      <c r="DA61" s="621"/>
      <c r="DB61" s="621"/>
      <c r="DC61" s="621"/>
      <c r="DD61" s="621"/>
      <c r="DE61" s="621"/>
      <c r="DF61" s="621"/>
      <c r="DG61" s="621"/>
      <c r="DH61" s="621"/>
      <c r="DI61" s="621"/>
      <c r="DJ61" s="621"/>
      <c r="DK61" s="621"/>
      <c r="DL61" s="621"/>
      <c r="DM61" s="621"/>
      <c r="DN61" s="621"/>
      <c r="DO61" s="621"/>
      <c r="DP61" s="621"/>
      <c r="DQ61" s="621"/>
      <c r="DR61" s="621"/>
      <c r="DS61" s="621"/>
      <c r="DT61" s="621"/>
      <c r="DU61" s="621"/>
      <c r="DV61" s="621"/>
      <c r="DW61" s="621"/>
      <c r="DX61" s="621"/>
      <c r="DY61" s="621"/>
      <c r="DZ61" s="621"/>
      <c r="EA61" s="621"/>
      <c r="EB61" s="621"/>
      <c r="EC61" s="621"/>
      <c r="ED61" s="621"/>
      <c r="EE61" s="621"/>
      <c r="EF61" s="621"/>
      <c r="EG61" s="621"/>
      <c r="EH61" s="621"/>
      <c r="EI61" s="621"/>
      <c r="EJ61" s="621"/>
      <c r="EK61" s="621"/>
      <c r="EL61" s="621"/>
      <c r="EM61" s="621"/>
      <c r="EN61" s="621"/>
      <c r="EO61" s="621"/>
      <c r="EP61" s="621"/>
      <c r="EQ61" s="621"/>
      <c r="ER61" s="621"/>
      <c r="ES61" s="621"/>
      <c r="ET61" s="621"/>
      <c r="EU61" s="621"/>
      <c r="EV61" s="621"/>
      <c r="EW61" s="621"/>
      <c r="EX61" s="621"/>
      <c r="EY61" s="621"/>
      <c r="EZ61" s="621"/>
      <c r="FA61" s="621"/>
      <c r="FB61" s="621"/>
      <c r="FC61" s="621"/>
      <c r="FD61" s="621"/>
      <c r="FE61" s="621"/>
      <c r="FF61" s="621"/>
      <c r="FG61" s="621"/>
      <c r="FH61" s="621"/>
      <c r="FI61" s="621"/>
      <c r="FJ61" s="621"/>
      <c r="FK61" s="621"/>
      <c r="FL61" s="621"/>
      <c r="FM61" s="621"/>
      <c r="FN61" s="621"/>
      <c r="FO61" s="621"/>
      <c r="FP61" s="621"/>
      <c r="FQ61" s="621"/>
      <c r="FR61" s="621"/>
      <c r="FS61" s="621"/>
      <c r="FT61" s="621"/>
      <c r="FU61" s="621"/>
      <c r="FV61" s="621"/>
      <c r="FW61" s="621"/>
      <c r="FX61" s="621"/>
      <c r="FY61" s="621"/>
      <c r="FZ61" s="621"/>
      <c r="GA61" s="621"/>
      <c r="GB61" s="621"/>
      <c r="GC61" s="621"/>
      <c r="GD61" s="621"/>
      <c r="GE61" s="621"/>
      <c r="GF61" s="621"/>
      <c r="GG61" s="621"/>
      <c r="GH61" s="621"/>
      <c r="GI61" s="621"/>
      <c r="GJ61" s="621"/>
      <c r="GK61" s="621"/>
      <c r="GL61" s="621"/>
      <c r="GM61" s="621"/>
      <c r="GN61" s="621"/>
      <c r="GO61" s="621"/>
      <c r="GP61" s="621"/>
      <c r="GQ61" s="621"/>
      <c r="GR61" s="621"/>
      <c r="GS61" s="621"/>
      <c r="GT61" s="621"/>
      <c r="GU61" s="621"/>
      <c r="GV61" s="621"/>
      <c r="GW61" s="621"/>
      <c r="GX61" s="621"/>
      <c r="GY61" s="621"/>
      <c r="GZ61" s="621"/>
      <c r="HA61" s="621"/>
      <c r="HB61" s="621"/>
      <c r="HC61" s="621"/>
      <c r="HD61" s="621"/>
      <c r="HE61" s="621"/>
      <c r="HF61" s="621"/>
      <c r="HG61" s="621"/>
      <c r="HH61" s="621"/>
      <c r="HI61" s="621"/>
      <c r="HJ61" s="621"/>
      <c r="HK61" s="621"/>
      <c r="HL61" s="621"/>
      <c r="HM61" s="621"/>
      <c r="HN61" s="621"/>
      <c r="HO61" s="621"/>
      <c r="HP61" s="621"/>
      <c r="HQ61" s="621"/>
      <c r="HR61" s="621"/>
      <c r="HS61" s="621"/>
      <c r="HT61" s="621"/>
      <c r="HU61" s="621"/>
      <c r="HV61" s="621"/>
      <c r="HW61" s="621"/>
      <c r="HX61" s="621"/>
      <c r="HY61" s="621"/>
      <c r="HZ61" s="621"/>
      <c r="IA61" s="621"/>
      <c r="IB61" s="621"/>
      <c r="IC61" s="621"/>
      <c r="ID61" s="621"/>
      <c r="IE61" s="621"/>
      <c r="IF61" s="621"/>
      <c r="IG61" s="621"/>
      <c r="IH61" s="621"/>
      <c r="II61" s="621"/>
      <c r="IJ61" s="621"/>
      <c r="IK61" s="621"/>
      <c r="IL61" s="621"/>
      <c r="IM61" s="621"/>
      <c r="IN61" s="621"/>
      <c r="IO61" s="621"/>
      <c r="IP61" s="621"/>
      <c r="IQ61" s="621"/>
      <c r="IR61" s="621"/>
      <c r="IS61" s="621"/>
      <c r="IT61" s="621"/>
      <c r="IU61" s="621"/>
      <c r="IV61" s="621"/>
      <c r="IW61" s="621"/>
      <c r="IX61" s="621"/>
      <c r="IY61" s="621"/>
      <c r="IZ61" s="621"/>
      <c r="JA61" s="621"/>
      <c r="JB61" s="621"/>
      <c r="JC61" s="621"/>
      <c r="JD61" s="621"/>
      <c r="JE61" s="621"/>
      <c r="JF61" s="621"/>
      <c r="JG61" s="621"/>
      <c r="JH61" s="621"/>
      <c r="JI61" s="621"/>
      <c r="JJ61" s="621"/>
      <c r="JK61" s="621"/>
      <c r="JL61" s="621"/>
      <c r="JM61" s="621"/>
      <c r="JN61" s="621"/>
      <c r="JO61" s="621"/>
      <c r="JP61" s="621"/>
      <c r="JQ61" s="621"/>
      <c r="JR61" s="621"/>
      <c r="JS61" s="621"/>
      <c r="JT61" s="621"/>
      <c r="JU61" s="621"/>
      <c r="JV61" s="621"/>
      <c r="JW61" s="621"/>
      <c r="JX61" s="621"/>
      <c r="JY61" s="621"/>
      <c r="JZ61" s="621"/>
      <c r="KA61" s="621"/>
      <c r="KB61" s="621"/>
      <c r="KC61" s="621"/>
      <c r="KD61" s="621"/>
      <c r="KE61" s="621"/>
      <c r="KF61" s="621"/>
      <c r="KG61" s="621"/>
      <c r="KH61" s="621"/>
      <c r="KI61" s="621"/>
      <c r="KJ61" s="621"/>
      <c r="KK61" s="621"/>
      <c r="KL61" s="621"/>
      <c r="KM61" s="621"/>
      <c r="KN61" s="621"/>
      <c r="KO61" s="621"/>
      <c r="KP61" s="621"/>
      <c r="KQ61" s="621"/>
      <c r="KR61" s="621"/>
      <c r="KS61" s="621"/>
      <c r="KT61" s="621"/>
      <c r="KU61" s="621"/>
      <c r="KV61" s="621"/>
      <c r="KW61" s="621"/>
      <c r="KX61" s="621"/>
      <c r="KY61" s="621"/>
      <c r="KZ61" s="621"/>
      <c r="LA61" s="621"/>
      <c r="LB61" s="621"/>
      <c r="LC61" s="621"/>
      <c r="LD61" s="621"/>
      <c r="LE61" s="621"/>
      <c r="LF61" s="621"/>
      <c r="LG61" s="621"/>
      <c r="LH61" s="621"/>
      <c r="LI61" s="621"/>
      <c r="LJ61" s="621"/>
      <c r="LK61" s="621"/>
      <c r="LL61" s="621"/>
      <c r="LM61" s="621"/>
      <c r="LN61" s="621"/>
      <c r="LO61" s="621"/>
      <c r="LP61" s="621"/>
      <c r="LQ61" s="621"/>
      <c r="LR61" s="621"/>
      <c r="LS61" s="621"/>
      <c r="LT61" s="621"/>
      <c r="LU61" s="621"/>
      <c r="LV61" s="621"/>
      <c r="LW61" s="621"/>
      <c r="LX61" s="621"/>
      <c r="LY61" s="621"/>
      <c r="LZ61" s="621"/>
      <c r="MA61" s="621"/>
      <c r="MB61" s="621"/>
      <c r="MC61" s="621"/>
      <c r="MD61" s="621"/>
      <c r="ME61" s="621"/>
      <c r="MF61" s="621"/>
      <c r="MG61" s="621"/>
      <c r="MH61" s="621"/>
      <c r="MI61" s="621"/>
      <c r="MJ61" s="621"/>
      <c r="MK61" s="621"/>
      <c r="ML61" s="621"/>
      <c r="MM61" s="621"/>
      <c r="MN61" s="621"/>
      <c r="MO61" s="621"/>
      <c r="MP61" s="621"/>
      <c r="MQ61" s="621"/>
      <c r="MR61" s="621"/>
      <c r="MS61" s="621"/>
      <c r="MT61" s="621"/>
      <c r="MU61" s="621"/>
      <c r="MV61" s="621"/>
      <c r="MW61" s="621"/>
      <c r="MX61" s="621"/>
      <c r="MY61" s="621"/>
      <c r="MZ61" s="621"/>
      <c r="NA61" s="621"/>
      <c r="NB61" s="621"/>
      <c r="NC61" s="621"/>
      <c r="ND61" s="621"/>
      <c r="NE61" s="621"/>
      <c r="NF61" s="621"/>
      <c r="NG61" s="621"/>
      <c r="NH61" s="621"/>
      <c r="NI61" s="621"/>
      <c r="NJ61" s="621"/>
      <c r="NK61" s="621"/>
      <c r="NL61" s="621"/>
      <c r="NM61" s="621"/>
      <c r="NN61" s="621"/>
      <c r="NO61" s="621"/>
      <c r="NP61" s="621"/>
      <c r="NQ61" s="621"/>
      <c r="NR61" s="621"/>
      <c r="NS61" s="621"/>
      <c r="NT61" s="621"/>
      <c r="NU61" s="621"/>
      <c r="NV61" s="621"/>
      <c r="NW61" s="621"/>
      <c r="NX61" s="621"/>
      <c r="NY61" s="621"/>
      <c r="NZ61" s="621"/>
      <c r="OA61" s="621"/>
      <c r="OB61" s="621"/>
      <c r="OC61" s="621"/>
      <c r="OD61" s="621"/>
      <c r="OE61" s="621"/>
      <c r="OF61" s="621"/>
      <c r="OG61" s="621"/>
      <c r="OH61" s="621"/>
      <c r="OI61" s="621"/>
      <c r="OJ61" s="621"/>
      <c r="OK61" s="621"/>
      <c r="OL61" s="621"/>
      <c r="OM61" s="621"/>
      <c r="ON61" s="621"/>
      <c r="OO61" s="621"/>
      <c r="OP61" s="621"/>
      <c r="OQ61" s="621"/>
      <c r="OR61" s="621"/>
      <c r="OS61" s="621"/>
      <c r="OT61" s="621"/>
      <c r="OU61" s="621"/>
      <c r="OV61" s="621"/>
      <c r="OW61" s="621"/>
      <c r="OX61" s="621"/>
      <c r="OY61" s="621"/>
      <c r="OZ61" s="621"/>
      <c r="PA61" s="621"/>
      <c r="PB61" s="621"/>
      <c r="PC61" s="621"/>
      <c r="PD61" s="621"/>
      <c r="PE61" s="621"/>
      <c r="PF61" s="621"/>
      <c r="PG61" s="621"/>
      <c r="PH61" s="621"/>
      <c r="PI61" s="621"/>
      <c r="PJ61" s="621"/>
      <c r="PK61" s="621"/>
      <c r="PL61" s="621"/>
      <c r="PM61" s="621"/>
      <c r="PN61" s="621"/>
      <c r="PO61" s="621"/>
      <c r="PP61" s="621"/>
      <c r="PQ61" s="621"/>
      <c r="PR61" s="621"/>
      <c r="PS61" s="621"/>
      <c r="PT61" s="621"/>
      <c r="PU61" s="621"/>
      <c r="PV61" s="621"/>
      <c r="PW61" s="621"/>
      <c r="PX61" s="621"/>
      <c r="PY61" s="621"/>
      <c r="PZ61" s="621"/>
      <c r="QA61" s="621"/>
      <c r="QB61" s="621"/>
      <c r="QC61" s="621"/>
      <c r="QD61" s="621"/>
      <c r="QE61" s="621"/>
      <c r="QF61" s="621"/>
      <c r="QG61" s="621"/>
      <c r="QH61" s="621"/>
      <c r="QI61" s="621"/>
      <c r="QJ61" s="621"/>
      <c r="QK61" s="621"/>
      <c r="QL61" s="621"/>
      <c r="QM61" s="621"/>
      <c r="QN61" s="621"/>
      <c r="QO61" s="621"/>
      <c r="QP61" s="621"/>
      <c r="QQ61" s="621"/>
      <c r="QR61" s="621"/>
      <c r="QS61" s="621"/>
      <c r="QT61" s="621"/>
      <c r="QU61" s="621"/>
      <c r="QV61" s="621"/>
      <c r="QW61" s="621"/>
      <c r="QX61" s="621"/>
      <c r="QY61" s="621"/>
      <c r="QZ61" s="621"/>
      <c r="RA61" s="621"/>
      <c r="RB61" s="621"/>
      <c r="RC61" s="621"/>
      <c r="RD61" s="621"/>
      <c r="RE61" s="621"/>
      <c r="RF61" s="621"/>
      <c r="RG61" s="621"/>
      <c r="RH61" s="621"/>
      <c r="RI61" s="621"/>
      <c r="RJ61" s="621"/>
      <c r="RK61" s="621"/>
      <c r="RL61" s="621"/>
      <c r="RM61" s="621"/>
      <c r="RN61" s="621"/>
      <c r="RO61" s="621"/>
      <c r="RP61" s="621"/>
      <c r="RQ61" s="621"/>
      <c r="RR61" s="621"/>
      <c r="RS61" s="621"/>
      <c r="RT61" s="621"/>
      <c r="RU61" s="621"/>
      <c r="RV61" s="621"/>
      <c r="RW61" s="621"/>
      <c r="RX61" s="621"/>
      <c r="RY61" s="621"/>
      <c r="RZ61" s="621"/>
      <c r="SA61" s="621"/>
      <c r="SB61" s="621"/>
      <c r="SC61" s="621"/>
      <c r="SD61" s="621"/>
      <c r="SE61" s="621"/>
      <c r="SF61" s="621"/>
      <c r="SG61" s="621"/>
      <c r="SH61" s="621"/>
      <c r="SI61" s="621"/>
      <c r="SJ61" s="621"/>
      <c r="SK61" s="621"/>
      <c r="SL61" s="621"/>
      <c r="SM61" s="621"/>
      <c r="SN61" s="621"/>
      <c r="SO61" s="621"/>
      <c r="SP61" s="621"/>
      <c r="SQ61" s="621"/>
      <c r="SR61" s="621"/>
      <c r="SS61" s="621"/>
      <c r="ST61" s="621"/>
      <c r="SU61" s="621"/>
      <c r="SV61" s="621"/>
      <c r="SW61" s="621"/>
      <c r="SX61" s="621"/>
      <c r="SY61" s="621"/>
      <c r="SZ61" s="621"/>
      <c r="TA61" s="621"/>
      <c r="TB61" s="621"/>
      <c r="TC61" s="621"/>
      <c r="TD61" s="621"/>
      <c r="TE61" s="621"/>
      <c r="TF61" s="621"/>
      <c r="TG61" s="621"/>
      <c r="TH61" s="621"/>
      <c r="TI61" s="621"/>
      <c r="TJ61" s="621"/>
      <c r="TK61" s="621"/>
      <c r="TL61" s="621"/>
      <c r="TM61" s="621"/>
      <c r="TN61" s="621"/>
      <c r="TO61" s="621"/>
      <c r="TP61" s="621"/>
      <c r="TQ61" s="621"/>
      <c r="TR61" s="621"/>
      <c r="TS61" s="621"/>
      <c r="TT61" s="621"/>
      <c r="TU61" s="621"/>
      <c r="TV61" s="621"/>
      <c r="TW61" s="621"/>
      <c r="TX61" s="621"/>
      <c r="TY61" s="621"/>
      <c r="TZ61" s="621"/>
      <c r="UA61" s="621"/>
      <c r="UB61" s="621"/>
      <c r="UC61" s="621"/>
      <c r="UD61" s="621"/>
      <c r="UE61" s="621"/>
      <c r="UF61" s="621"/>
      <c r="UG61" s="621"/>
      <c r="UH61" s="621"/>
      <c r="UI61" s="621"/>
      <c r="UJ61" s="621"/>
      <c r="UK61" s="621"/>
      <c r="UL61" s="621"/>
      <c r="UM61" s="621"/>
      <c r="UN61" s="621"/>
      <c r="UO61" s="621"/>
      <c r="UP61" s="621"/>
      <c r="UQ61" s="621"/>
      <c r="UR61" s="621"/>
      <c r="US61" s="621"/>
      <c r="UT61" s="621"/>
      <c r="UU61" s="621"/>
      <c r="UV61" s="621"/>
      <c r="UW61" s="621"/>
      <c r="UX61" s="621"/>
      <c r="UY61" s="621"/>
      <c r="UZ61" s="621"/>
      <c r="VA61" s="621"/>
      <c r="VB61" s="621"/>
      <c r="VC61" s="621"/>
      <c r="VD61" s="621"/>
      <c r="VE61" s="621"/>
      <c r="VF61" s="621"/>
      <c r="VG61" s="621"/>
      <c r="VH61" s="621"/>
      <c r="VI61" s="621"/>
      <c r="VJ61" s="621"/>
      <c r="VK61" s="621"/>
      <c r="VL61" s="621"/>
      <c r="VM61" s="621"/>
      <c r="VN61" s="621"/>
      <c r="VO61" s="621"/>
      <c r="VP61" s="621"/>
      <c r="VQ61" s="621"/>
      <c r="VR61" s="621"/>
      <c r="VS61" s="621"/>
      <c r="VT61" s="621"/>
      <c r="VU61" s="621"/>
      <c r="VV61" s="621"/>
      <c r="VW61" s="621"/>
      <c r="VX61" s="621"/>
      <c r="VY61" s="621"/>
      <c r="VZ61" s="621"/>
      <c r="WA61" s="621"/>
      <c r="WB61" s="621"/>
      <c r="WC61" s="621"/>
      <c r="WD61" s="621"/>
      <c r="WE61" s="621"/>
      <c r="WF61" s="621"/>
      <c r="WG61" s="621"/>
      <c r="WH61" s="621"/>
      <c r="WI61" s="621"/>
      <c r="WJ61" s="621"/>
      <c r="WK61" s="621"/>
      <c r="WL61" s="621"/>
      <c r="WM61" s="621"/>
      <c r="WN61" s="621"/>
      <c r="WO61" s="621"/>
      <c r="WP61" s="621"/>
      <c r="WQ61" s="621"/>
      <c r="WR61" s="621"/>
      <c r="WS61" s="621"/>
      <c r="WT61" s="621"/>
      <c r="WU61" s="621"/>
      <c r="WV61" s="621"/>
      <c r="WW61" s="621"/>
      <c r="WX61" s="621"/>
      <c r="WY61" s="621"/>
      <c r="WZ61" s="621"/>
      <c r="XA61" s="621"/>
      <c r="XB61" s="621"/>
      <c r="XC61" s="621"/>
      <c r="XD61" s="621"/>
      <c r="XE61" s="621"/>
      <c r="XF61" s="621"/>
      <c r="XG61" s="621"/>
      <c r="XH61" s="621"/>
      <c r="XI61" s="621"/>
      <c r="XJ61" s="621"/>
      <c r="XK61" s="621"/>
      <c r="XL61" s="621"/>
      <c r="XM61" s="621"/>
      <c r="XN61" s="621"/>
      <c r="XO61" s="621"/>
      <c r="XP61" s="621"/>
      <c r="XQ61" s="621"/>
      <c r="XR61" s="621"/>
      <c r="XS61" s="621"/>
      <c r="XT61" s="621"/>
      <c r="XU61" s="621"/>
      <c r="XV61" s="621"/>
      <c r="XW61" s="621"/>
      <c r="XX61" s="621"/>
      <c r="XY61" s="621"/>
      <c r="XZ61" s="621"/>
      <c r="YA61" s="621"/>
      <c r="YB61" s="621"/>
      <c r="YC61" s="621"/>
      <c r="YD61" s="621"/>
      <c r="YE61" s="621"/>
      <c r="YF61" s="621"/>
      <c r="YG61" s="621"/>
      <c r="YH61" s="621"/>
      <c r="YI61" s="621"/>
      <c r="YJ61" s="621"/>
      <c r="YK61" s="621"/>
      <c r="YL61" s="621"/>
      <c r="YM61" s="621"/>
      <c r="YN61" s="621"/>
      <c r="YO61" s="621"/>
      <c r="YP61" s="621"/>
      <c r="YQ61" s="621"/>
      <c r="YR61" s="621"/>
      <c r="YS61" s="621"/>
      <c r="YT61" s="621"/>
      <c r="YU61" s="621"/>
      <c r="YV61" s="621"/>
      <c r="YW61" s="621"/>
      <c r="YX61" s="621"/>
      <c r="YY61" s="621"/>
      <c r="YZ61" s="621"/>
      <c r="ZA61" s="621"/>
      <c r="ZB61" s="621"/>
      <c r="ZC61" s="621"/>
      <c r="ZD61" s="621"/>
      <c r="ZE61" s="621"/>
      <c r="ZF61" s="621"/>
      <c r="ZG61" s="621"/>
      <c r="ZH61" s="621"/>
      <c r="ZI61" s="621"/>
      <c r="ZJ61" s="621"/>
      <c r="ZK61" s="621"/>
      <c r="ZL61" s="621"/>
      <c r="ZM61" s="621"/>
      <c r="ZN61" s="621"/>
      <c r="ZO61" s="621"/>
      <c r="ZP61" s="621"/>
      <c r="ZQ61" s="621"/>
      <c r="ZR61" s="621"/>
      <c r="ZS61" s="621"/>
      <c r="ZT61" s="621"/>
      <c r="ZU61" s="621"/>
      <c r="ZV61" s="621"/>
      <c r="ZW61" s="621"/>
      <c r="ZX61" s="621"/>
      <c r="ZY61" s="621"/>
      <c r="ZZ61" s="621"/>
      <c r="AAA61" s="621"/>
      <c r="AAB61" s="621"/>
      <c r="AAC61" s="621"/>
      <c r="AAD61" s="621"/>
      <c r="AAE61" s="621"/>
      <c r="AAF61" s="621"/>
      <c r="AAG61" s="621"/>
      <c r="AAH61" s="621"/>
      <c r="AAI61" s="621"/>
      <c r="AAJ61" s="621"/>
      <c r="AAK61" s="621"/>
      <c r="AAL61" s="621"/>
      <c r="AAM61" s="621"/>
      <c r="AAN61" s="621"/>
      <c r="AAO61" s="621"/>
      <c r="AAP61" s="621"/>
      <c r="AAQ61" s="621"/>
      <c r="AAR61" s="621"/>
      <c r="AAS61" s="621"/>
      <c r="AAT61" s="621"/>
      <c r="AAU61" s="621"/>
      <c r="AAV61" s="621"/>
      <c r="AAW61" s="621"/>
      <c r="AAX61" s="621"/>
      <c r="AAY61" s="621"/>
      <c r="AAZ61" s="621"/>
      <c r="ABA61" s="621"/>
      <c r="ABB61" s="621"/>
      <c r="ABC61" s="621"/>
      <c r="ABD61" s="621"/>
      <c r="ABE61" s="621"/>
      <c r="ABF61" s="621"/>
      <c r="ABG61" s="621"/>
      <c r="ABH61" s="621"/>
      <c r="ABI61" s="621"/>
      <c r="ABJ61" s="621"/>
      <c r="ABK61" s="621"/>
      <c r="ABL61" s="621"/>
      <c r="ABM61" s="621"/>
      <c r="ABN61" s="621"/>
      <c r="ABO61" s="621"/>
      <c r="ABP61" s="621"/>
      <c r="ABQ61" s="621"/>
      <c r="ABR61" s="621"/>
      <c r="ABS61" s="621"/>
      <c r="ABT61" s="621"/>
      <c r="ABU61" s="621"/>
      <c r="ABV61" s="621"/>
      <c r="ABW61" s="621"/>
      <c r="ABX61" s="621"/>
      <c r="ABY61" s="621"/>
      <c r="ABZ61" s="621"/>
      <c r="ACA61" s="621"/>
      <c r="ACB61" s="621"/>
      <c r="ACC61" s="621"/>
      <c r="ACD61" s="621"/>
      <c r="ACE61" s="621"/>
      <c r="ACF61" s="621"/>
      <c r="ACG61" s="621"/>
      <c r="ACH61" s="621"/>
      <c r="ACI61" s="621"/>
      <c r="ACJ61" s="621"/>
      <c r="ACK61" s="621"/>
      <c r="ACL61" s="621"/>
      <c r="ACM61" s="621"/>
      <c r="ACN61" s="621"/>
      <c r="ACO61" s="621"/>
      <c r="ACP61" s="621"/>
      <c r="ACQ61" s="621"/>
      <c r="ACR61" s="621"/>
      <c r="ACS61" s="621"/>
      <c r="ACT61" s="621"/>
      <c r="ACU61" s="621"/>
      <c r="ACV61" s="621"/>
      <c r="ACW61" s="621"/>
      <c r="ACX61" s="621"/>
      <c r="ACY61" s="621"/>
      <c r="ACZ61" s="621"/>
      <c r="ADA61" s="621"/>
      <c r="ADB61" s="621"/>
      <c r="ADC61" s="621"/>
      <c r="ADD61" s="621"/>
      <c r="ADE61" s="621"/>
      <c r="ADF61" s="621"/>
      <c r="ADG61" s="621"/>
      <c r="ADH61" s="621"/>
      <c r="ADI61" s="621"/>
      <c r="ADJ61" s="621"/>
      <c r="ADK61" s="621"/>
      <c r="ADL61" s="621"/>
      <c r="ADM61" s="621"/>
      <c r="ADN61" s="621"/>
      <c r="ADO61" s="621"/>
      <c r="ADP61" s="621"/>
      <c r="ADQ61" s="621"/>
      <c r="ADR61" s="621"/>
      <c r="ADS61" s="621"/>
      <c r="ADT61" s="621"/>
      <c r="ADU61" s="621"/>
      <c r="ADV61" s="621"/>
      <c r="ADW61" s="621"/>
      <c r="ADX61" s="621"/>
      <c r="ADY61" s="621"/>
      <c r="ADZ61" s="621"/>
      <c r="AEA61" s="621"/>
      <c r="AEB61" s="621"/>
      <c r="AEC61" s="621"/>
      <c r="AED61" s="621"/>
      <c r="AEE61" s="621"/>
      <c r="AEF61" s="621"/>
      <c r="AEG61" s="621"/>
      <c r="AEH61" s="621"/>
      <c r="AEI61" s="621"/>
      <c r="AEJ61" s="621"/>
      <c r="AEK61" s="621"/>
      <c r="AEL61" s="621"/>
      <c r="AEM61" s="621"/>
      <c r="AEN61" s="621"/>
      <c r="AEO61" s="621"/>
      <c r="AEP61" s="621"/>
      <c r="AEQ61" s="621"/>
      <c r="AER61" s="621"/>
      <c r="AES61" s="621"/>
      <c r="AET61" s="621"/>
      <c r="AEU61" s="621"/>
      <c r="AEV61" s="621"/>
      <c r="AEW61" s="621"/>
      <c r="AEX61" s="621"/>
      <c r="AEY61" s="621"/>
      <c r="AEZ61" s="621"/>
      <c r="AFA61" s="621"/>
      <c r="AFB61" s="621"/>
      <c r="AFC61" s="621"/>
      <c r="AFD61" s="621"/>
      <c r="AFE61" s="621"/>
      <c r="AFF61" s="621"/>
      <c r="AFG61" s="621"/>
      <c r="AFH61" s="621"/>
      <c r="AFI61" s="621"/>
      <c r="AFJ61" s="621"/>
      <c r="AFK61" s="621"/>
      <c r="AFL61" s="621"/>
      <c r="AFM61" s="621"/>
      <c r="AFN61" s="621"/>
      <c r="AFO61" s="621"/>
      <c r="AFP61" s="621"/>
      <c r="AFQ61" s="621"/>
      <c r="AFR61" s="621"/>
      <c r="AFS61" s="621"/>
      <c r="AFT61" s="621"/>
      <c r="AFU61" s="621"/>
      <c r="AFV61" s="621"/>
      <c r="AFW61" s="621"/>
      <c r="AFX61" s="621"/>
      <c r="AFY61" s="621"/>
      <c r="AFZ61" s="621"/>
      <c r="AGA61" s="621"/>
      <c r="AGB61" s="621"/>
      <c r="AGC61" s="621"/>
      <c r="AGD61" s="621"/>
      <c r="AGE61" s="621"/>
      <c r="AGF61" s="621"/>
      <c r="AGG61" s="621"/>
      <c r="AGH61" s="621"/>
      <c r="AGI61" s="621"/>
      <c r="AGJ61" s="621"/>
      <c r="AGK61" s="621"/>
      <c r="AGL61" s="621"/>
      <c r="AGM61" s="621"/>
      <c r="AGN61" s="621"/>
      <c r="AGO61" s="621"/>
      <c r="AGP61" s="621"/>
      <c r="AGQ61" s="621"/>
      <c r="AGR61" s="621"/>
      <c r="AGS61" s="621"/>
      <c r="AGT61" s="621"/>
      <c r="AGU61" s="621"/>
      <c r="AGV61" s="621"/>
      <c r="AGW61" s="621"/>
      <c r="AGX61" s="621"/>
      <c r="AGY61" s="621"/>
      <c r="AGZ61" s="621"/>
      <c r="AHA61" s="621"/>
      <c r="AHB61" s="621"/>
      <c r="AHC61" s="621"/>
      <c r="AHD61" s="621"/>
      <c r="AHE61" s="621"/>
      <c r="AHF61" s="621"/>
      <c r="AHG61" s="621"/>
      <c r="AHH61" s="621"/>
      <c r="AHI61" s="621"/>
      <c r="AHJ61" s="621"/>
      <c r="AHK61" s="621"/>
      <c r="AHL61" s="621"/>
      <c r="AHM61" s="621"/>
      <c r="AHN61" s="621"/>
      <c r="AHO61" s="621"/>
      <c r="AHP61" s="621"/>
      <c r="AHQ61" s="621"/>
      <c r="AHR61" s="621"/>
      <c r="AHS61" s="621"/>
      <c r="AHT61" s="621"/>
      <c r="AHU61" s="621"/>
      <c r="AHV61" s="621"/>
      <c r="AHW61" s="621"/>
      <c r="AHX61" s="621"/>
      <c r="AHY61" s="621"/>
      <c r="AHZ61" s="621"/>
      <c r="AIA61" s="621"/>
      <c r="AIB61" s="621"/>
      <c r="AIC61" s="621"/>
      <c r="AID61" s="621"/>
      <c r="AIE61" s="621"/>
      <c r="AIF61" s="621"/>
      <c r="AIG61" s="621"/>
      <c r="AIH61" s="621"/>
      <c r="AII61" s="621"/>
      <c r="AIJ61" s="621"/>
      <c r="AIK61" s="621"/>
      <c r="AIL61" s="621"/>
      <c r="AIM61" s="621"/>
      <c r="AIN61" s="621"/>
      <c r="AIO61" s="621"/>
      <c r="AIP61" s="621"/>
      <c r="AIQ61" s="621"/>
      <c r="AIR61" s="621"/>
      <c r="AIS61" s="621"/>
      <c r="AIT61" s="621"/>
      <c r="AIU61" s="621"/>
      <c r="AIV61" s="621"/>
      <c r="AIW61" s="621"/>
      <c r="AIX61" s="621"/>
      <c r="AIY61" s="621"/>
      <c r="AIZ61" s="621"/>
      <c r="AJA61" s="621"/>
      <c r="AJB61" s="621"/>
      <c r="AJC61" s="621"/>
      <c r="AJD61" s="621"/>
      <c r="AJE61" s="621"/>
      <c r="AJF61" s="621"/>
      <c r="AJG61" s="621"/>
      <c r="AJH61" s="621"/>
      <c r="AJI61" s="621"/>
      <c r="AJJ61" s="621"/>
      <c r="AJK61" s="621"/>
      <c r="AJL61" s="621"/>
      <c r="AJM61" s="621"/>
      <c r="AJN61" s="621"/>
      <c r="AJO61" s="621"/>
      <c r="AJP61" s="621"/>
      <c r="AJQ61" s="621"/>
      <c r="AJR61" s="621"/>
      <c r="AJS61" s="621"/>
      <c r="AJT61" s="621"/>
      <c r="AJU61" s="621"/>
      <c r="AJV61" s="621"/>
      <c r="AJW61" s="621"/>
      <c r="AJX61" s="621"/>
      <c r="AJY61" s="621"/>
      <c r="AJZ61" s="621"/>
      <c r="AKA61" s="621"/>
      <c r="AKB61" s="621"/>
      <c r="AKC61" s="621"/>
      <c r="AKD61" s="621"/>
      <c r="AKE61" s="621"/>
      <c r="AKF61" s="621"/>
      <c r="AKG61" s="621"/>
      <c r="AKH61" s="621"/>
      <c r="AKI61" s="621"/>
      <c r="AKJ61" s="621"/>
      <c r="AKK61" s="621"/>
      <c r="AKL61" s="621"/>
      <c r="AKM61" s="621"/>
      <c r="AKN61" s="621"/>
      <c r="AKO61" s="621"/>
      <c r="AKP61" s="621"/>
      <c r="AKQ61" s="621"/>
      <c r="AKR61" s="621"/>
      <c r="AKS61" s="621"/>
      <c r="AKT61" s="621"/>
      <c r="AKU61" s="621"/>
      <c r="AKV61" s="621"/>
      <c r="AKW61" s="621"/>
      <c r="AKX61" s="621"/>
      <c r="AKY61" s="621"/>
      <c r="AKZ61" s="621"/>
      <c r="ALA61" s="621"/>
      <c r="ALB61" s="621"/>
      <c r="ALC61" s="621"/>
      <c r="ALD61" s="621"/>
      <c r="ALE61" s="621"/>
      <c r="ALF61" s="621"/>
      <c r="ALG61" s="621"/>
      <c r="ALH61" s="621"/>
      <c r="ALI61" s="621"/>
      <c r="ALJ61" s="621"/>
      <c r="ALK61" s="621"/>
      <c r="ALL61" s="621"/>
      <c r="ALM61" s="621"/>
      <c r="ALN61" s="621"/>
      <c r="ALO61" s="621"/>
      <c r="ALP61" s="621"/>
      <c r="ALQ61" s="621"/>
      <c r="ALR61" s="621"/>
      <c r="ALS61" s="621"/>
      <c r="ALT61" s="621"/>
      <c r="ALU61" s="621"/>
      <c r="ALV61" s="621"/>
      <c r="ALW61" s="621"/>
      <c r="ALX61" s="621"/>
      <c r="ALY61" s="621"/>
      <c r="ALZ61" s="621"/>
      <c r="AMA61" s="621"/>
      <c r="AMB61" s="621"/>
      <c r="AMC61" s="621"/>
      <c r="AMD61" s="621"/>
      <c r="AME61" s="621"/>
      <c r="AMF61" s="621"/>
      <c r="AMG61" s="621"/>
      <c r="AMH61" s="621"/>
      <c r="AMI61" s="621"/>
      <c r="AMJ61" s="621"/>
      <c r="AMK61" s="621"/>
    </row>
    <row r="62" spans="1:1025" ht="36" customHeight="1">
      <c r="A62" s="459">
        <v>2.6</v>
      </c>
      <c r="B62" s="408" t="s">
        <v>400</v>
      </c>
      <c r="C62" s="408">
        <f>SUM(C63:C64)</f>
        <v>138846.31200000001</v>
      </c>
      <c r="D62" s="418">
        <f>D63+D65+D66</f>
        <v>126223.92</v>
      </c>
      <c r="E62" s="2043"/>
      <c r="F62" s="2043"/>
      <c r="G62" s="443"/>
      <c r="H62" s="420"/>
      <c r="I62" s="594"/>
      <c r="J62" s="542">
        <v>16817.599999999999</v>
      </c>
      <c r="K62" s="594">
        <f>+D62-J62</f>
        <v>109406.32</v>
      </c>
      <c r="L62" s="413"/>
      <c r="M62" s="542"/>
      <c r="N62" s="272"/>
      <c r="O62" s="272"/>
      <c r="P62" s="272"/>
      <c r="T62" s="397"/>
      <c r="U62" s="397"/>
      <c r="V62" s="452"/>
      <c r="W62" s="452"/>
      <c r="X62" s="452"/>
      <c r="Y62" s="397"/>
      <c r="Z62" s="397"/>
      <c r="AA62" s="397"/>
      <c r="AD62" s="1455"/>
      <c r="AE62" s="1486"/>
      <c r="AF62" s="1493" t="s">
        <v>333</v>
      </c>
      <c r="AG62" s="1494"/>
      <c r="AH62" s="1494">
        <v>8</v>
      </c>
      <c r="AI62" s="1494">
        <v>6</v>
      </c>
      <c r="AJ62" s="1494">
        <f t="shared" si="11"/>
        <v>0</v>
      </c>
      <c r="AK62" s="1494">
        <v>10</v>
      </c>
      <c r="AL62" s="1494">
        <f t="shared" si="12"/>
        <v>0</v>
      </c>
      <c r="AM62" s="1475">
        <f t="shared" si="13"/>
        <v>0</v>
      </c>
      <c r="AN62" s="1493">
        <f>20000/30/10</f>
        <v>66.666666666666657</v>
      </c>
      <c r="AO62" s="1475">
        <f t="shared" si="14"/>
        <v>0</v>
      </c>
      <c r="AP62" s="289"/>
      <c r="AQ62" s="621"/>
      <c r="AR62" s="621"/>
      <c r="AS62" s="621"/>
      <c r="AT62" s="621"/>
      <c r="AU62" s="621"/>
      <c r="AV62" s="621"/>
      <c r="AW62" s="621"/>
      <c r="AX62" s="621"/>
      <c r="AY62" s="621"/>
      <c r="AZ62" s="621"/>
      <c r="BA62" s="621"/>
      <c r="BB62" s="621"/>
      <c r="BC62" s="621"/>
      <c r="BD62" s="621"/>
      <c r="BE62" s="621"/>
      <c r="BF62" s="621"/>
      <c r="BG62" s="621"/>
      <c r="BH62" s="621"/>
      <c r="BI62" s="621"/>
      <c r="BJ62" s="621"/>
      <c r="BK62" s="621"/>
      <c r="BL62" s="621"/>
      <c r="BM62" s="621"/>
      <c r="BN62" s="621"/>
      <c r="BO62" s="621"/>
      <c r="BP62" s="621"/>
      <c r="BQ62" s="621"/>
      <c r="BR62" s="621"/>
      <c r="BS62" s="621"/>
      <c r="BT62" s="621"/>
      <c r="BU62" s="621"/>
      <c r="BV62" s="621"/>
      <c r="BW62" s="621"/>
      <c r="BX62" s="621"/>
      <c r="BY62" s="621"/>
      <c r="BZ62" s="621"/>
      <c r="CA62" s="621"/>
      <c r="CB62" s="621"/>
      <c r="CC62" s="621"/>
      <c r="CD62" s="621"/>
      <c r="CE62" s="621"/>
      <c r="CF62" s="621"/>
      <c r="CG62" s="621"/>
      <c r="CH62" s="621"/>
      <c r="CI62" s="621"/>
      <c r="CJ62" s="621"/>
      <c r="CK62" s="621"/>
      <c r="CL62" s="621"/>
      <c r="CM62" s="621"/>
      <c r="CN62" s="621"/>
      <c r="CO62" s="621"/>
      <c r="CP62" s="621"/>
      <c r="CQ62" s="621"/>
      <c r="CR62" s="621"/>
      <c r="CS62" s="621"/>
      <c r="CT62" s="621"/>
      <c r="CU62" s="621"/>
      <c r="CV62" s="621"/>
      <c r="CW62" s="621"/>
      <c r="CX62" s="621"/>
      <c r="CY62" s="621"/>
      <c r="CZ62" s="621"/>
      <c r="DA62" s="621"/>
      <c r="DB62" s="621"/>
      <c r="DC62" s="621"/>
      <c r="DD62" s="621"/>
      <c r="DE62" s="621"/>
      <c r="DF62" s="621"/>
      <c r="DG62" s="621"/>
      <c r="DH62" s="621"/>
      <c r="DI62" s="621"/>
      <c r="DJ62" s="621"/>
      <c r="DK62" s="621"/>
      <c r="DL62" s="621"/>
      <c r="DM62" s="621"/>
      <c r="DN62" s="621"/>
      <c r="DO62" s="621"/>
      <c r="DP62" s="621"/>
      <c r="DQ62" s="621"/>
      <c r="DR62" s="621"/>
      <c r="DS62" s="621"/>
      <c r="DT62" s="621"/>
      <c r="DU62" s="621"/>
      <c r="DV62" s="621"/>
      <c r="DW62" s="621"/>
      <c r="DX62" s="621"/>
      <c r="DY62" s="621"/>
      <c r="DZ62" s="621"/>
      <c r="EA62" s="621"/>
      <c r="EB62" s="621"/>
      <c r="EC62" s="621"/>
      <c r="ED62" s="621"/>
      <c r="EE62" s="621"/>
      <c r="EF62" s="621"/>
      <c r="EG62" s="621"/>
      <c r="EH62" s="621"/>
      <c r="EI62" s="621"/>
      <c r="EJ62" s="621"/>
      <c r="EK62" s="621"/>
      <c r="EL62" s="621"/>
      <c r="EM62" s="621"/>
      <c r="EN62" s="621"/>
      <c r="EO62" s="621"/>
      <c r="EP62" s="621"/>
      <c r="EQ62" s="621"/>
      <c r="ER62" s="621"/>
      <c r="ES62" s="621"/>
      <c r="ET62" s="621"/>
      <c r="EU62" s="621"/>
      <c r="EV62" s="621"/>
      <c r="EW62" s="621"/>
      <c r="EX62" s="621"/>
      <c r="EY62" s="621"/>
      <c r="EZ62" s="621"/>
      <c r="FA62" s="621"/>
      <c r="FB62" s="621"/>
      <c r="FC62" s="621"/>
      <c r="FD62" s="621"/>
      <c r="FE62" s="621"/>
      <c r="FF62" s="621"/>
      <c r="FG62" s="621"/>
      <c r="FH62" s="621"/>
      <c r="FI62" s="621"/>
      <c r="FJ62" s="621"/>
      <c r="FK62" s="621"/>
      <c r="FL62" s="621"/>
      <c r="FM62" s="621"/>
      <c r="FN62" s="621"/>
      <c r="FO62" s="621"/>
      <c r="FP62" s="621"/>
      <c r="FQ62" s="621"/>
      <c r="FR62" s="621"/>
      <c r="FS62" s="621"/>
      <c r="FT62" s="621"/>
      <c r="FU62" s="621"/>
      <c r="FV62" s="621"/>
      <c r="FW62" s="621"/>
      <c r="FX62" s="621"/>
      <c r="FY62" s="621"/>
      <c r="FZ62" s="621"/>
      <c r="GA62" s="621"/>
      <c r="GB62" s="621"/>
      <c r="GC62" s="621"/>
      <c r="GD62" s="621"/>
      <c r="GE62" s="621"/>
      <c r="GF62" s="621"/>
      <c r="GG62" s="621"/>
      <c r="GH62" s="621"/>
      <c r="GI62" s="621"/>
      <c r="GJ62" s="621"/>
      <c r="GK62" s="621"/>
      <c r="GL62" s="621"/>
      <c r="GM62" s="621"/>
      <c r="GN62" s="621"/>
      <c r="GO62" s="621"/>
      <c r="GP62" s="621"/>
      <c r="GQ62" s="621"/>
      <c r="GR62" s="621"/>
      <c r="GS62" s="621"/>
      <c r="GT62" s="621"/>
      <c r="GU62" s="621"/>
      <c r="GV62" s="621"/>
      <c r="GW62" s="621"/>
      <c r="GX62" s="621"/>
      <c r="GY62" s="621"/>
      <c r="GZ62" s="621"/>
      <c r="HA62" s="621"/>
      <c r="HB62" s="621"/>
      <c r="HC62" s="621"/>
      <c r="HD62" s="621"/>
      <c r="HE62" s="621"/>
      <c r="HF62" s="621"/>
      <c r="HG62" s="621"/>
      <c r="HH62" s="621"/>
      <c r="HI62" s="621"/>
      <c r="HJ62" s="621"/>
      <c r="HK62" s="621"/>
      <c r="HL62" s="621"/>
      <c r="HM62" s="621"/>
      <c r="HN62" s="621"/>
      <c r="HO62" s="621"/>
      <c r="HP62" s="621"/>
      <c r="HQ62" s="621"/>
      <c r="HR62" s="621"/>
      <c r="HS62" s="621"/>
      <c r="HT62" s="621"/>
      <c r="HU62" s="621"/>
      <c r="HV62" s="621"/>
      <c r="HW62" s="621"/>
      <c r="HX62" s="621"/>
      <c r="HY62" s="621"/>
      <c r="HZ62" s="621"/>
      <c r="IA62" s="621"/>
      <c r="IB62" s="621"/>
      <c r="IC62" s="621"/>
      <c r="ID62" s="621"/>
      <c r="IE62" s="621"/>
      <c r="IF62" s="621"/>
      <c r="IG62" s="621"/>
      <c r="IH62" s="621"/>
      <c r="II62" s="621"/>
      <c r="IJ62" s="621"/>
      <c r="IK62" s="621"/>
      <c r="IL62" s="621"/>
      <c r="IM62" s="621"/>
      <c r="IN62" s="621"/>
      <c r="IO62" s="621"/>
      <c r="IP62" s="621"/>
      <c r="IQ62" s="621"/>
      <c r="IR62" s="621"/>
      <c r="IS62" s="621"/>
      <c r="IT62" s="621"/>
      <c r="IU62" s="621"/>
      <c r="IV62" s="621"/>
      <c r="IW62" s="621"/>
      <c r="IX62" s="621"/>
      <c r="IY62" s="621"/>
      <c r="IZ62" s="621"/>
      <c r="JA62" s="621"/>
      <c r="JB62" s="621"/>
      <c r="JC62" s="621"/>
      <c r="JD62" s="621"/>
      <c r="JE62" s="621"/>
      <c r="JF62" s="621"/>
      <c r="JG62" s="621"/>
      <c r="JH62" s="621"/>
      <c r="JI62" s="621"/>
      <c r="JJ62" s="621"/>
      <c r="JK62" s="621"/>
      <c r="JL62" s="621"/>
      <c r="JM62" s="621"/>
      <c r="JN62" s="621"/>
      <c r="JO62" s="621"/>
      <c r="JP62" s="621"/>
      <c r="JQ62" s="621"/>
      <c r="JR62" s="621"/>
      <c r="JS62" s="621"/>
      <c r="JT62" s="621"/>
      <c r="JU62" s="621"/>
      <c r="JV62" s="621"/>
      <c r="JW62" s="621"/>
      <c r="JX62" s="621"/>
      <c r="JY62" s="621"/>
      <c r="JZ62" s="621"/>
      <c r="KA62" s="621"/>
      <c r="KB62" s="621"/>
      <c r="KC62" s="621"/>
      <c r="KD62" s="621"/>
      <c r="KE62" s="621"/>
      <c r="KF62" s="621"/>
      <c r="KG62" s="621"/>
      <c r="KH62" s="621"/>
      <c r="KI62" s="621"/>
      <c r="KJ62" s="621"/>
      <c r="KK62" s="621"/>
      <c r="KL62" s="621"/>
      <c r="KM62" s="621"/>
      <c r="KN62" s="621"/>
      <c r="KO62" s="621"/>
      <c r="KP62" s="621"/>
      <c r="KQ62" s="621"/>
      <c r="KR62" s="621"/>
      <c r="KS62" s="621"/>
      <c r="KT62" s="621"/>
      <c r="KU62" s="621"/>
      <c r="KV62" s="621"/>
      <c r="KW62" s="621"/>
      <c r="KX62" s="621"/>
      <c r="KY62" s="621"/>
      <c r="KZ62" s="621"/>
      <c r="LA62" s="621"/>
      <c r="LB62" s="621"/>
      <c r="LC62" s="621"/>
      <c r="LD62" s="621"/>
      <c r="LE62" s="621"/>
      <c r="LF62" s="621"/>
      <c r="LG62" s="621"/>
      <c r="LH62" s="621"/>
      <c r="LI62" s="621"/>
      <c r="LJ62" s="621"/>
      <c r="LK62" s="621"/>
      <c r="LL62" s="621"/>
      <c r="LM62" s="621"/>
      <c r="LN62" s="621"/>
      <c r="LO62" s="621"/>
      <c r="LP62" s="621"/>
      <c r="LQ62" s="621"/>
      <c r="LR62" s="621"/>
      <c r="LS62" s="621"/>
      <c r="LT62" s="621"/>
      <c r="LU62" s="621"/>
      <c r="LV62" s="621"/>
      <c r="LW62" s="621"/>
      <c r="LX62" s="621"/>
      <c r="LY62" s="621"/>
      <c r="LZ62" s="621"/>
      <c r="MA62" s="621"/>
      <c r="MB62" s="621"/>
      <c r="MC62" s="621"/>
      <c r="MD62" s="621"/>
      <c r="ME62" s="621"/>
      <c r="MF62" s="621"/>
      <c r="MG62" s="621"/>
      <c r="MH62" s="621"/>
      <c r="MI62" s="621"/>
      <c r="MJ62" s="621"/>
      <c r="MK62" s="621"/>
      <c r="ML62" s="621"/>
      <c r="MM62" s="621"/>
      <c r="MN62" s="621"/>
      <c r="MO62" s="621"/>
      <c r="MP62" s="621"/>
      <c r="MQ62" s="621"/>
      <c r="MR62" s="621"/>
      <c r="MS62" s="621"/>
      <c r="MT62" s="621"/>
      <c r="MU62" s="621"/>
      <c r="MV62" s="621"/>
      <c r="MW62" s="621"/>
      <c r="MX62" s="621"/>
      <c r="MY62" s="621"/>
      <c r="MZ62" s="621"/>
      <c r="NA62" s="621"/>
      <c r="NB62" s="621"/>
      <c r="NC62" s="621"/>
      <c r="ND62" s="621"/>
      <c r="NE62" s="621"/>
      <c r="NF62" s="621"/>
      <c r="NG62" s="621"/>
      <c r="NH62" s="621"/>
      <c r="NI62" s="621"/>
      <c r="NJ62" s="621"/>
      <c r="NK62" s="621"/>
      <c r="NL62" s="621"/>
      <c r="NM62" s="621"/>
      <c r="NN62" s="621"/>
      <c r="NO62" s="621"/>
      <c r="NP62" s="621"/>
      <c r="NQ62" s="621"/>
      <c r="NR62" s="621"/>
      <c r="NS62" s="621"/>
      <c r="NT62" s="621"/>
      <c r="NU62" s="621"/>
      <c r="NV62" s="621"/>
      <c r="NW62" s="621"/>
      <c r="NX62" s="621"/>
      <c r="NY62" s="621"/>
      <c r="NZ62" s="621"/>
      <c r="OA62" s="621"/>
      <c r="OB62" s="621"/>
      <c r="OC62" s="621"/>
      <c r="OD62" s="621"/>
      <c r="OE62" s="621"/>
      <c r="OF62" s="621"/>
      <c r="OG62" s="621"/>
      <c r="OH62" s="621"/>
      <c r="OI62" s="621"/>
      <c r="OJ62" s="621"/>
      <c r="OK62" s="621"/>
      <c r="OL62" s="621"/>
      <c r="OM62" s="621"/>
      <c r="ON62" s="621"/>
      <c r="OO62" s="621"/>
      <c r="OP62" s="621"/>
      <c r="OQ62" s="621"/>
      <c r="OR62" s="621"/>
      <c r="OS62" s="621"/>
      <c r="OT62" s="621"/>
      <c r="OU62" s="621"/>
      <c r="OV62" s="621"/>
      <c r="OW62" s="621"/>
      <c r="OX62" s="621"/>
      <c r="OY62" s="621"/>
      <c r="OZ62" s="621"/>
      <c r="PA62" s="621"/>
      <c r="PB62" s="621"/>
      <c r="PC62" s="621"/>
      <c r="PD62" s="621"/>
      <c r="PE62" s="621"/>
      <c r="PF62" s="621"/>
      <c r="PG62" s="621"/>
      <c r="PH62" s="621"/>
      <c r="PI62" s="621"/>
      <c r="PJ62" s="621"/>
      <c r="PK62" s="621"/>
      <c r="PL62" s="621"/>
      <c r="PM62" s="621"/>
      <c r="PN62" s="621"/>
      <c r="PO62" s="621"/>
      <c r="PP62" s="621"/>
      <c r="PQ62" s="621"/>
      <c r="PR62" s="621"/>
      <c r="PS62" s="621"/>
      <c r="PT62" s="621"/>
      <c r="PU62" s="621"/>
      <c r="PV62" s="621"/>
      <c r="PW62" s="621"/>
      <c r="PX62" s="621"/>
      <c r="PY62" s="621"/>
      <c r="PZ62" s="621"/>
      <c r="QA62" s="621"/>
      <c r="QB62" s="621"/>
      <c r="QC62" s="621"/>
      <c r="QD62" s="621"/>
      <c r="QE62" s="621"/>
      <c r="QF62" s="621"/>
      <c r="QG62" s="621"/>
      <c r="QH62" s="621"/>
      <c r="QI62" s="621"/>
      <c r="QJ62" s="621"/>
      <c r="QK62" s="621"/>
      <c r="QL62" s="621"/>
      <c r="QM62" s="621"/>
      <c r="QN62" s="621"/>
      <c r="QO62" s="621"/>
      <c r="QP62" s="621"/>
      <c r="QQ62" s="621"/>
      <c r="QR62" s="621"/>
      <c r="QS62" s="621"/>
      <c r="QT62" s="621"/>
      <c r="QU62" s="621"/>
      <c r="QV62" s="621"/>
      <c r="QW62" s="621"/>
      <c r="QX62" s="621"/>
      <c r="QY62" s="621"/>
      <c r="QZ62" s="621"/>
      <c r="RA62" s="621"/>
      <c r="RB62" s="621"/>
      <c r="RC62" s="621"/>
      <c r="RD62" s="621"/>
      <c r="RE62" s="621"/>
      <c r="RF62" s="621"/>
      <c r="RG62" s="621"/>
      <c r="RH62" s="621"/>
      <c r="RI62" s="621"/>
      <c r="RJ62" s="621"/>
      <c r="RK62" s="621"/>
      <c r="RL62" s="621"/>
      <c r="RM62" s="621"/>
      <c r="RN62" s="621"/>
      <c r="RO62" s="621"/>
      <c r="RP62" s="621"/>
      <c r="RQ62" s="621"/>
      <c r="RR62" s="621"/>
      <c r="RS62" s="621"/>
      <c r="RT62" s="621"/>
      <c r="RU62" s="621"/>
      <c r="RV62" s="621"/>
      <c r="RW62" s="621"/>
      <c r="RX62" s="621"/>
      <c r="RY62" s="621"/>
      <c r="RZ62" s="621"/>
      <c r="SA62" s="621"/>
      <c r="SB62" s="621"/>
      <c r="SC62" s="621"/>
      <c r="SD62" s="621"/>
      <c r="SE62" s="621"/>
      <c r="SF62" s="621"/>
      <c r="SG62" s="621"/>
      <c r="SH62" s="621"/>
      <c r="SI62" s="621"/>
      <c r="SJ62" s="621"/>
      <c r="SK62" s="621"/>
      <c r="SL62" s="621"/>
      <c r="SM62" s="621"/>
      <c r="SN62" s="621"/>
      <c r="SO62" s="621"/>
      <c r="SP62" s="621"/>
      <c r="SQ62" s="621"/>
      <c r="SR62" s="621"/>
      <c r="SS62" s="621"/>
      <c r="ST62" s="621"/>
      <c r="SU62" s="621"/>
      <c r="SV62" s="621"/>
      <c r="SW62" s="621"/>
      <c r="SX62" s="621"/>
      <c r="SY62" s="621"/>
      <c r="SZ62" s="621"/>
      <c r="TA62" s="621"/>
      <c r="TB62" s="621"/>
      <c r="TC62" s="621"/>
      <c r="TD62" s="621"/>
      <c r="TE62" s="621"/>
      <c r="TF62" s="621"/>
      <c r="TG62" s="621"/>
      <c r="TH62" s="621"/>
      <c r="TI62" s="621"/>
      <c r="TJ62" s="621"/>
      <c r="TK62" s="621"/>
      <c r="TL62" s="621"/>
      <c r="TM62" s="621"/>
      <c r="TN62" s="621"/>
      <c r="TO62" s="621"/>
      <c r="TP62" s="621"/>
      <c r="TQ62" s="621"/>
      <c r="TR62" s="621"/>
      <c r="TS62" s="621"/>
      <c r="TT62" s="621"/>
      <c r="TU62" s="621"/>
      <c r="TV62" s="621"/>
      <c r="TW62" s="621"/>
      <c r="TX62" s="621"/>
      <c r="TY62" s="621"/>
      <c r="TZ62" s="621"/>
      <c r="UA62" s="621"/>
      <c r="UB62" s="621"/>
      <c r="UC62" s="621"/>
      <c r="UD62" s="621"/>
      <c r="UE62" s="621"/>
      <c r="UF62" s="621"/>
      <c r="UG62" s="621"/>
      <c r="UH62" s="621"/>
      <c r="UI62" s="621"/>
      <c r="UJ62" s="621"/>
      <c r="UK62" s="621"/>
      <c r="UL62" s="621"/>
      <c r="UM62" s="621"/>
      <c r="UN62" s="621"/>
      <c r="UO62" s="621"/>
      <c r="UP62" s="621"/>
      <c r="UQ62" s="621"/>
      <c r="UR62" s="621"/>
      <c r="US62" s="621"/>
      <c r="UT62" s="621"/>
      <c r="UU62" s="621"/>
      <c r="UV62" s="621"/>
      <c r="UW62" s="621"/>
      <c r="UX62" s="621"/>
      <c r="UY62" s="621"/>
      <c r="UZ62" s="621"/>
      <c r="VA62" s="621"/>
      <c r="VB62" s="621"/>
      <c r="VC62" s="621"/>
      <c r="VD62" s="621"/>
      <c r="VE62" s="621"/>
      <c r="VF62" s="621"/>
      <c r="VG62" s="621"/>
      <c r="VH62" s="621"/>
      <c r="VI62" s="621"/>
      <c r="VJ62" s="621"/>
      <c r="VK62" s="621"/>
      <c r="VL62" s="621"/>
      <c r="VM62" s="621"/>
      <c r="VN62" s="621"/>
      <c r="VO62" s="621"/>
      <c r="VP62" s="621"/>
      <c r="VQ62" s="621"/>
      <c r="VR62" s="621"/>
      <c r="VS62" s="621"/>
      <c r="VT62" s="621"/>
      <c r="VU62" s="621"/>
      <c r="VV62" s="621"/>
      <c r="VW62" s="621"/>
      <c r="VX62" s="621"/>
      <c r="VY62" s="621"/>
      <c r="VZ62" s="621"/>
      <c r="WA62" s="621"/>
      <c r="WB62" s="621"/>
      <c r="WC62" s="621"/>
      <c r="WD62" s="621"/>
      <c r="WE62" s="621"/>
      <c r="WF62" s="621"/>
      <c r="WG62" s="621"/>
      <c r="WH62" s="621"/>
      <c r="WI62" s="621"/>
      <c r="WJ62" s="621"/>
      <c r="WK62" s="621"/>
      <c r="WL62" s="621"/>
      <c r="WM62" s="621"/>
      <c r="WN62" s="621"/>
      <c r="WO62" s="621"/>
      <c r="WP62" s="621"/>
      <c r="WQ62" s="621"/>
      <c r="WR62" s="621"/>
      <c r="WS62" s="621"/>
      <c r="WT62" s="621"/>
      <c r="WU62" s="621"/>
      <c r="WV62" s="621"/>
      <c r="WW62" s="621"/>
      <c r="WX62" s="621"/>
      <c r="WY62" s="621"/>
      <c r="WZ62" s="621"/>
      <c r="XA62" s="621"/>
      <c r="XB62" s="621"/>
      <c r="XC62" s="621"/>
      <c r="XD62" s="621"/>
      <c r="XE62" s="621"/>
      <c r="XF62" s="621"/>
      <c r="XG62" s="621"/>
      <c r="XH62" s="621"/>
      <c r="XI62" s="621"/>
      <c r="XJ62" s="621"/>
      <c r="XK62" s="621"/>
      <c r="XL62" s="621"/>
      <c r="XM62" s="621"/>
      <c r="XN62" s="621"/>
      <c r="XO62" s="621"/>
      <c r="XP62" s="621"/>
      <c r="XQ62" s="621"/>
      <c r="XR62" s="621"/>
      <c r="XS62" s="621"/>
      <c r="XT62" s="621"/>
      <c r="XU62" s="621"/>
      <c r="XV62" s="621"/>
      <c r="XW62" s="621"/>
      <c r="XX62" s="621"/>
      <c r="XY62" s="621"/>
      <c r="XZ62" s="621"/>
      <c r="YA62" s="621"/>
      <c r="YB62" s="621"/>
      <c r="YC62" s="621"/>
      <c r="YD62" s="621"/>
      <c r="YE62" s="621"/>
      <c r="YF62" s="621"/>
      <c r="YG62" s="621"/>
      <c r="YH62" s="621"/>
      <c r="YI62" s="621"/>
      <c r="YJ62" s="621"/>
      <c r="YK62" s="621"/>
      <c r="YL62" s="621"/>
      <c r="YM62" s="621"/>
      <c r="YN62" s="621"/>
      <c r="YO62" s="621"/>
      <c r="YP62" s="621"/>
      <c r="YQ62" s="621"/>
      <c r="YR62" s="621"/>
      <c r="YS62" s="621"/>
      <c r="YT62" s="621"/>
      <c r="YU62" s="621"/>
      <c r="YV62" s="621"/>
      <c r="YW62" s="621"/>
      <c r="YX62" s="621"/>
      <c r="YY62" s="621"/>
      <c r="YZ62" s="621"/>
      <c r="ZA62" s="621"/>
      <c r="ZB62" s="621"/>
      <c r="ZC62" s="621"/>
      <c r="ZD62" s="621"/>
      <c r="ZE62" s="621"/>
      <c r="ZF62" s="621"/>
      <c r="ZG62" s="621"/>
      <c r="ZH62" s="621"/>
      <c r="ZI62" s="621"/>
      <c r="ZJ62" s="621"/>
      <c r="ZK62" s="621"/>
      <c r="ZL62" s="621"/>
      <c r="ZM62" s="621"/>
      <c r="ZN62" s="621"/>
      <c r="ZO62" s="621"/>
      <c r="ZP62" s="621"/>
      <c r="ZQ62" s="621"/>
      <c r="ZR62" s="621"/>
      <c r="ZS62" s="621"/>
      <c r="ZT62" s="621"/>
      <c r="ZU62" s="621"/>
      <c r="ZV62" s="621"/>
      <c r="ZW62" s="621"/>
      <c r="ZX62" s="621"/>
      <c r="ZY62" s="621"/>
      <c r="ZZ62" s="621"/>
      <c r="AAA62" s="621"/>
      <c r="AAB62" s="621"/>
      <c r="AAC62" s="621"/>
      <c r="AAD62" s="621"/>
      <c r="AAE62" s="621"/>
      <c r="AAF62" s="621"/>
      <c r="AAG62" s="621"/>
      <c r="AAH62" s="621"/>
      <c r="AAI62" s="621"/>
      <c r="AAJ62" s="621"/>
      <c r="AAK62" s="621"/>
      <c r="AAL62" s="621"/>
      <c r="AAM62" s="621"/>
      <c r="AAN62" s="621"/>
      <c r="AAO62" s="621"/>
      <c r="AAP62" s="621"/>
      <c r="AAQ62" s="621"/>
      <c r="AAR62" s="621"/>
      <c r="AAS62" s="621"/>
      <c r="AAT62" s="621"/>
      <c r="AAU62" s="621"/>
      <c r="AAV62" s="621"/>
      <c r="AAW62" s="621"/>
      <c r="AAX62" s="621"/>
      <c r="AAY62" s="621"/>
      <c r="AAZ62" s="621"/>
      <c r="ABA62" s="621"/>
      <c r="ABB62" s="621"/>
      <c r="ABC62" s="621"/>
      <c r="ABD62" s="621"/>
      <c r="ABE62" s="621"/>
      <c r="ABF62" s="621"/>
      <c r="ABG62" s="621"/>
      <c r="ABH62" s="621"/>
      <c r="ABI62" s="621"/>
      <c r="ABJ62" s="621"/>
      <c r="ABK62" s="621"/>
      <c r="ABL62" s="621"/>
      <c r="ABM62" s="621"/>
      <c r="ABN62" s="621"/>
      <c r="ABO62" s="621"/>
      <c r="ABP62" s="621"/>
      <c r="ABQ62" s="621"/>
      <c r="ABR62" s="621"/>
      <c r="ABS62" s="621"/>
      <c r="ABT62" s="621"/>
      <c r="ABU62" s="621"/>
      <c r="ABV62" s="621"/>
      <c r="ABW62" s="621"/>
      <c r="ABX62" s="621"/>
      <c r="ABY62" s="621"/>
      <c r="ABZ62" s="621"/>
      <c r="ACA62" s="621"/>
      <c r="ACB62" s="621"/>
      <c r="ACC62" s="621"/>
      <c r="ACD62" s="621"/>
      <c r="ACE62" s="621"/>
      <c r="ACF62" s="621"/>
      <c r="ACG62" s="621"/>
      <c r="ACH62" s="621"/>
      <c r="ACI62" s="621"/>
      <c r="ACJ62" s="621"/>
      <c r="ACK62" s="621"/>
      <c r="ACL62" s="621"/>
      <c r="ACM62" s="621"/>
      <c r="ACN62" s="621"/>
      <c r="ACO62" s="621"/>
      <c r="ACP62" s="621"/>
      <c r="ACQ62" s="621"/>
      <c r="ACR62" s="621"/>
      <c r="ACS62" s="621"/>
      <c r="ACT62" s="621"/>
      <c r="ACU62" s="621"/>
      <c r="ACV62" s="621"/>
      <c r="ACW62" s="621"/>
      <c r="ACX62" s="621"/>
      <c r="ACY62" s="621"/>
      <c r="ACZ62" s="621"/>
      <c r="ADA62" s="621"/>
      <c r="ADB62" s="621"/>
      <c r="ADC62" s="621"/>
      <c r="ADD62" s="621"/>
      <c r="ADE62" s="621"/>
      <c r="ADF62" s="621"/>
      <c r="ADG62" s="621"/>
      <c r="ADH62" s="621"/>
      <c r="ADI62" s="621"/>
      <c r="ADJ62" s="621"/>
      <c r="ADK62" s="621"/>
      <c r="ADL62" s="621"/>
      <c r="ADM62" s="621"/>
      <c r="ADN62" s="621"/>
      <c r="ADO62" s="621"/>
      <c r="ADP62" s="621"/>
      <c r="ADQ62" s="621"/>
      <c r="ADR62" s="621"/>
      <c r="ADS62" s="621"/>
      <c r="ADT62" s="621"/>
      <c r="ADU62" s="621"/>
      <c r="ADV62" s="621"/>
      <c r="ADW62" s="621"/>
      <c r="ADX62" s="621"/>
      <c r="ADY62" s="621"/>
      <c r="ADZ62" s="621"/>
      <c r="AEA62" s="621"/>
      <c r="AEB62" s="621"/>
      <c r="AEC62" s="621"/>
      <c r="AED62" s="621"/>
      <c r="AEE62" s="621"/>
      <c r="AEF62" s="621"/>
      <c r="AEG62" s="621"/>
      <c r="AEH62" s="621"/>
      <c r="AEI62" s="621"/>
      <c r="AEJ62" s="621"/>
      <c r="AEK62" s="621"/>
      <c r="AEL62" s="621"/>
      <c r="AEM62" s="621"/>
      <c r="AEN62" s="621"/>
      <c r="AEO62" s="621"/>
      <c r="AEP62" s="621"/>
      <c r="AEQ62" s="621"/>
      <c r="AER62" s="621"/>
      <c r="AES62" s="621"/>
      <c r="AET62" s="621"/>
      <c r="AEU62" s="621"/>
      <c r="AEV62" s="621"/>
      <c r="AEW62" s="621"/>
      <c r="AEX62" s="621"/>
      <c r="AEY62" s="621"/>
      <c r="AEZ62" s="621"/>
      <c r="AFA62" s="621"/>
      <c r="AFB62" s="621"/>
      <c r="AFC62" s="621"/>
      <c r="AFD62" s="621"/>
      <c r="AFE62" s="621"/>
      <c r="AFF62" s="621"/>
      <c r="AFG62" s="621"/>
      <c r="AFH62" s="621"/>
      <c r="AFI62" s="621"/>
      <c r="AFJ62" s="621"/>
      <c r="AFK62" s="621"/>
      <c r="AFL62" s="621"/>
      <c r="AFM62" s="621"/>
      <c r="AFN62" s="621"/>
      <c r="AFO62" s="621"/>
      <c r="AFP62" s="621"/>
      <c r="AFQ62" s="621"/>
      <c r="AFR62" s="621"/>
      <c r="AFS62" s="621"/>
      <c r="AFT62" s="621"/>
      <c r="AFU62" s="621"/>
      <c r="AFV62" s="621"/>
      <c r="AFW62" s="621"/>
      <c r="AFX62" s="621"/>
      <c r="AFY62" s="621"/>
      <c r="AFZ62" s="621"/>
      <c r="AGA62" s="621"/>
      <c r="AGB62" s="621"/>
      <c r="AGC62" s="621"/>
      <c r="AGD62" s="621"/>
      <c r="AGE62" s="621"/>
      <c r="AGF62" s="621"/>
      <c r="AGG62" s="621"/>
      <c r="AGH62" s="621"/>
      <c r="AGI62" s="621"/>
      <c r="AGJ62" s="621"/>
      <c r="AGK62" s="621"/>
      <c r="AGL62" s="621"/>
      <c r="AGM62" s="621"/>
      <c r="AGN62" s="621"/>
      <c r="AGO62" s="621"/>
      <c r="AGP62" s="621"/>
      <c r="AGQ62" s="621"/>
      <c r="AGR62" s="621"/>
      <c r="AGS62" s="621"/>
      <c r="AGT62" s="621"/>
      <c r="AGU62" s="621"/>
      <c r="AGV62" s="621"/>
      <c r="AGW62" s="621"/>
      <c r="AGX62" s="621"/>
      <c r="AGY62" s="621"/>
      <c r="AGZ62" s="621"/>
      <c r="AHA62" s="621"/>
      <c r="AHB62" s="621"/>
      <c r="AHC62" s="621"/>
      <c r="AHD62" s="621"/>
      <c r="AHE62" s="621"/>
      <c r="AHF62" s="621"/>
      <c r="AHG62" s="621"/>
      <c r="AHH62" s="621"/>
      <c r="AHI62" s="621"/>
      <c r="AHJ62" s="621"/>
      <c r="AHK62" s="621"/>
      <c r="AHL62" s="621"/>
      <c r="AHM62" s="621"/>
      <c r="AHN62" s="621"/>
      <c r="AHO62" s="621"/>
      <c r="AHP62" s="621"/>
      <c r="AHQ62" s="621"/>
      <c r="AHR62" s="621"/>
      <c r="AHS62" s="621"/>
      <c r="AHT62" s="621"/>
      <c r="AHU62" s="621"/>
      <c r="AHV62" s="621"/>
      <c r="AHW62" s="621"/>
      <c r="AHX62" s="621"/>
      <c r="AHY62" s="621"/>
      <c r="AHZ62" s="621"/>
      <c r="AIA62" s="621"/>
      <c r="AIB62" s="621"/>
      <c r="AIC62" s="621"/>
      <c r="AID62" s="621"/>
      <c r="AIE62" s="621"/>
      <c r="AIF62" s="621"/>
      <c r="AIG62" s="621"/>
      <c r="AIH62" s="621"/>
      <c r="AII62" s="621"/>
      <c r="AIJ62" s="621"/>
      <c r="AIK62" s="621"/>
      <c r="AIL62" s="621"/>
      <c r="AIM62" s="621"/>
      <c r="AIN62" s="621"/>
      <c r="AIO62" s="621"/>
      <c r="AIP62" s="621"/>
      <c r="AIQ62" s="621"/>
      <c r="AIR62" s="621"/>
      <c r="AIS62" s="621"/>
      <c r="AIT62" s="621"/>
      <c r="AIU62" s="621"/>
      <c r="AIV62" s="621"/>
      <c r="AIW62" s="621"/>
      <c r="AIX62" s="621"/>
      <c r="AIY62" s="621"/>
      <c r="AIZ62" s="621"/>
      <c r="AJA62" s="621"/>
      <c r="AJB62" s="621"/>
      <c r="AJC62" s="621"/>
      <c r="AJD62" s="621"/>
      <c r="AJE62" s="621"/>
      <c r="AJF62" s="621"/>
      <c r="AJG62" s="621"/>
      <c r="AJH62" s="621"/>
      <c r="AJI62" s="621"/>
      <c r="AJJ62" s="621"/>
      <c r="AJK62" s="621"/>
      <c r="AJL62" s="621"/>
      <c r="AJM62" s="621"/>
      <c r="AJN62" s="621"/>
      <c r="AJO62" s="621"/>
      <c r="AJP62" s="621"/>
      <c r="AJQ62" s="621"/>
      <c r="AJR62" s="621"/>
      <c r="AJS62" s="621"/>
      <c r="AJT62" s="621"/>
      <c r="AJU62" s="621"/>
      <c r="AJV62" s="621"/>
      <c r="AJW62" s="621"/>
      <c r="AJX62" s="621"/>
      <c r="AJY62" s="621"/>
      <c r="AJZ62" s="621"/>
      <c r="AKA62" s="621"/>
      <c r="AKB62" s="621"/>
      <c r="AKC62" s="621"/>
      <c r="AKD62" s="621"/>
      <c r="AKE62" s="621"/>
      <c r="AKF62" s="621"/>
      <c r="AKG62" s="621"/>
      <c r="AKH62" s="621"/>
      <c r="AKI62" s="621"/>
      <c r="AKJ62" s="621"/>
      <c r="AKK62" s="621"/>
      <c r="AKL62" s="621"/>
      <c r="AKM62" s="621"/>
      <c r="AKN62" s="621"/>
      <c r="AKO62" s="621"/>
      <c r="AKP62" s="621"/>
      <c r="AKQ62" s="621"/>
      <c r="AKR62" s="621"/>
      <c r="AKS62" s="621"/>
      <c r="AKT62" s="621"/>
      <c r="AKU62" s="621"/>
      <c r="AKV62" s="621"/>
      <c r="AKW62" s="621"/>
      <c r="AKX62" s="621"/>
      <c r="AKY62" s="621"/>
      <c r="AKZ62" s="621"/>
      <c r="ALA62" s="621"/>
      <c r="ALB62" s="621"/>
      <c r="ALC62" s="621"/>
      <c r="ALD62" s="621"/>
      <c r="ALE62" s="621"/>
      <c r="ALF62" s="621"/>
      <c r="ALG62" s="621"/>
      <c r="ALH62" s="621"/>
      <c r="ALI62" s="621"/>
      <c r="ALJ62" s="621"/>
      <c r="ALK62" s="621"/>
      <c r="ALL62" s="621"/>
      <c r="ALM62" s="621"/>
      <c r="ALN62" s="621"/>
      <c r="ALO62" s="621"/>
      <c r="ALP62" s="621"/>
      <c r="ALQ62" s="621"/>
      <c r="ALR62" s="621"/>
      <c r="ALS62" s="621"/>
      <c r="ALT62" s="621"/>
      <c r="ALU62" s="621"/>
      <c r="ALV62" s="621"/>
      <c r="ALW62" s="621"/>
      <c r="ALX62" s="621"/>
      <c r="ALY62" s="621"/>
      <c r="ALZ62" s="621"/>
      <c r="AMA62" s="621"/>
      <c r="AMB62" s="621"/>
      <c r="AMC62" s="621"/>
      <c r="AMD62" s="621"/>
      <c r="AME62" s="621"/>
      <c r="AMF62" s="621"/>
      <c r="AMG62" s="621"/>
      <c r="AMH62" s="621"/>
      <c r="AMI62" s="621"/>
      <c r="AMJ62" s="621"/>
      <c r="AMK62" s="621"/>
    </row>
    <row r="63" spans="1:1025" ht="25.5" customHeight="1">
      <c r="A63" s="459" t="s">
        <v>353</v>
      </c>
      <c r="B63" s="448" t="s">
        <v>401</v>
      </c>
      <c r="C63" s="376">
        <f>D63*1.1</f>
        <v>138846.31200000001</v>
      </c>
      <c r="D63" s="377">
        <f>G16</f>
        <v>126223.92</v>
      </c>
      <c r="E63" s="2043"/>
      <c r="F63" s="2043"/>
      <c r="G63" s="392"/>
      <c r="H63" s="429"/>
      <c r="I63" s="1497"/>
      <c r="J63" s="1495">
        <v>0</v>
      </c>
      <c r="K63" s="1472"/>
      <c r="L63" s="413"/>
      <c r="M63" s="1495"/>
      <c r="N63" s="272"/>
      <c r="O63" s="272"/>
      <c r="P63" s="272"/>
      <c r="T63" s="397"/>
      <c r="U63" s="397"/>
      <c r="V63" s="452"/>
      <c r="W63" s="452"/>
      <c r="X63" s="452"/>
      <c r="Y63" s="397"/>
      <c r="Z63" s="397"/>
      <c r="AA63" s="397"/>
      <c r="AE63" s="1471"/>
      <c r="AF63" s="1493" t="s">
        <v>200</v>
      </c>
      <c r="AG63" s="1494">
        <v>3</v>
      </c>
      <c r="AH63" s="1494">
        <v>8</v>
      </c>
      <c r="AI63" s="1494">
        <v>6</v>
      </c>
      <c r="AJ63" s="1494">
        <f t="shared" si="11"/>
        <v>144</v>
      </c>
      <c r="AK63" s="1494">
        <v>10</v>
      </c>
      <c r="AL63" s="1494">
        <f t="shared" si="12"/>
        <v>1440</v>
      </c>
      <c r="AM63" s="1475">
        <f t="shared" si="13"/>
        <v>13752.000000000002</v>
      </c>
      <c r="AN63" s="1493">
        <v>120</v>
      </c>
      <c r="AO63" s="1475">
        <f t="shared" si="14"/>
        <v>17280</v>
      </c>
      <c r="AP63" s="289"/>
      <c r="AQ63" s="621"/>
      <c r="AR63" s="621"/>
      <c r="AS63" s="621"/>
      <c r="AT63" s="621"/>
      <c r="AU63" s="621"/>
      <c r="AV63" s="621"/>
      <c r="AW63" s="621"/>
      <c r="AX63" s="621"/>
      <c r="AY63" s="621"/>
      <c r="AZ63" s="621"/>
      <c r="BA63" s="621"/>
      <c r="BB63" s="621"/>
      <c r="BC63" s="621"/>
      <c r="BD63" s="621"/>
      <c r="BE63" s="621"/>
      <c r="BF63" s="621"/>
      <c r="BG63" s="621"/>
      <c r="BH63" s="621"/>
      <c r="BI63" s="621"/>
      <c r="BJ63" s="621"/>
      <c r="BK63" s="621"/>
      <c r="BL63" s="621"/>
      <c r="BM63" s="621"/>
      <c r="BN63" s="621"/>
      <c r="BO63" s="621"/>
      <c r="BP63" s="621"/>
      <c r="BQ63" s="621"/>
      <c r="BR63" s="621"/>
      <c r="BS63" s="621"/>
      <c r="BT63" s="621"/>
      <c r="BU63" s="621"/>
      <c r="BV63" s="621"/>
      <c r="BW63" s="621"/>
      <c r="BX63" s="621"/>
      <c r="BY63" s="621"/>
      <c r="BZ63" s="621"/>
      <c r="CA63" s="621"/>
      <c r="CB63" s="621"/>
      <c r="CC63" s="621"/>
      <c r="CD63" s="621"/>
      <c r="CE63" s="621"/>
      <c r="CF63" s="621"/>
      <c r="CG63" s="621"/>
      <c r="CH63" s="621"/>
      <c r="CI63" s="621"/>
      <c r="CJ63" s="621"/>
      <c r="CK63" s="621"/>
      <c r="CL63" s="621"/>
      <c r="CM63" s="621"/>
      <c r="CN63" s="621"/>
      <c r="CO63" s="621"/>
      <c r="CP63" s="621"/>
      <c r="CQ63" s="621"/>
      <c r="CR63" s="621"/>
      <c r="CS63" s="621"/>
      <c r="CT63" s="621"/>
      <c r="CU63" s="621"/>
      <c r="CV63" s="621"/>
      <c r="CW63" s="621"/>
      <c r="CX63" s="621"/>
      <c r="CY63" s="621"/>
      <c r="CZ63" s="621"/>
      <c r="DA63" s="621"/>
      <c r="DB63" s="621"/>
      <c r="DC63" s="621"/>
      <c r="DD63" s="621"/>
      <c r="DE63" s="621"/>
      <c r="DF63" s="621"/>
      <c r="DG63" s="621"/>
      <c r="DH63" s="621"/>
      <c r="DI63" s="621"/>
      <c r="DJ63" s="621"/>
      <c r="DK63" s="621"/>
      <c r="DL63" s="621"/>
      <c r="DM63" s="621"/>
      <c r="DN63" s="621"/>
      <c r="DO63" s="621"/>
      <c r="DP63" s="621"/>
      <c r="DQ63" s="621"/>
      <c r="DR63" s="621"/>
      <c r="DS63" s="621"/>
      <c r="DT63" s="621"/>
      <c r="DU63" s="621"/>
      <c r="DV63" s="621"/>
      <c r="DW63" s="621"/>
      <c r="DX63" s="621"/>
      <c r="DY63" s="621"/>
      <c r="DZ63" s="621"/>
      <c r="EA63" s="621"/>
      <c r="EB63" s="621"/>
      <c r="EC63" s="621"/>
      <c r="ED63" s="621"/>
      <c r="EE63" s="621"/>
      <c r="EF63" s="621"/>
      <c r="EG63" s="621"/>
      <c r="EH63" s="621"/>
      <c r="EI63" s="621"/>
      <c r="EJ63" s="621"/>
      <c r="EK63" s="621"/>
      <c r="EL63" s="621"/>
      <c r="EM63" s="621"/>
      <c r="EN63" s="621"/>
      <c r="EO63" s="621"/>
      <c r="EP63" s="621"/>
      <c r="EQ63" s="621"/>
      <c r="ER63" s="621"/>
      <c r="ES63" s="621"/>
      <c r="ET63" s="621"/>
      <c r="EU63" s="621"/>
      <c r="EV63" s="621"/>
      <c r="EW63" s="621"/>
      <c r="EX63" s="621"/>
      <c r="EY63" s="621"/>
      <c r="EZ63" s="621"/>
      <c r="FA63" s="621"/>
      <c r="FB63" s="621"/>
      <c r="FC63" s="621"/>
      <c r="FD63" s="621"/>
      <c r="FE63" s="621"/>
      <c r="FF63" s="621"/>
      <c r="FG63" s="621"/>
      <c r="FH63" s="621"/>
      <c r="FI63" s="621"/>
      <c r="FJ63" s="621"/>
      <c r="FK63" s="621"/>
      <c r="FL63" s="621"/>
      <c r="FM63" s="621"/>
      <c r="FN63" s="621"/>
      <c r="FO63" s="621"/>
      <c r="FP63" s="621"/>
      <c r="FQ63" s="621"/>
      <c r="FR63" s="621"/>
      <c r="FS63" s="621"/>
      <c r="FT63" s="621"/>
      <c r="FU63" s="621"/>
      <c r="FV63" s="621"/>
      <c r="FW63" s="621"/>
      <c r="FX63" s="621"/>
      <c r="FY63" s="621"/>
      <c r="FZ63" s="621"/>
      <c r="GA63" s="621"/>
      <c r="GB63" s="621"/>
      <c r="GC63" s="621"/>
      <c r="GD63" s="621"/>
      <c r="GE63" s="621"/>
      <c r="GF63" s="621"/>
      <c r="GG63" s="621"/>
      <c r="GH63" s="621"/>
      <c r="GI63" s="621"/>
      <c r="GJ63" s="621"/>
      <c r="GK63" s="621"/>
      <c r="GL63" s="621"/>
      <c r="GM63" s="621"/>
      <c r="GN63" s="621"/>
      <c r="GO63" s="621"/>
      <c r="GP63" s="621"/>
      <c r="GQ63" s="621"/>
      <c r="GR63" s="621"/>
      <c r="GS63" s="621"/>
      <c r="GT63" s="621"/>
      <c r="GU63" s="621"/>
      <c r="GV63" s="621"/>
      <c r="GW63" s="621"/>
      <c r="GX63" s="621"/>
      <c r="GY63" s="621"/>
      <c r="GZ63" s="621"/>
      <c r="HA63" s="621"/>
      <c r="HB63" s="621"/>
      <c r="HC63" s="621"/>
      <c r="HD63" s="621"/>
      <c r="HE63" s="621"/>
      <c r="HF63" s="621"/>
      <c r="HG63" s="621"/>
      <c r="HH63" s="621"/>
      <c r="HI63" s="621"/>
      <c r="HJ63" s="621"/>
      <c r="HK63" s="621"/>
      <c r="HL63" s="621"/>
      <c r="HM63" s="621"/>
      <c r="HN63" s="621"/>
      <c r="HO63" s="621"/>
      <c r="HP63" s="621"/>
      <c r="HQ63" s="621"/>
      <c r="HR63" s="621"/>
      <c r="HS63" s="621"/>
      <c r="HT63" s="621"/>
      <c r="HU63" s="621"/>
      <c r="HV63" s="621"/>
      <c r="HW63" s="621"/>
      <c r="HX63" s="621"/>
      <c r="HY63" s="621"/>
      <c r="HZ63" s="621"/>
      <c r="IA63" s="621"/>
      <c r="IB63" s="621"/>
      <c r="IC63" s="621"/>
      <c r="ID63" s="621"/>
      <c r="IE63" s="621"/>
      <c r="IF63" s="621"/>
      <c r="IG63" s="621"/>
      <c r="IH63" s="621"/>
      <c r="II63" s="621"/>
      <c r="IJ63" s="621"/>
      <c r="IK63" s="621"/>
      <c r="IL63" s="621"/>
      <c r="IM63" s="621"/>
      <c r="IN63" s="621"/>
      <c r="IO63" s="621"/>
      <c r="IP63" s="621"/>
      <c r="IQ63" s="621"/>
      <c r="IR63" s="621"/>
      <c r="IS63" s="621"/>
      <c r="IT63" s="621"/>
      <c r="IU63" s="621"/>
      <c r="IV63" s="621"/>
      <c r="IW63" s="621"/>
      <c r="IX63" s="621"/>
      <c r="IY63" s="621"/>
      <c r="IZ63" s="621"/>
      <c r="JA63" s="621"/>
      <c r="JB63" s="621"/>
      <c r="JC63" s="621"/>
      <c r="JD63" s="621"/>
      <c r="JE63" s="621"/>
      <c r="JF63" s="621"/>
      <c r="JG63" s="621"/>
      <c r="JH63" s="621"/>
      <c r="JI63" s="621"/>
      <c r="JJ63" s="621"/>
      <c r="JK63" s="621"/>
      <c r="JL63" s="621"/>
      <c r="JM63" s="621"/>
      <c r="JN63" s="621"/>
      <c r="JO63" s="621"/>
      <c r="JP63" s="621"/>
      <c r="JQ63" s="621"/>
      <c r="JR63" s="621"/>
      <c r="JS63" s="621"/>
      <c r="JT63" s="621"/>
      <c r="JU63" s="621"/>
      <c r="JV63" s="621"/>
      <c r="JW63" s="621"/>
      <c r="JX63" s="621"/>
      <c r="JY63" s="621"/>
      <c r="JZ63" s="621"/>
      <c r="KA63" s="621"/>
      <c r="KB63" s="621"/>
      <c r="KC63" s="621"/>
      <c r="KD63" s="621"/>
      <c r="KE63" s="621"/>
      <c r="KF63" s="621"/>
      <c r="KG63" s="621"/>
      <c r="KH63" s="621"/>
      <c r="KI63" s="621"/>
      <c r="KJ63" s="621"/>
      <c r="KK63" s="621"/>
      <c r="KL63" s="621"/>
      <c r="KM63" s="621"/>
      <c r="KN63" s="621"/>
      <c r="KO63" s="621"/>
      <c r="KP63" s="621"/>
      <c r="KQ63" s="621"/>
      <c r="KR63" s="621"/>
      <c r="KS63" s="621"/>
      <c r="KT63" s="621"/>
      <c r="KU63" s="621"/>
      <c r="KV63" s="621"/>
      <c r="KW63" s="621"/>
      <c r="KX63" s="621"/>
      <c r="KY63" s="621"/>
      <c r="KZ63" s="621"/>
      <c r="LA63" s="621"/>
      <c r="LB63" s="621"/>
      <c r="LC63" s="621"/>
      <c r="LD63" s="621"/>
      <c r="LE63" s="621"/>
      <c r="LF63" s="621"/>
      <c r="LG63" s="621"/>
      <c r="LH63" s="621"/>
      <c r="LI63" s="621"/>
      <c r="LJ63" s="621"/>
      <c r="LK63" s="621"/>
      <c r="LL63" s="621"/>
      <c r="LM63" s="621"/>
      <c r="LN63" s="621"/>
      <c r="LO63" s="621"/>
      <c r="LP63" s="621"/>
      <c r="LQ63" s="621"/>
      <c r="LR63" s="621"/>
      <c r="LS63" s="621"/>
      <c r="LT63" s="621"/>
      <c r="LU63" s="621"/>
      <c r="LV63" s="621"/>
      <c r="LW63" s="621"/>
      <c r="LX63" s="621"/>
      <c r="LY63" s="621"/>
      <c r="LZ63" s="621"/>
      <c r="MA63" s="621"/>
      <c r="MB63" s="621"/>
      <c r="MC63" s="621"/>
      <c r="MD63" s="621"/>
      <c r="ME63" s="621"/>
      <c r="MF63" s="621"/>
      <c r="MG63" s="621"/>
      <c r="MH63" s="621"/>
      <c r="MI63" s="621"/>
      <c r="MJ63" s="621"/>
      <c r="MK63" s="621"/>
      <c r="ML63" s="621"/>
      <c r="MM63" s="621"/>
      <c r="MN63" s="621"/>
      <c r="MO63" s="621"/>
      <c r="MP63" s="621"/>
      <c r="MQ63" s="621"/>
      <c r="MR63" s="621"/>
      <c r="MS63" s="621"/>
      <c r="MT63" s="621"/>
      <c r="MU63" s="621"/>
      <c r="MV63" s="621"/>
      <c r="MW63" s="621"/>
      <c r="MX63" s="621"/>
      <c r="MY63" s="621"/>
      <c r="MZ63" s="621"/>
      <c r="NA63" s="621"/>
      <c r="NB63" s="621"/>
      <c r="NC63" s="621"/>
      <c r="ND63" s="621"/>
      <c r="NE63" s="621"/>
      <c r="NF63" s="621"/>
      <c r="NG63" s="621"/>
      <c r="NH63" s="621"/>
      <c r="NI63" s="621"/>
      <c r="NJ63" s="621"/>
      <c r="NK63" s="621"/>
      <c r="NL63" s="621"/>
      <c r="NM63" s="621"/>
      <c r="NN63" s="621"/>
      <c r="NO63" s="621"/>
      <c r="NP63" s="621"/>
      <c r="NQ63" s="621"/>
      <c r="NR63" s="621"/>
      <c r="NS63" s="621"/>
      <c r="NT63" s="621"/>
      <c r="NU63" s="621"/>
      <c r="NV63" s="621"/>
      <c r="NW63" s="621"/>
      <c r="NX63" s="621"/>
      <c r="NY63" s="621"/>
      <c r="NZ63" s="621"/>
      <c r="OA63" s="621"/>
      <c r="OB63" s="621"/>
      <c r="OC63" s="621"/>
      <c r="OD63" s="621"/>
      <c r="OE63" s="621"/>
      <c r="OF63" s="621"/>
      <c r="OG63" s="621"/>
      <c r="OH63" s="621"/>
      <c r="OI63" s="621"/>
      <c r="OJ63" s="621"/>
      <c r="OK63" s="621"/>
      <c r="OL63" s="621"/>
      <c r="OM63" s="621"/>
      <c r="ON63" s="621"/>
      <c r="OO63" s="621"/>
      <c r="OP63" s="621"/>
      <c r="OQ63" s="621"/>
      <c r="OR63" s="621"/>
      <c r="OS63" s="621"/>
      <c r="OT63" s="621"/>
      <c r="OU63" s="621"/>
      <c r="OV63" s="621"/>
      <c r="OW63" s="621"/>
      <c r="OX63" s="621"/>
      <c r="OY63" s="621"/>
      <c r="OZ63" s="621"/>
      <c r="PA63" s="621"/>
      <c r="PB63" s="621"/>
      <c r="PC63" s="621"/>
      <c r="PD63" s="621"/>
      <c r="PE63" s="621"/>
      <c r="PF63" s="621"/>
      <c r="PG63" s="621"/>
      <c r="PH63" s="621"/>
      <c r="PI63" s="621"/>
      <c r="PJ63" s="621"/>
      <c r="PK63" s="621"/>
      <c r="PL63" s="621"/>
      <c r="PM63" s="621"/>
      <c r="PN63" s="621"/>
      <c r="PO63" s="621"/>
      <c r="PP63" s="621"/>
      <c r="PQ63" s="621"/>
      <c r="PR63" s="621"/>
      <c r="PS63" s="621"/>
      <c r="PT63" s="621"/>
      <c r="PU63" s="621"/>
      <c r="PV63" s="621"/>
      <c r="PW63" s="621"/>
      <c r="PX63" s="621"/>
      <c r="PY63" s="621"/>
      <c r="PZ63" s="621"/>
      <c r="QA63" s="621"/>
      <c r="QB63" s="621"/>
      <c r="QC63" s="621"/>
      <c r="QD63" s="621"/>
      <c r="QE63" s="621"/>
      <c r="QF63" s="621"/>
      <c r="QG63" s="621"/>
      <c r="QH63" s="621"/>
      <c r="QI63" s="621"/>
      <c r="QJ63" s="621"/>
      <c r="QK63" s="621"/>
      <c r="QL63" s="621"/>
      <c r="QM63" s="621"/>
      <c r="QN63" s="621"/>
      <c r="QO63" s="621"/>
      <c r="QP63" s="621"/>
      <c r="QQ63" s="621"/>
      <c r="QR63" s="621"/>
      <c r="QS63" s="621"/>
      <c r="QT63" s="621"/>
      <c r="QU63" s="621"/>
      <c r="QV63" s="621"/>
      <c r="QW63" s="621"/>
      <c r="QX63" s="621"/>
      <c r="QY63" s="621"/>
      <c r="QZ63" s="621"/>
      <c r="RA63" s="621"/>
      <c r="RB63" s="621"/>
      <c r="RC63" s="621"/>
      <c r="RD63" s="621"/>
      <c r="RE63" s="621"/>
      <c r="RF63" s="621"/>
      <c r="RG63" s="621"/>
      <c r="RH63" s="621"/>
      <c r="RI63" s="621"/>
      <c r="RJ63" s="621"/>
      <c r="RK63" s="621"/>
      <c r="RL63" s="621"/>
      <c r="RM63" s="621"/>
      <c r="RN63" s="621"/>
      <c r="RO63" s="621"/>
      <c r="RP63" s="621"/>
      <c r="RQ63" s="621"/>
      <c r="RR63" s="621"/>
      <c r="RS63" s="621"/>
      <c r="RT63" s="621"/>
      <c r="RU63" s="621"/>
      <c r="RV63" s="621"/>
      <c r="RW63" s="621"/>
      <c r="RX63" s="621"/>
      <c r="RY63" s="621"/>
      <c r="RZ63" s="621"/>
      <c r="SA63" s="621"/>
      <c r="SB63" s="621"/>
      <c r="SC63" s="621"/>
      <c r="SD63" s="621"/>
      <c r="SE63" s="621"/>
      <c r="SF63" s="621"/>
      <c r="SG63" s="621"/>
      <c r="SH63" s="621"/>
      <c r="SI63" s="621"/>
      <c r="SJ63" s="621"/>
      <c r="SK63" s="621"/>
      <c r="SL63" s="621"/>
      <c r="SM63" s="621"/>
      <c r="SN63" s="621"/>
      <c r="SO63" s="621"/>
      <c r="SP63" s="621"/>
      <c r="SQ63" s="621"/>
      <c r="SR63" s="621"/>
      <c r="SS63" s="621"/>
      <c r="ST63" s="621"/>
      <c r="SU63" s="621"/>
      <c r="SV63" s="621"/>
      <c r="SW63" s="621"/>
      <c r="SX63" s="621"/>
      <c r="SY63" s="621"/>
      <c r="SZ63" s="621"/>
      <c r="TA63" s="621"/>
      <c r="TB63" s="621"/>
      <c r="TC63" s="621"/>
      <c r="TD63" s="621"/>
      <c r="TE63" s="621"/>
      <c r="TF63" s="621"/>
      <c r="TG63" s="621"/>
      <c r="TH63" s="621"/>
      <c r="TI63" s="621"/>
      <c r="TJ63" s="621"/>
      <c r="TK63" s="621"/>
      <c r="TL63" s="621"/>
      <c r="TM63" s="621"/>
      <c r="TN63" s="621"/>
      <c r="TO63" s="621"/>
      <c r="TP63" s="621"/>
      <c r="TQ63" s="621"/>
      <c r="TR63" s="621"/>
      <c r="TS63" s="621"/>
      <c r="TT63" s="621"/>
      <c r="TU63" s="621"/>
      <c r="TV63" s="621"/>
      <c r="TW63" s="621"/>
      <c r="TX63" s="621"/>
      <c r="TY63" s="621"/>
      <c r="TZ63" s="621"/>
      <c r="UA63" s="621"/>
      <c r="UB63" s="621"/>
      <c r="UC63" s="621"/>
      <c r="UD63" s="621"/>
      <c r="UE63" s="621"/>
      <c r="UF63" s="621"/>
      <c r="UG63" s="621"/>
      <c r="UH63" s="621"/>
      <c r="UI63" s="621"/>
      <c r="UJ63" s="621"/>
      <c r="UK63" s="621"/>
      <c r="UL63" s="621"/>
      <c r="UM63" s="621"/>
      <c r="UN63" s="621"/>
      <c r="UO63" s="621"/>
      <c r="UP63" s="621"/>
      <c r="UQ63" s="621"/>
      <c r="UR63" s="621"/>
      <c r="US63" s="621"/>
      <c r="UT63" s="621"/>
      <c r="UU63" s="621"/>
      <c r="UV63" s="621"/>
      <c r="UW63" s="621"/>
      <c r="UX63" s="621"/>
      <c r="UY63" s="621"/>
      <c r="UZ63" s="621"/>
      <c r="VA63" s="621"/>
      <c r="VB63" s="621"/>
      <c r="VC63" s="621"/>
      <c r="VD63" s="621"/>
      <c r="VE63" s="621"/>
      <c r="VF63" s="621"/>
      <c r="VG63" s="621"/>
      <c r="VH63" s="621"/>
      <c r="VI63" s="621"/>
      <c r="VJ63" s="621"/>
      <c r="VK63" s="621"/>
      <c r="VL63" s="621"/>
      <c r="VM63" s="621"/>
      <c r="VN63" s="621"/>
      <c r="VO63" s="621"/>
      <c r="VP63" s="621"/>
      <c r="VQ63" s="621"/>
      <c r="VR63" s="621"/>
      <c r="VS63" s="621"/>
      <c r="VT63" s="621"/>
      <c r="VU63" s="621"/>
      <c r="VV63" s="621"/>
      <c r="VW63" s="621"/>
      <c r="VX63" s="621"/>
      <c r="VY63" s="621"/>
      <c r="VZ63" s="621"/>
      <c r="WA63" s="621"/>
      <c r="WB63" s="621"/>
      <c r="WC63" s="621"/>
      <c r="WD63" s="621"/>
      <c r="WE63" s="621"/>
      <c r="WF63" s="621"/>
      <c r="WG63" s="621"/>
      <c r="WH63" s="621"/>
      <c r="WI63" s="621"/>
      <c r="WJ63" s="621"/>
      <c r="WK63" s="621"/>
      <c r="WL63" s="621"/>
      <c r="WM63" s="621"/>
      <c r="WN63" s="621"/>
      <c r="WO63" s="621"/>
      <c r="WP63" s="621"/>
      <c r="WQ63" s="621"/>
      <c r="WR63" s="621"/>
      <c r="WS63" s="621"/>
      <c r="WT63" s="621"/>
      <c r="WU63" s="621"/>
      <c r="WV63" s="621"/>
      <c r="WW63" s="621"/>
      <c r="WX63" s="621"/>
      <c r="WY63" s="621"/>
      <c r="WZ63" s="621"/>
      <c r="XA63" s="621"/>
      <c r="XB63" s="621"/>
      <c r="XC63" s="621"/>
      <c r="XD63" s="621"/>
      <c r="XE63" s="621"/>
      <c r="XF63" s="621"/>
      <c r="XG63" s="621"/>
      <c r="XH63" s="621"/>
      <c r="XI63" s="621"/>
      <c r="XJ63" s="621"/>
      <c r="XK63" s="621"/>
      <c r="XL63" s="621"/>
      <c r="XM63" s="621"/>
      <c r="XN63" s="621"/>
      <c r="XO63" s="621"/>
      <c r="XP63" s="621"/>
      <c r="XQ63" s="621"/>
      <c r="XR63" s="621"/>
      <c r="XS63" s="621"/>
      <c r="XT63" s="621"/>
      <c r="XU63" s="621"/>
      <c r="XV63" s="621"/>
      <c r="XW63" s="621"/>
      <c r="XX63" s="621"/>
      <c r="XY63" s="621"/>
      <c r="XZ63" s="621"/>
      <c r="YA63" s="621"/>
      <c r="YB63" s="621"/>
      <c r="YC63" s="621"/>
      <c r="YD63" s="621"/>
      <c r="YE63" s="621"/>
      <c r="YF63" s="621"/>
      <c r="YG63" s="621"/>
      <c r="YH63" s="621"/>
      <c r="YI63" s="621"/>
      <c r="YJ63" s="621"/>
      <c r="YK63" s="621"/>
      <c r="YL63" s="621"/>
      <c r="YM63" s="621"/>
      <c r="YN63" s="621"/>
      <c r="YO63" s="621"/>
      <c r="YP63" s="621"/>
      <c r="YQ63" s="621"/>
      <c r="YR63" s="621"/>
      <c r="YS63" s="621"/>
      <c r="YT63" s="621"/>
      <c r="YU63" s="621"/>
      <c r="YV63" s="621"/>
      <c r="YW63" s="621"/>
      <c r="YX63" s="621"/>
      <c r="YY63" s="621"/>
      <c r="YZ63" s="621"/>
      <c r="ZA63" s="621"/>
      <c r="ZB63" s="621"/>
      <c r="ZC63" s="621"/>
      <c r="ZD63" s="621"/>
      <c r="ZE63" s="621"/>
      <c r="ZF63" s="621"/>
      <c r="ZG63" s="621"/>
      <c r="ZH63" s="621"/>
      <c r="ZI63" s="621"/>
      <c r="ZJ63" s="621"/>
      <c r="ZK63" s="621"/>
      <c r="ZL63" s="621"/>
      <c r="ZM63" s="621"/>
      <c r="ZN63" s="621"/>
      <c r="ZO63" s="621"/>
      <c r="ZP63" s="621"/>
      <c r="ZQ63" s="621"/>
      <c r="ZR63" s="621"/>
      <c r="ZS63" s="621"/>
      <c r="ZT63" s="621"/>
      <c r="ZU63" s="621"/>
      <c r="ZV63" s="621"/>
      <c r="ZW63" s="621"/>
      <c r="ZX63" s="621"/>
      <c r="ZY63" s="621"/>
      <c r="ZZ63" s="621"/>
      <c r="AAA63" s="621"/>
      <c r="AAB63" s="621"/>
      <c r="AAC63" s="621"/>
      <c r="AAD63" s="621"/>
      <c r="AAE63" s="621"/>
      <c r="AAF63" s="621"/>
      <c r="AAG63" s="621"/>
      <c r="AAH63" s="621"/>
      <c r="AAI63" s="621"/>
      <c r="AAJ63" s="621"/>
      <c r="AAK63" s="621"/>
      <c r="AAL63" s="621"/>
      <c r="AAM63" s="621"/>
      <c r="AAN63" s="621"/>
      <c r="AAO63" s="621"/>
      <c r="AAP63" s="621"/>
      <c r="AAQ63" s="621"/>
      <c r="AAR63" s="621"/>
      <c r="AAS63" s="621"/>
      <c r="AAT63" s="621"/>
      <c r="AAU63" s="621"/>
      <c r="AAV63" s="621"/>
      <c r="AAW63" s="621"/>
      <c r="AAX63" s="621"/>
      <c r="AAY63" s="621"/>
      <c r="AAZ63" s="621"/>
      <c r="ABA63" s="621"/>
      <c r="ABB63" s="621"/>
      <c r="ABC63" s="621"/>
      <c r="ABD63" s="621"/>
      <c r="ABE63" s="621"/>
      <c r="ABF63" s="621"/>
      <c r="ABG63" s="621"/>
      <c r="ABH63" s="621"/>
      <c r="ABI63" s="621"/>
      <c r="ABJ63" s="621"/>
      <c r="ABK63" s="621"/>
      <c r="ABL63" s="621"/>
      <c r="ABM63" s="621"/>
      <c r="ABN63" s="621"/>
      <c r="ABO63" s="621"/>
      <c r="ABP63" s="621"/>
      <c r="ABQ63" s="621"/>
      <c r="ABR63" s="621"/>
      <c r="ABS63" s="621"/>
      <c r="ABT63" s="621"/>
      <c r="ABU63" s="621"/>
      <c r="ABV63" s="621"/>
      <c r="ABW63" s="621"/>
      <c r="ABX63" s="621"/>
      <c r="ABY63" s="621"/>
      <c r="ABZ63" s="621"/>
      <c r="ACA63" s="621"/>
      <c r="ACB63" s="621"/>
      <c r="ACC63" s="621"/>
      <c r="ACD63" s="621"/>
      <c r="ACE63" s="621"/>
      <c r="ACF63" s="621"/>
      <c r="ACG63" s="621"/>
      <c r="ACH63" s="621"/>
      <c r="ACI63" s="621"/>
      <c r="ACJ63" s="621"/>
      <c r="ACK63" s="621"/>
      <c r="ACL63" s="621"/>
      <c r="ACM63" s="621"/>
      <c r="ACN63" s="621"/>
      <c r="ACO63" s="621"/>
      <c r="ACP63" s="621"/>
      <c r="ACQ63" s="621"/>
      <c r="ACR63" s="621"/>
      <c r="ACS63" s="621"/>
      <c r="ACT63" s="621"/>
      <c r="ACU63" s="621"/>
      <c r="ACV63" s="621"/>
      <c r="ACW63" s="621"/>
      <c r="ACX63" s="621"/>
      <c r="ACY63" s="621"/>
      <c r="ACZ63" s="621"/>
      <c r="ADA63" s="621"/>
      <c r="ADB63" s="621"/>
      <c r="ADC63" s="621"/>
      <c r="ADD63" s="621"/>
      <c r="ADE63" s="621"/>
      <c r="ADF63" s="621"/>
      <c r="ADG63" s="621"/>
      <c r="ADH63" s="621"/>
      <c r="ADI63" s="621"/>
      <c r="ADJ63" s="621"/>
      <c r="ADK63" s="621"/>
      <c r="ADL63" s="621"/>
      <c r="ADM63" s="621"/>
      <c r="ADN63" s="621"/>
      <c r="ADO63" s="621"/>
      <c r="ADP63" s="621"/>
      <c r="ADQ63" s="621"/>
      <c r="ADR63" s="621"/>
      <c r="ADS63" s="621"/>
      <c r="ADT63" s="621"/>
      <c r="ADU63" s="621"/>
      <c r="ADV63" s="621"/>
      <c r="ADW63" s="621"/>
      <c r="ADX63" s="621"/>
      <c r="ADY63" s="621"/>
      <c r="ADZ63" s="621"/>
      <c r="AEA63" s="621"/>
      <c r="AEB63" s="621"/>
      <c r="AEC63" s="621"/>
      <c r="AED63" s="621"/>
      <c r="AEE63" s="621"/>
      <c r="AEF63" s="621"/>
      <c r="AEG63" s="621"/>
      <c r="AEH63" s="621"/>
      <c r="AEI63" s="621"/>
      <c r="AEJ63" s="621"/>
      <c r="AEK63" s="621"/>
      <c r="AEL63" s="621"/>
      <c r="AEM63" s="621"/>
      <c r="AEN63" s="621"/>
      <c r="AEO63" s="621"/>
      <c r="AEP63" s="621"/>
      <c r="AEQ63" s="621"/>
      <c r="AER63" s="621"/>
      <c r="AES63" s="621"/>
      <c r="AET63" s="621"/>
      <c r="AEU63" s="621"/>
      <c r="AEV63" s="621"/>
      <c r="AEW63" s="621"/>
      <c r="AEX63" s="621"/>
      <c r="AEY63" s="621"/>
      <c r="AEZ63" s="621"/>
      <c r="AFA63" s="621"/>
      <c r="AFB63" s="621"/>
      <c r="AFC63" s="621"/>
      <c r="AFD63" s="621"/>
      <c r="AFE63" s="621"/>
      <c r="AFF63" s="621"/>
      <c r="AFG63" s="621"/>
      <c r="AFH63" s="621"/>
      <c r="AFI63" s="621"/>
      <c r="AFJ63" s="621"/>
      <c r="AFK63" s="621"/>
      <c r="AFL63" s="621"/>
      <c r="AFM63" s="621"/>
      <c r="AFN63" s="621"/>
      <c r="AFO63" s="621"/>
      <c r="AFP63" s="621"/>
      <c r="AFQ63" s="621"/>
      <c r="AFR63" s="621"/>
      <c r="AFS63" s="621"/>
      <c r="AFT63" s="621"/>
      <c r="AFU63" s="621"/>
      <c r="AFV63" s="621"/>
      <c r="AFW63" s="621"/>
      <c r="AFX63" s="621"/>
      <c r="AFY63" s="621"/>
      <c r="AFZ63" s="621"/>
      <c r="AGA63" s="621"/>
      <c r="AGB63" s="621"/>
      <c r="AGC63" s="621"/>
      <c r="AGD63" s="621"/>
      <c r="AGE63" s="621"/>
      <c r="AGF63" s="621"/>
      <c r="AGG63" s="621"/>
      <c r="AGH63" s="621"/>
      <c r="AGI63" s="621"/>
      <c r="AGJ63" s="621"/>
      <c r="AGK63" s="621"/>
      <c r="AGL63" s="621"/>
      <c r="AGM63" s="621"/>
      <c r="AGN63" s="621"/>
      <c r="AGO63" s="621"/>
      <c r="AGP63" s="621"/>
      <c r="AGQ63" s="621"/>
      <c r="AGR63" s="621"/>
      <c r="AGS63" s="621"/>
      <c r="AGT63" s="621"/>
      <c r="AGU63" s="621"/>
      <c r="AGV63" s="621"/>
      <c r="AGW63" s="621"/>
      <c r="AGX63" s="621"/>
      <c r="AGY63" s="621"/>
      <c r="AGZ63" s="621"/>
      <c r="AHA63" s="621"/>
      <c r="AHB63" s="621"/>
      <c r="AHC63" s="621"/>
      <c r="AHD63" s="621"/>
      <c r="AHE63" s="621"/>
      <c r="AHF63" s="621"/>
      <c r="AHG63" s="621"/>
      <c r="AHH63" s="621"/>
      <c r="AHI63" s="621"/>
      <c r="AHJ63" s="621"/>
      <c r="AHK63" s="621"/>
      <c r="AHL63" s="621"/>
      <c r="AHM63" s="621"/>
      <c r="AHN63" s="621"/>
      <c r="AHO63" s="621"/>
      <c r="AHP63" s="621"/>
      <c r="AHQ63" s="621"/>
      <c r="AHR63" s="621"/>
      <c r="AHS63" s="621"/>
      <c r="AHT63" s="621"/>
      <c r="AHU63" s="621"/>
      <c r="AHV63" s="621"/>
      <c r="AHW63" s="621"/>
      <c r="AHX63" s="621"/>
      <c r="AHY63" s="621"/>
      <c r="AHZ63" s="621"/>
      <c r="AIA63" s="621"/>
      <c r="AIB63" s="621"/>
      <c r="AIC63" s="621"/>
      <c r="AID63" s="621"/>
      <c r="AIE63" s="621"/>
      <c r="AIF63" s="621"/>
      <c r="AIG63" s="621"/>
      <c r="AIH63" s="621"/>
      <c r="AII63" s="621"/>
      <c r="AIJ63" s="621"/>
      <c r="AIK63" s="621"/>
      <c r="AIL63" s="621"/>
      <c r="AIM63" s="621"/>
      <c r="AIN63" s="621"/>
      <c r="AIO63" s="621"/>
      <c r="AIP63" s="621"/>
      <c r="AIQ63" s="621"/>
      <c r="AIR63" s="621"/>
      <c r="AIS63" s="621"/>
      <c r="AIT63" s="621"/>
      <c r="AIU63" s="621"/>
      <c r="AIV63" s="621"/>
      <c r="AIW63" s="621"/>
      <c r="AIX63" s="621"/>
      <c r="AIY63" s="621"/>
      <c r="AIZ63" s="621"/>
      <c r="AJA63" s="621"/>
      <c r="AJB63" s="621"/>
      <c r="AJC63" s="621"/>
      <c r="AJD63" s="621"/>
      <c r="AJE63" s="621"/>
      <c r="AJF63" s="621"/>
      <c r="AJG63" s="621"/>
      <c r="AJH63" s="621"/>
      <c r="AJI63" s="621"/>
      <c r="AJJ63" s="621"/>
      <c r="AJK63" s="621"/>
      <c r="AJL63" s="621"/>
      <c r="AJM63" s="621"/>
      <c r="AJN63" s="621"/>
      <c r="AJO63" s="621"/>
      <c r="AJP63" s="621"/>
      <c r="AJQ63" s="621"/>
      <c r="AJR63" s="621"/>
      <c r="AJS63" s="621"/>
      <c r="AJT63" s="621"/>
      <c r="AJU63" s="621"/>
      <c r="AJV63" s="621"/>
      <c r="AJW63" s="621"/>
      <c r="AJX63" s="621"/>
      <c r="AJY63" s="621"/>
      <c r="AJZ63" s="621"/>
      <c r="AKA63" s="621"/>
      <c r="AKB63" s="621"/>
      <c r="AKC63" s="621"/>
      <c r="AKD63" s="621"/>
      <c r="AKE63" s="621"/>
      <c r="AKF63" s="621"/>
      <c r="AKG63" s="621"/>
      <c r="AKH63" s="621"/>
      <c r="AKI63" s="621"/>
      <c r="AKJ63" s="621"/>
      <c r="AKK63" s="621"/>
      <c r="AKL63" s="621"/>
      <c r="AKM63" s="621"/>
      <c r="AKN63" s="621"/>
      <c r="AKO63" s="621"/>
      <c r="AKP63" s="621"/>
      <c r="AKQ63" s="621"/>
      <c r="AKR63" s="621"/>
      <c r="AKS63" s="621"/>
      <c r="AKT63" s="621"/>
      <c r="AKU63" s="621"/>
      <c r="AKV63" s="621"/>
      <c r="AKW63" s="621"/>
      <c r="AKX63" s="621"/>
      <c r="AKY63" s="621"/>
      <c r="AKZ63" s="621"/>
      <c r="ALA63" s="621"/>
      <c r="ALB63" s="621"/>
      <c r="ALC63" s="621"/>
      <c r="ALD63" s="621"/>
      <c r="ALE63" s="621"/>
      <c r="ALF63" s="621"/>
      <c r="ALG63" s="621"/>
      <c r="ALH63" s="621"/>
      <c r="ALI63" s="621"/>
      <c r="ALJ63" s="621"/>
      <c r="ALK63" s="621"/>
      <c r="ALL63" s="621"/>
      <c r="ALM63" s="621"/>
      <c r="ALN63" s="621"/>
      <c r="ALO63" s="621"/>
      <c r="ALP63" s="621"/>
      <c r="ALQ63" s="621"/>
      <c r="ALR63" s="621"/>
      <c r="ALS63" s="621"/>
      <c r="ALT63" s="621"/>
      <c r="ALU63" s="621"/>
      <c r="ALV63" s="621"/>
      <c r="ALW63" s="621"/>
      <c r="ALX63" s="621"/>
      <c r="ALY63" s="621"/>
      <c r="ALZ63" s="621"/>
      <c r="AMA63" s="621"/>
      <c r="AMB63" s="621"/>
      <c r="AMC63" s="621"/>
      <c r="AMD63" s="621"/>
      <c r="AME63" s="621"/>
      <c r="AMF63" s="621"/>
      <c r="AMG63" s="621"/>
      <c r="AMH63" s="621"/>
      <c r="AMI63" s="621"/>
      <c r="AMJ63" s="621"/>
      <c r="AMK63" s="621"/>
    </row>
    <row r="64" spans="1:1025" ht="28.5" customHeight="1">
      <c r="A64" s="459" t="s">
        <v>357</v>
      </c>
      <c r="B64" s="448" t="s">
        <v>402</v>
      </c>
      <c r="C64" s="421">
        <f>C65+C66</f>
        <v>0</v>
      </c>
      <c r="D64" s="453"/>
      <c r="E64" s="2043"/>
      <c r="F64" s="2043"/>
      <c r="G64" s="392"/>
      <c r="H64" s="429"/>
      <c r="I64" s="1497"/>
      <c r="J64" s="1495">
        <v>16817.599999999999</v>
      </c>
      <c r="K64" s="1472"/>
      <c r="L64" s="413"/>
      <c r="M64" s="1495"/>
      <c r="N64" s="272"/>
      <c r="O64" s="272"/>
      <c r="P64" s="272"/>
      <c r="T64" s="397"/>
      <c r="U64" s="397"/>
      <c r="V64" s="452"/>
      <c r="W64" s="452"/>
      <c r="X64" s="452"/>
      <c r="Y64" s="397"/>
      <c r="Z64" s="397"/>
      <c r="AA64" s="397"/>
      <c r="AE64" s="1471"/>
      <c r="AF64" s="1493"/>
      <c r="AG64" s="1494"/>
      <c r="AH64" s="1494"/>
      <c r="AI64" s="1494"/>
      <c r="AJ64" s="1494"/>
      <c r="AK64" s="1494"/>
      <c r="AL64" s="1494"/>
      <c r="AM64" s="1475">
        <f t="shared" si="13"/>
        <v>0</v>
      </c>
      <c r="AN64" s="1493"/>
      <c r="AO64" s="1475"/>
      <c r="AP64" s="289"/>
      <c r="AQ64" s="621"/>
      <c r="AR64" s="621"/>
      <c r="AS64" s="621"/>
      <c r="AT64" s="621"/>
      <c r="AU64" s="621"/>
      <c r="AV64" s="621"/>
      <c r="AW64" s="621"/>
      <c r="AX64" s="621"/>
      <c r="AY64" s="621"/>
      <c r="AZ64" s="621"/>
      <c r="BA64" s="621"/>
      <c r="BB64" s="621"/>
      <c r="BC64" s="621"/>
      <c r="BD64" s="621"/>
      <c r="BE64" s="621"/>
      <c r="BF64" s="621"/>
      <c r="BG64" s="621"/>
      <c r="BH64" s="621"/>
      <c r="BI64" s="621"/>
      <c r="BJ64" s="621"/>
      <c r="BK64" s="621"/>
      <c r="BL64" s="621"/>
      <c r="BM64" s="621"/>
      <c r="BN64" s="621"/>
      <c r="BO64" s="621"/>
      <c r="BP64" s="621"/>
      <c r="BQ64" s="621"/>
      <c r="BR64" s="621"/>
      <c r="BS64" s="621"/>
      <c r="BT64" s="621"/>
      <c r="BU64" s="621"/>
      <c r="BV64" s="621"/>
      <c r="BW64" s="621"/>
      <c r="BX64" s="621"/>
      <c r="BY64" s="621"/>
      <c r="BZ64" s="621"/>
      <c r="CA64" s="621"/>
      <c r="CB64" s="621"/>
      <c r="CC64" s="621"/>
      <c r="CD64" s="621"/>
      <c r="CE64" s="621"/>
      <c r="CF64" s="621"/>
      <c r="CG64" s="621"/>
      <c r="CH64" s="621"/>
      <c r="CI64" s="621"/>
      <c r="CJ64" s="621"/>
      <c r="CK64" s="621"/>
      <c r="CL64" s="621"/>
      <c r="CM64" s="621"/>
      <c r="CN64" s="621"/>
      <c r="CO64" s="621"/>
      <c r="CP64" s="621"/>
      <c r="CQ64" s="621"/>
      <c r="CR64" s="621"/>
      <c r="CS64" s="621"/>
      <c r="CT64" s="621"/>
      <c r="CU64" s="621"/>
      <c r="CV64" s="621"/>
      <c r="CW64" s="621"/>
      <c r="CX64" s="621"/>
      <c r="CY64" s="621"/>
      <c r="CZ64" s="621"/>
      <c r="DA64" s="621"/>
      <c r="DB64" s="621"/>
      <c r="DC64" s="621"/>
      <c r="DD64" s="621"/>
      <c r="DE64" s="621"/>
      <c r="DF64" s="621"/>
      <c r="DG64" s="621"/>
      <c r="DH64" s="621"/>
      <c r="DI64" s="621"/>
      <c r="DJ64" s="621"/>
      <c r="DK64" s="621"/>
      <c r="DL64" s="621"/>
      <c r="DM64" s="621"/>
      <c r="DN64" s="621"/>
      <c r="DO64" s="621"/>
      <c r="DP64" s="621"/>
      <c r="DQ64" s="621"/>
      <c r="DR64" s="621"/>
      <c r="DS64" s="621"/>
      <c r="DT64" s="621"/>
      <c r="DU64" s="621"/>
      <c r="DV64" s="621"/>
      <c r="DW64" s="621"/>
      <c r="DX64" s="621"/>
      <c r="DY64" s="621"/>
      <c r="DZ64" s="621"/>
      <c r="EA64" s="621"/>
      <c r="EB64" s="621"/>
      <c r="EC64" s="621"/>
      <c r="ED64" s="621"/>
      <c r="EE64" s="621"/>
      <c r="EF64" s="621"/>
      <c r="EG64" s="621"/>
      <c r="EH64" s="621"/>
      <c r="EI64" s="621"/>
      <c r="EJ64" s="621"/>
      <c r="EK64" s="621"/>
      <c r="EL64" s="621"/>
      <c r="EM64" s="621"/>
      <c r="EN64" s="621"/>
      <c r="EO64" s="621"/>
      <c r="EP64" s="621"/>
      <c r="EQ64" s="621"/>
      <c r="ER64" s="621"/>
      <c r="ES64" s="621"/>
      <c r="ET64" s="621"/>
      <c r="EU64" s="621"/>
      <c r="EV64" s="621"/>
      <c r="EW64" s="621"/>
      <c r="EX64" s="621"/>
      <c r="EY64" s="621"/>
      <c r="EZ64" s="621"/>
      <c r="FA64" s="621"/>
      <c r="FB64" s="621"/>
      <c r="FC64" s="621"/>
      <c r="FD64" s="621"/>
      <c r="FE64" s="621"/>
      <c r="FF64" s="621"/>
      <c r="FG64" s="621"/>
      <c r="FH64" s="621"/>
      <c r="FI64" s="621"/>
      <c r="FJ64" s="621"/>
      <c r="FK64" s="621"/>
      <c r="FL64" s="621"/>
      <c r="FM64" s="621"/>
      <c r="FN64" s="621"/>
      <c r="FO64" s="621"/>
      <c r="FP64" s="621"/>
      <c r="FQ64" s="621"/>
      <c r="FR64" s="621"/>
      <c r="FS64" s="621"/>
      <c r="FT64" s="621"/>
      <c r="FU64" s="621"/>
      <c r="FV64" s="621"/>
      <c r="FW64" s="621"/>
      <c r="FX64" s="621"/>
      <c r="FY64" s="621"/>
      <c r="FZ64" s="621"/>
      <c r="GA64" s="621"/>
      <c r="GB64" s="621"/>
      <c r="GC64" s="621"/>
      <c r="GD64" s="621"/>
      <c r="GE64" s="621"/>
      <c r="GF64" s="621"/>
      <c r="GG64" s="621"/>
      <c r="GH64" s="621"/>
      <c r="GI64" s="621"/>
      <c r="GJ64" s="621"/>
      <c r="GK64" s="621"/>
      <c r="GL64" s="621"/>
      <c r="GM64" s="621"/>
      <c r="GN64" s="621"/>
      <c r="GO64" s="621"/>
      <c r="GP64" s="621"/>
      <c r="GQ64" s="621"/>
      <c r="GR64" s="621"/>
      <c r="GS64" s="621"/>
      <c r="GT64" s="621"/>
      <c r="GU64" s="621"/>
      <c r="GV64" s="621"/>
      <c r="GW64" s="621"/>
      <c r="GX64" s="621"/>
      <c r="GY64" s="621"/>
      <c r="GZ64" s="621"/>
      <c r="HA64" s="621"/>
      <c r="HB64" s="621"/>
      <c r="HC64" s="621"/>
      <c r="HD64" s="621"/>
      <c r="HE64" s="621"/>
      <c r="HF64" s="621"/>
      <c r="HG64" s="621"/>
      <c r="HH64" s="621"/>
      <c r="HI64" s="621"/>
      <c r="HJ64" s="621"/>
      <c r="HK64" s="621"/>
      <c r="HL64" s="621"/>
      <c r="HM64" s="621"/>
      <c r="HN64" s="621"/>
      <c r="HO64" s="621"/>
      <c r="HP64" s="621"/>
      <c r="HQ64" s="621"/>
      <c r="HR64" s="621"/>
      <c r="HS64" s="621"/>
      <c r="HT64" s="621"/>
      <c r="HU64" s="621"/>
      <c r="HV64" s="621"/>
      <c r="HW64" s="621"/>
      <c r="HX64" s="621"/>
      <c r="HY64" s="621"/>
      <c r="HZ64" s="621"/>
      <c r="IA64" s="621"/>
      <c r="IB64" s="621"/>
      <c r="IC64" s="621"/>
      <c r="ID64" s="621"/>
      <c r="IE64" s="621"/>
      <c r="IF64" s="621"/>
      <c r="IG64" s="621"/>
      <c r="IH64" s="621"/>
      <c r="II64" s="621"/>
      <c r="IJ64" s="621"/>
      <c r="IK64" s="621"/>
      <c r="IL64" s="621"/>
      <c r="IM64" s="621"/>
      <c r="IN64" s="621"/>
      <c r="IO64" s="621"/>
      <c r="IP64" s="621"/>
      <c r="IQ64" s="621"/>
      <c r="IR64" s="621"/>
      <c r="IS64" s="621"/>
      <c r="IT64" s="621"/>
      <c r="IU64" s="621"/>
      <c r="IV64" s="621"/>
      <c r="IW64" s="621"/>
      <c r="IX64" s="621"/>
      <c r="IY64" s="621"/>
      <c r="IZ64" s="621"/>
      <c r="JA64" s="621"/>
      <c r="JB64" s="621"/>
      <c r="JC64" s="621"/>
      <c r="JD64" s="621"/>
      <c r="JE64" s="621"/>
      <c r="JF64" s="621"/>
      <c r="JG64" s="621"/>
      <c r="JH64" s="621"/>
      <c r="JI64" s="621"/>
      <c r="JJ64" s="621"/>
      <c r="JK64" s="621"/>
      <c r="JL64" s="621"/>
      <c r="JM64" s="621"/>
      <c r="JN64" s="621"/>
      <c r="JO64" s="621"/>
      <c r="JP64" s="621"/>
      <c r="JQ64" s="621"/>
      <c r="JR64" s="621"/>
      <c r="JS64" s="621"/>
      <c r="JT64" s="621"/>
      <c r="JU64" s="621"/>
      <c r="JV64" s="621"/>
      <c r="JW64" s="621"/>
      <c r="JX64" s="621"/>
      <c r="JY64" s="621"/>
      <c r="JZ64" s="621"/>
      <c r="KA64" s="621"/>
      <c r="KB64" s="621"/>
      <c r="KC64" s="621"/>
      <c r="KD64" s="621"/>
      <c r="KE64" s="621"/>
      <c r="KF64" s="621"/>
      <c r="KG64" s="621"/>
      <c r="KH64" s="621"/>
      <c r="KI64" s="621"/>
      <c r="KJ64" s="621"/>
      <c r="KK64" s="621"/>
      <c r="KL64" s="621"/>
      <c r="KM64" s="621"/>
      <c r="KN64" s="621"/>
      <c r="KO64" s="621"/>
      <c r="KP64" s="621"/>
      <c r="KQ64" s="621"/>
      <c r="KR64" s="621"/>
      <c r="KS64" s="621"/>
      <c r="KT64" s="621"/>
      <c r="KU64" s="621"/>
      <c r="KV64" s="621"/>
      <c r="KW64" s="621"/>
      <c r="KX64" s="621"/>
      <c r="KY64" s="621"/>
      <c r="KZ64" s="621"/>
      <c r="LA64" s="621"/>
      <c r="LB64" s="621"/>
      <c r="LC64" s="621"/>
      <c r="LD64" s="621"/>
      <c r="LE64" s="621"/>
      <c r="LF64" s="621"/>
      <c r="LG64" s="621"/>
      <c r="LH64" s="621"/>
      <c r="LI64" s="621"/>
      <c r="LJ64" s="621"/>
      <c r="LK64" s="621"/>
      <c r="LL64" s="621"/>
      <c r="LM64" s="621"/>
      <c r="LN64" s="621"/>
      <c r="LO64" s="621"/>
      <c r="LP64" s="621"/>
      <c r="LQ64" s="621"/>
      <c r="LR64" s="621"/>
      <c r="LS64" s="621"/>
      <c r="LT64" s="621"/>
      <c r="LU64" s="621"/>
      <c r="LV64" s="621"/>
      <c r="LW64" s="621"/>
      <c r="LX64" s="621"/>
      <c r="LY64" s="621"/>
      <c r="LZ64" s="621"/>
      <c r="MA64" s="621"/>
      <c r="MB64" s="621"/>
      <c r="MC64" s="621"/>
      <c r="MD64" s="621"/>
      <c r="ME64" s="621"/>
      <c r="MF64" s="621"/>
      <c r="MG64" s="621"/>
      <c r="MH64" s="621"/>
      <c r="MI64" s="621"/>
      <c r="MJ64" s="621"/>
      <c r="MK64" s="621"/>
      <c r="ML64" s="621"/>
      <c r="MM64" s="621"/>
      <c r="MN64" s="621"/>
      <c r="MO64" s="621"/>
      <c r="MP64" s="621"/>
      <c r="MQ64" s="621"/>
      <c r="MR64" s="621"/>
      <c r="MS64" s="621"/>
      <c r="MT64" s="621"/>
      <c r="MU64" s="621"/>
      <c r="MV64" s="621"/>
      <c r="MW64" s="621"/>
      <c r="MX64" s="621"/>
      <c r="MY64" s="621"/>
      <c r="MZ64" s="621"/>
      <c r="NA64" s="621"/>
      <c r="NB64" s="621"/>
      <c r="NC64" s="621"/>
      <c r="ND64" s="621"/>
      <c r="NE64" s="621"/>
      <c r="NF64" s="621"/>
      <c r="NG64" s="621"/>
      <c r="NH64" s="621"/>
      <c r="NI64" s="621"/>
      <c r="NJ64" s="621"/>
      <c r="NK64" s="621"/>
      <c r="NL64" s="621"/>
      <c r="NM64" s="621"/>
      <c r="NN64" s="621"/>
      <c r="NO64" s="621"/>
      <c r="NP64" s="621"/>
      <c r="NQ64" s="621"/>
      <c r="NR64" s="621"/>
      <c r="NS64" s="621"/>
      <c r="NT64" s="621"/>
      <c r="NU64" s="621"/>
      <c r="NV64" s="621"/>
      <c r="NW64" s="621"/>
      <c r="NX64" s="621"/>
      <c r="NY64" s="621"/>
      <c r="NZ64" s="621"/>
      <c r="OA64" s="621"/>
      <c r="OB64" s="621"/>
      <c r="OC64" s="621"/>
      <c r="OD64" s="621"/>
      <c r="OE64" s="621"/>
      <c r="OF64" s="621"/>
      <c r="OG64" s="621"/>
      <c r="OH64" s="621"/>
      <c r="OI64" s="621"/>
      <c r="OJ64" s="621"/>
      <c r="OK64" s="621"/>
      <c r="OL64" s="621"/>
      <c r="OM64" s="621"/>
      <c r="ON64" s="621"/>
      <c r="OO64" s="621"/>
      <c r="OP64" s="621"/>
      <c r="OQ64" s="621"/>
      <c r="OR64" s="621"/>
      <c r="OS64" s="621"/>
      <c r="OT64" s="621"/>
      <c r="OU64" s="621"/>
      <c r="OV64" s="621"/>
      <c r="OW64" s="621"/>
      <c r="OX64" s="621"/>
      <c r="OY64" s="621"/>
      <c r="OZ64" s="621"/>
      <c r="PA64" s="621"/>
      <c r="PB64" s="621"/>
      <c r="PC64" s="621"/>
      <c r="PD64" s="621"/>
      <c r="PE64" s="621"/>
      <c r="PF64" s="621"/>
      <c r="PG64" s="621"/>
      <c r="PH64" s="621"/>
      <c r="PI64" s="621"/>
      <c r="PJ64" s="621"/>
      <c r="PK64" s="621"/>
      <c r="PL64" s="621"/>
      <c r="PM64" s="621"/>
      <c r="PN64" s="621"/>
      <c r="PO64" s="621"/>
      <c r="PP64" s="621"/>
      <c r="PQ64" s="621"/>
      <c r="PR64" s="621"/>
      <c r="PS64" s="621"/>
      <c r="PT64" s="621"/>
      <c r="PU64" s="621"/>
      <c r="PV64" s="621"/>
      <c r="PW64" s="621"/>
      <c r="PX64" s="621"/>
      <c r="PY64" s="621"/>
      <c r="PZ64" s="621"/>
      <c r="QA64" s="621"/>
      <c r="QB64" s="621"/>
      <c r="QC64" s="621"/>
      <c r="QD64" s="621"/>
      <c r="QE64" s="621"/>
      <c r="QF64" s="621"/>
      <c r="QG64" s="621"/>
      <c r="QH64" s="621"/>
      <c r="QI64" s="621"/>
      <c r="QJ64" s="621"/>
      <c r="QK64" s="621"/>
      <c r="QL64" s="621"/>
      <c r="QM64" s="621"/>
      <c r="QN64" s="621"/>
      <c r="QO64" s="621"/>
      <c r="QP64" s="621"/>
      <c r="QQ64" s="621"/>
      <c r="QR64" s="621"/>
      <c r="QS64" s="621"/>
      <c r="QT64" s="621"/>
      <c r="QU64" s="621"/>
      <c r="QV64" s="621"/>
      <c r="QW64" s="621"/>
      <c r="QX64" s="621"/>
      <c r="QY64" s="621"/>
      <c r="QZ64" s="621"/>
      <c r="RA64" s="621"/>
      <c r="RB64" s="621"/>
      <c r="RC64" s="621"/>
      <c r="RD64" s="621"/>
      <c r="RE64" s="621"/>
      <c r="RF64" s="621"/>
      <c r="RG64" s="621"/>
      <c r="RH64" s="621"/>
      <c r="RI64" s="621"/>
      <c r="RJ64" s="621"/>
      <c r="RK64" s="621"/>
      <c r="RL64" s="621"/>
      <c r="RM64" s="621"/>
      <c r="RN64" s="621"/>
      <c r="RO64" s="621"/>
      <c r="RP64" s="621"/>
      <c r="RQ64" s="621"/>
      <c r="RR64" s="621"/>
      <c r="RS64" s="621"/>
      <c r="RT64" s="621"/>
      <c r="RU64" s="621"/>
      <c r="RV64" s="621"/>
      <c r="RW64" s="621"/>
      <c r="RX64" s="621"/>
      <c r="RY64" s="621"/>
      <c r="RZ64" s="621"/>
      <c r="SA64" s="621"/>
      <c r="SB64" s="621"/>
      <c r="SC64" s="621"/>
      <c r="SD64" s="621"/>
      <c r="SE64" s="621"/>
      <c r="SF64" s="621"/>
      <c r="SG64" s="621"/>
      <c r="SH64" s="621"/>
      <c r="SI64" s="621"/>
      <c r="SJ64" s="621"/>
      <c r="SK64" s="621"/>
      <c r="SL64" s="621"/>
      <c r="SM64" s="621"/>
      <c r="SN64" s="621"/>
      <c r="SO64" s="621"/>
      <c r="SP64" s="621"/>
      <c r="SQ64" s="621"/>
      <c r="SR64" s="621"/>
      <c r="SS64" s="621"/>
      <c r="ST64" s="621"/>
      <c r="SU64" s="621"/>
      <c r="SV64" s="621"/>
      <c r="SW64" s="621"/>
      <c r="SX64" s="621"/>
      <c r="SY64" s="621"/>
      <c r="SZ64" s="621"/>
      <c r="TA64" s="621"/>
      <c r="TB64" s="621"/>
      <c r="TC64" s="621"/>
      <c r="TD64" s="621"/>
      <c r="TE64" s="621"/>
      <c r="TF64" s="621"/>
      <c r="TG64" s="621"/>
      <c r="TH64" s="621"/>
      <c r="TI64" s="621"/>
      <c r="TJ64" s="621"/>
      <c r="TK64" s="621"/>
      <c r="TL64" s="621"/>
      <c r="TM64" s="621"/>
      <c r="TN64" s="621"/>
      <c r="TO64" s="621"/>
      <c r="TP64" s="621"/>
      <c r="TQ64" s="621"/>
      <c r="TR64" s="621"/>
      <c r="TS64" s="621"/>
      <c r="TT64" s="621"/>
      <c r="TU64" s="621"/>
      <c r="TV64" s="621"/>
      <c r="TW64" s="621"/>
      <c r="TX64" s="621"/>
      <c r="TY64" s="621"/>
      <c r="TZ64" s="621"/>
      <c r="UA64" s="621"/>
      <c r="UB64" s="621"/>
      <c r="UC64" s="621"/>
      <c r="UD64" s="621"/>
      <c r="UE64" s="621"/>
      <c r="UF64" s="621"/>
      <c r="UG64" s="621"/>
      <c r="UH64" s="621"/>
      <c r="UI64" s="621"/>
      <c r="UJ64" s="621"/>
      <c r="UK64" s="621"/>
      <c r="UL64" s="621"/>
      <c r="UM64" s="621"/>
      <c r="UN64" s="621"/>
      <c r="UO64" s="621"/>
      <c r="UP64" s="621"/>
      <c r="UQ64" s="621"/>
      <c r="UR64" s="621"/>
      <c r="US64" s="621"/>
      <c r="UT64" s="621"/>
      <c r="UU64" s="621"/>
      <c r="UV64" s="621"/>
      <c r="UW64" s="621"/>
      <c r="UX64" s="621"/>
      <c r="UY64" s="621"/>
      <c r="UZ64" s="621"/>
      <c r="VA64" s="621"/>
      <c r="VB64" s="621"/>
      <c r="VC64" s="621"/>
      <c r="VD64" s="621"/>
      <c r="VE64" s="621"/>
      <c r="VF64" s="621"/>
      <c r="VG64" s="621"/>
      <c r="VH64" s="621"/>
      <c r="VI64" s="621"/>
      <c r="VJ64" s="621"/>
      <c r="VK64" s="621"/>
      <c r="VL64" s="621"/>
      <c r="VM64" s="621"/>
      <c r="VN64" s="621"/>
      <c r="VO64" s="621"/>
      <c r="VP64" s="621"/>
      <c r="VQ64" s="621"/>
      <c r="VR64" s="621"/>
      <c r="VS64" s="621"/>
      <c r="VT64" s="621"/>
      <c r="VU64" s="621"/>
      <c r="VV64" s="621"/>
      <c r="VW64" s="621"/>
      <c r="VX64" s="621"/>
      <c r="VY64" s="621"/>
      <c r="VZ64" s="621"/>
      <c r="WA64" s="621"/>
      <c r="WB64" s="621"/>
      <c r="WC64" s="621"/>
      <c r="WD64" s="621"/>
      <c r="WE64" s="621"/>
      <c r="WF64" s="621"/>
      <c r="WG64" s="621"/>
      <c r="WH64" s="621"/>
      <c r="WI64" s="621"/>
      <c r="WJ64" s="621"/>
      <c r="WK64" s="621"/>
      <c r="WL64" s="621"/>
      <c r="WM64" s="621"/>
      <c r="WN64" s="621"/>
      <c r="WO64" s="621"/>
      <c r="WP64" s="621"/>
      <c r="WQ64" s="621"/>
      <c r="WR64" s="621"/>
      <c r="WS64" s="621"/>
      <c r="WT64" s="621"/>
      <c r="WU64" s="621"/>
      <c r="WV64" s="621"/>
      <c r="WW64" s="621"/>
      <c r="WX64" s="621"/>
      <c r="WY64" s="621"/>
      <c r="WZ64" s="621"/>
      <c r="XA64" s="621"/>
      <c r="XB64" s="621"/>
      <c r="XC64" s="621"/>
      <c r="XD64" s="621"/>
      <c r="XE64" s="621"/>
      <c r="XF64" s="621"/>
      <c r="XG64" s="621"/>
      <c r="XH64" s="621"/>
      <c r="XI64" s="621"/>
      <c r="XJ64" s="621"/>
      <c r="XK64" s="621"/>
      <c r="XL64" s="621"/>
      <c r="XM64" s="621"/>
      <c r="XN64" s="621"/>
      <c r="XO64" s="621"/>
      <c r="XP64" s="621"/>
      <c r="XQ64" s="621"/>
      <c r="XR64" s="621"/>
      <c r="XS64" s="621"/>
      <c r="XT64" s="621"/>
      <c r="XU64" s="621"/>
      <c r="XV64" s="621"/>
      <c r="XW64" s="621"/>
      <c r="XX64" s="621"/>
      <c r="XY64" s="621"/>
      <c r="XZ64" s="621"/>
      <c r="YA64" s="621"/>
      <c r="YB64" s="621"/>
      <c r="YC64" s="621"/>
      <c r="YD64" s="621"/>
      <c r="YE64" s="621"/>
      <c r="YF64" s="621"/>
      <c r="YG64" s="621"/>
      <c r="YH64" s="621"/>
      <c r="YI64" s="621"/>
      <c r="YJ64" s="621"/>
      <c r="YK64" s="621"/>
      <c r="YL64" s="621"/>
      <c r="YM64" s="621"/>
      <c r="YN64" s="621"/>
      <c r="YO64" s="621"/>
      <c r="YP64" s="621"/>
      <c r="YQ64" s="621"/>
      <c r="YR64" s="621"/>
      <c r="YS64" s="621"/>
      <c r="YT64" s="621"/>
      <c r="YU64" s="621"/>
      <c r="YV64" s="621"/>
      <c r="YW64" s="621"/>
      <c r="YX64" s="621"/>
      <c r="YY64" s="621"/>
      <c r="YZ64" s="621"/>
      <c r="ZA64" s="621"/>
      <c r="ZB64" s="621"/>
      <c r="ZC64" s="621"/>
      <c r="ZD64" s="621"/>
      <c r="ZE64" s="621"/>
      <c r="ZF64" s="621"/>
      <c r="ZG64" s="621"/>
      <c r="ZH64" s="621"/>
      <c r="ZI64" s="621"/>
      <c r="ZJ64" s="621"/>
      <c r="ZK64" s="621"/>
      <c r="ZL64" s="621"/>
      <c r="ZM64" s="621"/>
      <c r="ZN64" s="621"/>
      <c r="ZO64" s="621"/>
      <c r="ZP64" s="621"/>
      <c r="ZQ64" s="621"/>
      <c r="ZR64" s="621"/>
      <c r="ZS64" s="621"/>
      <c r="ZT64" s="621"/>
      <c r="ZU64" s="621"/>
      <c r="ZV64" s="621"/>
      <c r="ZW64" s="621"/>
      <c r="ZX64" s="621"/>
      <c r="ZY64" s="621"/>
      <c r="ZZ64" s="621"/>
      <c r="AAA64" s="621"/>
      <c r="AAB64" s="621"/>
      <c r="AAC64" s="621"/>
      <c r="AAD64" s="621"/>
      <c r="AAE64" s="621"/>
      <c r="AAF64" s="621"/>
      <c r="AAG64" s="621"/>
      <c r="AAH64" s="621"/>
      <c r="AAI64" s="621"/>
      <c r="AAJ64" s="621"/>
      <c r="AAK64" s="621"/>
      <c r="AAL64" s="621"/>
      <c r="AAM64" s="621"/>
      <c r="AAN64" s="621"/>
      <c r="AAO64" s="621"/>
      <c r="AAP64" s="621"/>
      <c r="AAQ64" s="621"/>
      <c r="AAR64" s="621"/>
      <c r="AAS64" s="621"/>
      <c r="AAT64" s="621"/>
      <c r="AAU64" s="621"/>
      <c r="AAV64" s="621"/>
      <c r="AAW64" s="621"/>
      <c r="AAX64" s="621"/>
      <c r="AAY64" s="621"/>
      <c r="AAZ64" s="621"/>
      <c r="ABA64" s="621"/>
      <c r="ABB64" s="621"/>
      <c r="ABC64" s="621"/>
      <c r="ABD64" s="621"/>
      <c r="ABE64" s="621"/>
      <c r="ABF64" s="621"/>
      <c r="ABG64" s="621"/>
      <c r="ABH64" s="621"/>
      <c r="ABI64" s="621"/>
      <c r="ABJ64" s="621"/>
      <c r="ABK64" s="621"/>
      <c r="ABL64" s="621"/>
      <c r="ABM64" s="621"/>
      <c r="ABN64" s="621"/>
      <c r="ABO64" s="621"/>
      <c r="ABP64" s="621"/>
      <c r="ABQ64" s="621"/>
      <c r="ABR64" s="621"/>
      <c r="ABS64" s="621"/>
      <c r="ABT64" s="621"/>
      <c r="ABU64" s="621"/>
      <c r="ABV64" s="621"/>
      <c r="ABW64" s="621"/>
      <c r="ABX64" s="621"/>
      <c r="ABY64" s="621"/>
      <c r="ABZ64" s="621"/>
      <c r="ACA64" s="621"/>
      <c r="ACB64" s="621"/>
      <c r="ACC64" s="621"/>
      <c r="ACD64" s="621"/>
      <c r="ACE64" s="621"/>
      <c r="ACF64" s="621"/>
      <c r="ACG64" s="621"/>
      <c r="ACH64" s="621"/>
      <c r="ACI64" s="621"/>
      <c r="ACJ64" s="621"/>
      <c r="ACK64" s="621"/>
      <c r="ACL64" s="621"/>
      <c r="ACM64" s="621"/>
      <c r="ACN64" s="621"/>
      <c r="ACO64" s="621"/>
      <c r="ACP64" s="621"/>
      <c r="ACQ64" s="621"/>
      <c r="ACR64" s="621"/>
      <c r="ACS64" s="621"/>
      <c r="ACT64" s="621"/>
      <c r="ACU64" s="621"/>
      <c r="ACV64" s="621"/>
      <c r="ACW64" s="621"/>
      <c r="ACX64" s="621"/>
      <c r="ACY64" s="621"/>
      <c r="ACZ64" s="621"/>
      <c r="ADA64" s="621"/>
      <c r="ADB64" s="621"/>
      <c r="ADC64" s="621"/>
      <c r="ADD64" s="621"/>
      <c r="ADE64" s="621"/>
      <c r="ADF64" s="621"/>
      <c r="ADG64" s="621"/>
      <c r="ADH64" s="621"/>
      <c r="ADI64" s="621"/>
      <c r="ADJ64" s="621"/>
      <c r="ADK64" s="621"/>
      <c r="ADL64" s="621"/>
      <c r="ADM64" s="621"/>
      <c r="ADN64" s="621"/>
      <c r="ADO64" s="621"/>
      <c r="ADP64" s="621"/>
      <c r="ADQ64" s="621"/>
      <c r="ADR64" s="621"/>
      <c r="ADS64" s="621"/>
      <c r="ADT64" s="621"/>
      <c r="ADU64" s="621"/>
      <c r="ADV64" s="621"/>
      <c r="ADW64" s="621"/>
      <c r="ADX64" s="621"/>
      <c r="ADY64" s="621"/>
      <c r="ADZ64" s="621"/>
      <c r="AEA64" s="621"/>
      <c r="AEB64" s="621"/>
      <c r="AEC64" s="621"/>
      <c r="AED64" s="621"/>
      <c r="AEE64" s="621"/>
      <c r="AEF64" s="621"/>
      <c r="AEG64" s="621"/>
      <c r="AEH64" s="621"/>
      <c r="AEI64" s="621"/>
      <c r="AEJ64" s="621"/>
      <c r="AEK64" s="621"/>
      <c r="AEL64" s="621"/>
      <c r="AEM64" s="621"/>
      <c r="AEN64" s="621"/>
      <c r="AEO64" s="621"/>
      <c r="AEP64" s="621"/>
      <c r="AEQ64" s="621"/>
      <c r="AER64" s="621"/>
      <c r="AES64" s="621"/>
      <c r="AET64" s="621"/>
      <c r="AEU64" s="621"/>
      <c r="AEV64" s="621"/>
      <c r="AEW64" s="621"/>
      <c r="AEX64" s="621"/>
      <c r="AEY64" s="621"/>
      <c r="AEZ64" s="621"/>
      <c r="AFA64" s="621"/>
      <c r="AFB64" s="621"/>
      <c r="AFC64" s="621"/>
      <c r="AFD64" s="621"/>
      <c r="AFE64" s="621"/>
      <c r="AFF64" s="621"/>
      <c r="AFG64" s="621"/>
      <c r="AFH64" s="621"/>
      <c r="AFI64" s="621"/>
      <c r="AFJ64" s="621"/>
      <c r="AFK64" s="621"/>
      <c r="AFL64" s="621"/>
      <c r="AFM64" s="621"/>
      <c r="AFN64" s="621"/>
      <c r="AFO64" s="621"/>
      <c r="AFP64" s="621"/>
      <c r="AFQ64" s="621"/>
      <c r="AFR64" s="621"/>
      <c r="AFS64" s="621"/>
      <c r="AFT64" s="621"/>
      <c r="AFU64" s="621"/>
      <c r="AFV64" s="621"/>
      <c r="AFW64" s="621"/>
      <c r="AFX64" s="621"/>
      <c r="AFY64" s="621"/>
      <c r="AFZ64" s="621"/>
      <c r="AGA64" s="621"/>
      <c r="AGB64" s="621"/>
      <c r="AGC64" s="621"/>
      <c r="AGD64" s="621"/>
      <c r="AGE64" s="621"/>
      <c r="AGF64" s="621"/>
      <c r="AGG64" s="621"/>
      <c r="AGH64" s="621"/>
      <c r="AGI64" s="621"/>
      <c r="AGJ64" s="621"/>
      <c r="AGK64" s="621"/>
      <c r="AGL64" s="621"/>
      <c r="AGM64" s="621"/>
      <c r="AGN64" s="621"/>
      <c r="AGO64" s="621"/>
      <c r="AGP64" s="621"/>
      <c r="AGQ64" s="621"/>
      <c r="AGR64" s="621"/>
      <c r="AGS64" s="621"/>
      <c r="AGT64" s="621"/>
      <c r="AGU64" s="621"/>
      <c r="AGV64" s="621"/>
      <c r="AGW64" s="621"/>
      <c r="AGX64" s="621"/>
      <c r="AGY64" s="621"/>
      <c r="AGZ64" s="621"/>
      <c r="AHA64" s="621"/>
      <c r="AHB64" s="621"/>
      <c r="AHC64" s="621"/>
      <c r="AHD64" s="621"/>
      <c r="AHE64" s="621"/>
      <c r="AHF64" s="621"/>
      <c r="AHG64" s="621"/>
      <c r="AHH64" s="621"/>
      <c r="AHI64" s="621"/>
      <c r="AHJ64" s="621"/>
      <c r="AHK64" s="621"/>
      <c r="AHL64" s="621"/>
      <c r="AHM64" s="621"/>
      <c r="AHN64" s="621"/>
      <c r="AHO64" s="621"/>
      <c r="AHP64" s="621"/>
      <c r="AHQ64" s="621"/>
      <c r="AHR64" s="621"/>
      <c r="AHS64" s="621"/>
      <c r="AHT64" s="621"/>
      <c r="AHU64" s="621"/>
      <c r="AHV64" s="621"/>
      <c r="AHW64" s="621"/>
      <c r="AHX64" s="621"/>
      <c r="AHY64" s="621"/>
      <c r="AHZ64" s="621"/>
      <c r="AIA64" s="621"/>
      <c r="AIB64" s="621"/>
      <c r="AIC64" s="621"/>
      <c r="AID64" s="621"/>
      <c r="AIE64" s="621"/>
      <c r="AIF64" s="621"/>
      <c r="AIG64" s="621"/>
      <c r="AIH64" s="621"/>
      <c r="AII64" s="621"/>
      <c r="AIJ64" s="621"/>
      <c r="AIK64" s="621"/>
      <c r="AIL64" s="621"/>
      <c r="AIM64" s="621"/>
      <c r="AIN64" s="621"/>
      <c r="AIO64" s="621"/>
      <c r="AIP64" s="621"/>
      <c r="AIQ64" s="621"/>
      <c r="AIR64" s="621"/>
      <c r="AIS64" s="621"/>
      <c r="AIT64" s="621"/>
      <c r="AIU64" s="621"/>
      <c r="AIV64" s="621"/>
      <c r="AIW64" s="621"/>
      <c r="AIX64" s="621"/>
      <c r="AIY64" s="621"/>
      <c r="AIZ64" s="621"/>
      <c r="AJA64" s="621"/>
      <c r="AJB64" s="621"/>
      <c r="AJC64" s="621"/>
      <c r="AJD64" s="621"/>
      <c r="AJE64" s="621"/>
      <c r="AJF64" s="621"/>
      <c r="AJG64" s="621"/>
      <c r="AJH64" s="621"/>
      <c r="AJI64" s="621"/>
      <c r="AJJ64" s="621"/>
      <c r="AJK64" s="621"/>
      <c r="AJL64" s="621"/>
      <c r="AJM64" s="621"/>
      <c r="AJN64" s="621"/>
      <c r="AJO64" s="621"/>
      <c r="AJP64" s="621"/>
      <c r="AJQ64" s="621"/>
      <c r="AJR64" s="621"/>
      <c r="AJS64" s="621"/>
      <c r="AJT64" s="621"/>
      <c r="AJU64" s="621"/>
      <c r="AJV64" s="621"/>
      <c r="AJW64" s="621"/>
      <c r="AJX64" s="621"/>
      <c r="AJY64" s="621"/>
      <c r="AJZ64" s="621"/>
      <c r="AKA64" s="621"/>
      <c r="AKB64" s="621"/>
      <c r="AKC64" s="621"/>
      <c r="AKD64" s="621"/>
      <c r="AKE64" s="621"/>
      <c r="AKF64" s="621"/>
      <c r="AKG64" s="621"/>
      <c r="AKH64" s="621"/>
      <c r="AKI64" s="621"/>
      <c r="AKJ64" s="621"/>
      <c r="AKK64" s="621"/>
      <c r="AKL64" s="621"/>
      <c r="AKM64" s="621"/>
      <c r="AKN64" s="621"/>
      <c r="AKO64" s="621"/>
      <c r="AKP64" s="621"/>
      <c r="AKQ64" s="621"/>
      <c r="AKR64" s="621"/>
      <c r="AKS64" s="621"/>
      <c r="AKT64" s="621"/>
      <c r="AKU64" s="621"/>
      <c r="AKV64" s="621"/>
      <c r="AKW64" s="621"/>
      <c r="AKX64" s="621"/>
      <c r="AKY64" s="621"/>
      <c r="AKZ64" s="621"/>
      <c r="ALA64" s="621"/>
      <c r="ALB64" s="621"/>
      <c r="ALC64" s="621"/>
      <c r="ALD64" s="621"/>
      <c r="ALE64" s="621"/>
      <c r="ALF64" s="621"/>
      <c r="ALG64" s="621"/>
      <c r="ALH64" s="621"/>
      <c r="ALI64" s="621"/>
      <c r="ALJ64" s="621"/>
      <c r="ALK64" s="621"/>
      <c r="ALL64" s="621"/>
      <c r="ALM64" s="621"/>
      <c r="ALN64" s="621"/>
      <c r="ALO64" s="621"/>
      <c r="ALP64" s="621"/>
      <c r="ALQ64" s="621"/>
      <c r="ALR64" s="621"/>
      <c r="ALS64" s="621"/>
      <c r="ALT64" s="621"/>
      <c r="ALU64" s="621"/>
      <c r="ALV64" s="621"/>
      <c r="ALW64" s="621"/>
      <c r="ALX64" s="621"/>
      <c r="ALY64" s="621"/>
      <c r="ALZ64" s="621"/>
      <c r="AMA64" s="621"/>
      <c r="AMB64" s="621"/>
      <c r="AMC64" s="621"/>
      <c r="AMD64" s="621"/>
      <c r="AME64" s="621"/>
      <c r="AMF64" s="621"/>
      <c r="AMG64" s="621"/>
      <c r="AMH64" s="621"/>
      <c r="AMI64" s="621"/>
      <c r="AMJ64" s="621"/>
      <c r="AMK64" s="621"/>
    </row>
    <row r="65" spans="1:1025" ht="27" customHeight="1">
      <c r="A65" s="459"/>
      <c r="B65" s="448" t="s">
        <v>403</v>
      </c>
      <c r="C65" s="376">
        <f>D65*1.25</f>
        <v>0</v>
      </c>
      <c r="D65" s="453">
        <f>G7</f>
        <v>0</v>
      </c>
      <c r="E65" s="2042"/>
      <c r="F65" s="2042"/>
      <c r="G65" s="392"/>
      <c r="H65" s="429"/>
      <c r="I65" s="1497"/>
      <c r="J65" s="1495">
        <v>16817.599999999999</v>
      </c>
      <c r="K65" s="1472"/>
      <c r="L65" s="413">
        <f>47000/4</f>
        <v>11750</v>
      </c>
      <c r="M65" s="1495"/>
      <c r="N65" s="272"/>
      <c r="O65" s="272"/>
      <c r="P65" s="272"/>
      <c r="T65" s="397"/>
      <c r="U65" s="397"/>
      <c r="V65" s="452"/>
      <c r="W65" s="452"/>
      <c r="X65" s="452"/>
      <c r="Y65" s="397"/>
      <c r="Z65" s="397"/>
      <c r="AA65" s="397"/>
      <c r="AE65" s="1471"/>
      <c r="AF65" s="1493"/>
      <c r="AG65" s="1494"/>
      <c r="AH65" s="1494"/>
      <c r="AI65" s="1494"/>
      <c r="AJ65" s="1494"/>
      <c r="AK65" s="1494"/>
      <c r="AL65" s="1494"/>
      <c r="AM65" s="1475">
        <f t="shared" si="13"/>
        <v>0</v>
      </c>
      <c r="AN65" s="1493"/>
      <c r="AO65" s="1475"/>
      <c r="AP65" s="289"/>
      <c r="AQ65" s="621"/>
      <c r="AR65" s="621"/>
      <c r="AS65" s="621"/>
      <c r="AT65" s="621"/>
      <c r="AU65" s="621"/>
      <c r="AV65" s="621"/>
      <c r="AW65" s="621"/>
      <c r="AX65" s="621"/>
      <c r="AY65" s="621"/>
      <c r="AZ65" s="621"/>
      <c r="BA65" s="621"/>
      <c r="BB65" s="621"/>
      <c r="BC65" s="621"/>
      <c r="BD65" s="621"/>
      <c r="BE65" s="621"/>
      <c r="BF65" s="621"/>
      <c r="BG65" s="621"/>
      <c r="BH65" s="621"/>
      <c r="BI65" s="621"/>
      <c r="BJ65" s="621"/>
      <c r="BK65" s="621"/>
      <c r="BL65" s="621"/>
      <c r="BM65" s="621"/>
      <c r="BN65" s="621"/>
      <c r="BO65" s="621"/>
      <c r="BP65" s="621"/>
      <c r="BQ65" s="621"/>
      <c r="BR65" s="621"/>
      <c r="BS65" s="621"/>
      <c r="BT65" s="621"/>
      <c r="BU65" s="621"/>
      <c r="BV65" s="621"/>
      <c r="BW65" s="621"/>
      <c r="BX65" s="621"/>
      <c r="BY65" s="621"/>
      <c r="BZ65" s="621"/>
      <c r="CA65" s="621"/>
      <c r="CB65" s="621"/>
      <c r="CC65" s="621"/>
      <c r="CD65" s="621"/>
      <c r="CE65" s="621"/>
      <c r="CF65" s="621"/>
      <c r="CG65" s="621"/>
      <c r="CH65" s="621"/>
      <c r="CI65" s="621"/>
      <c r="CJ65" s="621"/>
      <c r="CK65" s="621"/>
      <c r="CL65" s="621"/>
      <c r="CM65" s="621"/>
      <c r="CN65" s="621"/>
      <c r="CO65" s="621"/>
      <c r="CP65" s="621"/>
      <c r="CQ65" s="621"/>
      <c r="CR65" s="621"/>
      <c r="CS65" s="621"/>
      <c r="CT65" s="621"/>
      <c r="CU65" s="621"/>
      <c r="CV65" s="621"/>
      <c r="CW65" s="621"/>
      <c r="CX65" s="621"/>
      <c r="CY65" s="621"/>
      <c r="CZ65" s="621"/>
      <c r="DA65" s="621"/>
      <c r="DB65" s="621"/>
      <c r="DC65" s="621"/>
      <c r="DD65" s="621"/>
      <c r="DE65" s="621"/>
      <c r="DF65" s="621"/>
      <c r="DG65" s="621"/>
      <c r="DH65" s="621"/>
      <c r="DI65" s="621"/>
      <c r="DJ65" s="621"/>
      <c r="DK65" s="621"/>
      <c r="DL65" s="621"/>
      <c r="DM65" s="621"/>
      <c r="DN65" s="621"/>
      <c r="DO65" s="621"/>
      <c r="DP65" s="621"/>
      <c r="DQ65" s="621"/>
      <c r="DR65" s="621"/>
      <c r="DS65" s="621"/>
      <c r="DT65" s="621"/>
      <c r="DU65" s="621"/>
      <c r="DV65" s="621"/>
      <c r="DW65" s="621"/>
      <c r="DX65" s="621"/>
      <c r="DY65" s="621"/>
      <c r="DZ65" s="621"/>
      <c r="EA65" s="621"/>
      <c r="EB65" s="621"/>
      <c r="EC65" s="621"/>
      <c r="ED65" s="621"/>
      <c r="EE65" s="621"/>
      <c r="EF65" s="621"/>
      <c r="EG65" s="621"/>
      <c r="EH65" s="621"/>
      <c r="EI65" s="621"/>
      <c r="EJ65" s="621"/>
      <c r="EK65" s="621"/>
      <c r="EL65" s="621"/>
      <c r="EM65" s="621"/>
      <c r="EN65" s="621"/>
      <c r="EO65" s="621"/>
      <c r="EP65" s="621"/>
      <c r="EQ65" s="621"/>
      <c r="ER65" s="621"/>
      <c r="ES65" s="621"/>
      <c r="ET65" s="621"/>
      <c r="EU65" s="621"/>
      <c r="EV65" s="621"/>
      <c r="EW65" s="621"/>
      <c r="EX65" s="621"/>
      <c r="EY65" s="621"/>
      <c r="EZ65" s="621"/>
      <c r="FA65" s="621"/>
      <c r="FB65" s="621"/>
      <c r="FC65" s="621"/>
      <c r="FD65" s="621"/>
      <c r="FE65" s="621"/>
      <c r="FF65" s="621"/>
      <c r="FG65" s="621"/>
      <c r="FH65" s="621"/>
      <c r="FI65" s="621"/>
      <c r="FJ65" s="621"/>
      <c r="FK65" s="621"/>
      <c r="FL65" s="621"/>
      <c r="FM65" s="621"/>
      <c r="FN65" s="621"/>
      <c r="FO65" s="621"/>
      <c r="FP65" s="621"/>
      <c r="FQ65" s="621"/>
      <c r="FR65" s="621"/>
      <c r="FS65" s="621"/>
      <c r="FT65" s="621"/>
      <c r="FU65" s="621"/>
      <c r="FV65" s="621"/>
      <c r="FW65" s="621"/>
      <c r="FX65" s="621"/>
      <c r="FY65" s="621"/>
      <c r="FZ65" s="621"/>
      <c r="GA65" s="621"/>
      <c r="GB65" s="621"/>
      <c r="GC65" s="621"/>
      <c r="GD65" s="621"/>
      <c r="GE65" s="621"/>
      <c r="GF65" s="621"/>
      <c r="GG65" s="621"/>
      <c r="GH65" s="621"/>
      <c r="GI65" s="621"/>
      <c r="GJ65" s="621"/>
      <c r="GK65" s="621"/>
      <c r="GL65" s="621"/>
      <c r="GM65" s="621"/>
      <c r="GN65" s="621"/>
      <c r="GO65" s="621"/>
      <c r="GP65" s="621"/>
      <c r="GQ65" s="621"/>
      <c r="GR65" s="621"/>
      <c r="GS65" s="621"/>
      <c r="GT65" s="621"/>
      <c r="GU65" s="621"/>
      <c r="GV65" s="621"/>
      <c r="GW65" s="621"/>
      <c r="GX65" s="621"/>
      <c r="GY65" s="621"/>
      <c r="GZ65" s="621"/>
      <c r="HA65" s="621"/>
      <c r="HB65" s="621"/>
      <c r="HC65" s="621"/>
      <c r="HD65" s="621"/>
      <c r="HE65" s="621"/>
      <c r="HF65" s="621"/>
      <c r="HG65" s="621"/>
      <c r="HH65" s="621"/>
      <c r="HI65" s="621"/>
      <c r="HJ65" s="621"/>
      <c r="HK65" s="621"/>
      <c r="HL65" s="621"/>
      <c r="HM65" s="621"/>
      <c r="HN65" s="621"/>
      <c r="HO65" s="621"/>
      <c r="HP65" s="621"/>
      <c r="HQ65" s="621"/>
      <c r="HR65" s="621"/>
      <c r="HS65" s="621"/>
      <c r="HT65" s="621"/>
      <c r="HU65" s="621"/>
      <c r="HV65" s="621"/>
      <c r="HW65" s="621"/>
      <c r="HX65" s="621"/>
      <c r="HY65" s="621"/>
      <c r="HZ65" s="621"/>
      <c r="IA65" s="621"/>
      <c r="IB65" s="621"/>
      <c r="IC65" s="621"/>
      <c r="ID65" s="621"/>
      <c r="IE65" s="621"/>
      <c r="IF65" s="621"/>
      <c r="IG65" s="621"/>
      <c r="IH65" s="621"/>
      <c r="II65" s="621"/>
      <c r="IJ65" s="621"/>
      <c r="IK65" s="621"/>
      <c r="IL65" s="621"/>
      <c r="IM65" s="621"/>
      <c r="IN65" s="621"/>
      <c r="IO65" s="621"/>
      <c r="IP65" s="621"/>
      <c r="IQ65" s="621"/>
      <c r="IR65" s="621"/>
      <c r="IS65" s="621"/>
      <c r="IT65" s="621"/>
      <c r="IU65" s="621"/>
      <c r="IV65" s="621"/>
      <c r="IW65" s="621"/>
      <c r="IX65" s="621"/>
      <c r="IY65" s="621"/>
      <c r="IZ65" s="621"/>
      <c r="JA65" s="621"/>
      <c r="JB65" s="621"/>
      <c r="JC65" s="621"/>
      <c r="JD65" s="621"/>
      <c r="JE65" s="621"/>
      <c r="JF65" s="621"/>
      <c r="JG65" s="621"/>
      <c r="JH65" s="621"/>
      <c r="JI65" s="621"/>
      <c r="JJ65" s="621"/>
      <c r="JK65" s="621"/>
      <c r="JL65" s="621"/>
      <c r="JM65" s="621"/>
      <c r="JN65" s="621"/>
      <c r="JO65" s="621"/>
      <c r="JP65" s="621"/>
      <c r="JQ65" s="621"/>
      <c r="JR65" s="621"/>
      <c r="JS65" s="621"/>
      <c r="JT65" s="621"/>
      <c r="JU65" s="621"/>
      <c r="JV65" s="621"/>
      <c r="JW65" s="621"/>
      <c r="JX65" s="621"/>
      <c r="JY65" s="621"/>
      <c r="JZ65" s="621"/>
      <c r="KA65" s="621"/>
      <c r="KB65" s="621"/>
      <c r="KC65" s="621"/>
      <c r="KD65" s="621"/>
      <c r="KE65" s="621"/>
      <c r="KF65" s="621"/>
      <c r="KG65" s="621"/>
      <c r="KH65" s="621"/>
      <c r="KI65" s="621"/>
      <c r="KJ65" s="621"/>
      <c r="KK65" s="621"/>
      <c r="KL65" s="621"/>
      <c r="KM65" s="621"/>
      <c r="KN65" s="621"/>
      <c r="KO65" s="621"/>
      <c r="KP65" s="621"/>
      <c r="KQ65" s="621"/>
      <c r="KR65" s="621"/>
      <c r="KS65" s="621"/>
      <c r="KT65" s="621"/>
      <c r="KU65" s="621"/>
      <c r="KV65" s="621"/>
      <c r="KW65" s="621"/>
      <c r="KX65" s="621"/>
      <c r="KY65" s="621"/>
      <c r="KZ65" s="621"/>
      <c r="LA65" s="621"/>
      <c r="LB65" s="621"/>
      <c r="LC65" s="621"/>
      <c r="LD65" s="621"/>
      <c r="LE65" s="621"/>
      <c r="LF65" s="621"/>
      <c r="LG65" s="621"/>
      <c r="LH65" s="621"/>
      <c r="LI65" s="621"/>
      <c r="LJ65" s="621"/>
      <c r="LK65" s="621"/>
      <c r="LL65" s="621"/>
      <c r="LM65" s="621"/>
      <c r="LN65" s="621"/>
      <c r="LO65" s="621"/>
      <c r="LP65" s="621"/>
      <c r="LQ65" s="621"/>
      <c r="LR65" s="621"/>
      <c r="LS65" s="621"/>
      <c r="LT65" s="621"/>
      <c r="LU65" s="621"/>
      <c r="LV65" s="621"/>
      <c r="LW65" s="621"/>
      <c r="LX65" s="621"/>
      <c r="LY65" s="621"/>
      <c r="LZ65" s="621"/>
      <c r="MA65" s="621"/>
      <c r="MB65" s="621"/>
      <c r="MC65" s="621"/>
      <c r="MD65" s="621"/>
      <c r="ME65" s="621"/>
      <c r="MF65" s="621"/>
      <c r="MG65" s="621"/>
      <c r="MH65" s="621"/>
      <c r="MI65" s="621"/>
      <c r="MJ65" s="621"/>
      <c r="MK65" s="621"/>
      <c r="ML65" s="621"/>
      <c r="MM65" s="621"/>
      <c r="MN65" s="621"/>
      <c r="MO65" s="621"/>
      <c r="MP65" s="621"/>
      <c r="MQ65" s="621"/>
      <c r="MR65" s="621"/>
      <c r="MS65" s="621"/>
      <c r="MT65" s="621"/>
      <c r="MU65" s="621"/>
      <c r="MV65" s="621"/>
      <c r="MW65" s="621"/>
      <c r="MX65" s="621"/>
      <c r="MY65" s="621"/>
      <c r="MZ65" s="621"/>
      <c r="NA65" s="621"/>
      <c r="NB65" s="621"/>
      <c r="NC65" s="621"/>
      <c r="ND65" s="621"/>
      <c r="NE65" s="621"/>
      <c r="NF65" s="621"/>
      <c r="NG65" s="621"/>
      <c r="NH65" s="621"/>
      <c r="NI65" s="621"/>
      <c r="NJ65" s="621"/>
      <c r="NK65" s="621"/>
      <c r="NL65" s="621"/>
      <c r="NM65" s="621"/>
      <c r="NN65" s="621"/>
      <c r="NO65" s="621"/>
      <c r="NP65" s="621"/>
      <c r="NQ65" s="621"/>
      <c r="NR65" s="621"/>
      <c r="NS65" s="621"/>
      <c r="NT65" s="621"/>
      <c r="NU65" s="621"/>
      <c r="NV65" s="621"/>
      <c r="NW65" s="621"/>
      <c r="NX65" s="621"/>
      <c r="NY65" s="621"/>
      <c r="NZ65" s="621"/>
      <c r="OA65" s="621"/>
      <c r="OB65" s="621"/>
      <c r="OC65" s="621"/>
      <c r="OD65" s="621"/>
      <c r="OE65" s="621"/>
      <c r="OF65" s="621"/>
      <c r="OG65" s="621"/>
      <c r="OH65" s="621"/>
      <c r="OI65" s="621"/>
      <c r="OJ65" s="621"/>
      <c r="OK65" s="621"/>
      <c r="OL65" s="621"/>
      <c r="OM65" s="621"/>
      <c r="ON65" s="621"/>
      <c r="OO65" s="621"/>
      <c r="OP65" s="621"/>
      <c r="OQ65" s="621"/>
      <c r="OR65" s="621"/>
      <c r="OS65" s="621"/>
      <c r="OT65" s="621"/>
      <c r="OU65" s="621"/>
      <c r="OV65" s="621"/>
      <c r="OW65" s="621"/>
      <c r="OX65" s="621"/>
      <c r="OY65" s="621"/>
      <c r="OZ65" s="621"/>
      <c r="PA65" s="621"/>
      <c r="PB65" s="621"/>
      <c r="PC65" s="621"/>
      <c r="PD65" s="621"/>
      <c r="PE65" s="621"/>
      <c r="PF65" s="621"/>
      <c r="PG65" s="621"/>
      <c r="PH65" s="621"/>
      <c r="PI65" s="621"/>
      <c r="PJ65" s="621"/>
      <c r="PK65" s="621"/>
      <c r="PL65" s="621"/>
      <c r="PM65" s="621"/>
      <c r="PN65" s="621"/>
      <c r="PO65" s="621"/>
      <c r="PP65" s="621"/>
      <c r="PQ65" s="621"/>
      <c r="PR65" s="621"/>
      <c r="PS65" s="621"/>
      <c r="PT65" s="621"/>
      <c r="PU65" s="621"/>
      <c r="PV65" s="621"/>
      <c r="PW65" s="621"/>
      <c r="PX65" s="621"/>
      <c r="PY65" s="621"/>
      <c r="PZ65" s="621"/>
      <c r="QA65" s="621"/>
      <c r="QB65" s="621"/>
      <c r="QC65" s="621"/>
      <c r="QD65" s="621"/>
      <c r="QE65" s="621"/>
      <c r="QF65" s="621"/>
      <c r="QG65" s="621"/>
      <c r="QH65" s="621"/>
      <c r="QI65" s="621"/>
      <c r="QJ65" s="621"/>
      <c r="QK65" s="621"/>
      <c r="QL65" s="621"/>
      <c r="QM65" s="621"/>
      <c r="QN65" s="621"/>
      <c r="QO65" s="621"/>
      <c r="QP65" s="621"/>
      <c r="QQ65" s="621"/>
      <c r="QR65" s="621"/>
      <c r="QS65" s="621"/>
      <c r="QT65" s="621"/>
      <c r="QU65" s="621"/>
      <c r="QV65" s="621"/>
      <c r="QW65" s="621"/>
      <c r="QX65" s="621"/>
      <c r="QY65" s="621"/>
      <c r="QZ65" s="621"/>
      <c r="RA65" s="621"/>
      <c r="RB65" s="621"/>
      <c r="RC65" s="621"/>
      <c r="RD65" s="621"/>
      <c r="RE65" s="621"/>
      <c r="RF65" s="621"/>
      <c r="RG65" s="621"/>
      <c r="RH65" s="621"/>
      <c r="RI65" s="621"/>
      <c r="RJ65" s="621"/>
      <c r="RK65" s="621"/>
      <c r="RL65" s="621"/>
      <c r="RM65" s="621"/>
      <c r="RN65" s="621"/>
      <c r="RO65" s="621"/>
      <c r="RP65" s="621"/>
      <c r="RQ65" s="621"/>
      <c r="RR65" s="621"/>
      <c r="RS65" s="621"/>
      <c r="RT65" s="621"/>
      <c r="RU65" s="621"/>
      <c r="RV65" s="621"/>
      <c r="RW65" s="621"/>
      <c r="RX65" s="621"/>
      <c r="RY65" s="621"/>
      <c r="RZ65" s="621"/>
      <c r="SA65" s="621"/>
      <c r="SB65" s="621"/>
      <c r="SC65" s="621"/>
      <c r="SD65" s="621"/>
      <c r="SE65" s="621"/>
      <c r="SF65" s="621"/>
      <c r="SG65" s="621"/>
      <c r="SH65" s="621"/>
      <c r="SI65" s="621"/>
      <c r="SJ65" s="621"/>
      <c r="SK65" s="621"/>
      <c r="SL65" s="621"/>
      <c r="SM65" s="621"/>
      <c r="SN65" s="621"/>
      <c r="SO65" s="621"/>
      <c r="SP65" s="621"/>
      <c r="SQ65" s="621"/>
      <c r="SR65" s="621"/>
      <c r="SS65" s="621"/>
      <c r="ST65" s="621"/>
      <c r="SU65" s="621"/>
      <c r="SV65" s="621"/>
      <c r="SW65" s="621"/>
      <c r="SX65" s="621"/>
      <c r="SY65" s="621"/>
      <c r="SZ65" s="621"/>
      <c r="TA65" s="621"/>
      <c r="TB65" s="621"/>
      <c r="TC65" s="621"/>
      <c r="TD65" s="621"/>
      <c r="TE65" s="621"/>
      <c r="TF65" s="621"/>
      <c r="TG65" s="621"/>
      <c r="TH65" s="621"/>
      <c r="TI65" s="621"/>
      <c r="TJ65" s="621"/>
      <c r="TK65" s="621"/>
      <c r="TL65" s="621"/>
      <c r="TM65" s="621"/>
      <c r="TN65" s="621"/>
      <c r="TO65" s="621"/>
      <c r="TP65" s="621"/>
      <c r="TQ65" s="621"/>
      <c r="TR65" s="621"/>
      <c r="TS65" s="621"/>
      <c r="TT65" s="621"/>
      <c r="TU65" s="621"/>
      <c r="TV65" s="621"/>
      <c r="TW65" s="621"/>
      <c r="TX65" s="621"/>
      <c r="TY65" s="621"/>
      <c r="TZ65" s="621"/>
      <c r="UA65" s="621"/>
      <c r="UB65" s="621"/>
      <c r="UC65" s="621"/>
      <c r="UD65" s="621"/>
      <c r="UE65" s="621"/>
      <c r="UF65" s="621"/>
      <c r="UG65" s="621"/>
      <c r="UH65" s="621"/>
      <c r="UI65" s="621"/>
      <c r="UJ65" s="621"/>
      <c r="UK65" s="621"/>
      <c r="UL65" s="621"/>
      <c r="UM65" s="621"/>
      <c r="UN65" s="621"/>
      <c r="UO65" s="621"/>
      <c r="UP65" s="621"/>
      <c r="UQ65" s="621"/>
      <c r="UR65" s="621"/>
      <c r="US65" s="621"/>
      <c r="UT65" s="621"/>
      <c r="UU65" s="621"/>
      <c r="UV65" s="621"/>
      <c r="UW65" s="621"/>
      <c r="UX65" s="621"/>
      <c r="UY65" s="621"/>
      <c r="UZ65" s="621"/>
      <c r="VA65" s="621"/>
      <c r="VB65" s="621"/>
      <c r="VC65" s="621"/>
      <c r="VD65" s="621"/>
      <c r="VE65" s="621"/>
      <c r="VF65" s="621"/>
      <c r="VG65" s="621"/>
      <c r="VH65" s="621"/>
      <c r="VI65" s="621"/>
      <c r="VJ65" s="621"/>
      <c r="VK65" s="621"/>
      <c r="VL65" s="621"/>
      <c r="VM65" s="621"/>
      <c r="VN65" s="621"/>
      <c r="VO65" s="621"/>
      <c r="VP65" s="621"/>
      <c r="VQ65" s="621"/>
      <c r="VR65" s="621"/>
      <c r="VS65" s="621"/>
      <c r="VT65" s="621"/>
      <c r="VU65" s="621"/>
      <c r="VV65" s="621"/>
      <c r="VW65" s="621"/>
      <c r="VX65" s="621"/>
      <c r="VY65" s="621"/>
      <c r="VZ65" s="621"/>
      <c r="WA65" s="621"/>
      <c r="WB65" s="621"/>
      <c r="WC65" s="621"/>
      <c r="WD65" s="621"/>
      <c r="WE65" s="621"/>
      <c r="WF65" s="621"/>
      <c r="WG65" s="621"/>
      <c r="WH65" s="621"/>
      <c r="WI65" s="621"/>
      <c r="WJ65" s="621"/>
      <c r="WK65" s="621"/>
      <c r="WL65" s="621"/>
      <c r="WM65" s="621"/>
      <c r="WN65" s="621"/>
      <c r="WO65" s="621"/>
      <c r="WP65" s="621"/>
      <c r="WQ65" s="621"/>
      <c r="WR65" s="621"/>
      <c r="WS65" s="621"/>
      <c r="WT65" s="621"/>
      <c r="WU65" s="621"/>
      <c r="WV65" s="621"/>
      <c r="WW65" s="621"/>
      <c r="WX65" s="621"/>
      <c r="WY65" s="621"/>
      <c r="WZ65" s="621"/>
      <c r="XA65" s="621"/>
      <c r="XB65" s="621"/>
      <c r="XC65" s="621"/>
      <c r="XD65" s="621"/>
      <c r="XE65" s="621"/>
      <c r="XF65" s="621"/>
      <c r="XG65" s="621"/>
      <c r="XH65" s="621"/>
      <c r="XI65" s="621"/>
      <c r="XJ65" s="621"/>
      <c r="XK65" s="621"/>
      <c r="XL65" s="621"/>
      <c r="XM65" s="621"/>
      <c r="XN65" s="621"/>
      <c r="XO65" s="621"/>
      <c r="XP65" s="621"/>
      <c r="XQ65" s="621"/>
      <c r="XR65" s="621"/>
      <c r="XS65" s="621"/>
      <c r="XT65" s="621"/>
      <c r="XU65" s="621"/>
      <c r="XV65" s="621"/>
      <c r="XW65" s="621"/>
      <c r="XX65" s="621"/>
      <c r="XY65" s="621"/>
      <c r="XZ65" s="621"/>
      <c r="YA65" s="621"/>
      <c r="YB65" s="621"/>
      <c r="YC65" s="621"/>
      <c r="YD65" s="621"/>
      <c r="YE65" s="621"/>
      <c r="YF65" s="621"/>
      <c r="YG65" s="621"/>
      <c r="YH65" s="621"/>
      <c r="YI65" s="621"/>
      <c r="YJ65" s="621"/>
      <c r="YK65" s="621"/>
      <c r="YL65" s="621"/>
      <c r="YM65" s="621"/>
      <c r="YN65" s="621"/>
      <c r="YO65" s="621"/>
      <c r="YP65" s="621"/>
      <c r="YQ65" s="621"/>
      <c r="YR65" s="621"/>
      <c r="YS65" s="621"/>
      <c r="YT65" s="621"/>
      <c r="YU65" s="621"/>
      <c r="YV65" s="621"/>
      <c r="YW65" s="621"/>
      <c r="YX65" s="621"/>
      <c r="YY65" s="621"/>
      <c r="YZ65" s="621"/>
      <c r="ZA65" s="621"/>
      <c r="ZB65" s="621"/>
      <c r="ZC65" s="621"/>
      <c r="ZD65" s="621"/>
      <c r="ZE65" s="621"/>
      <c r="ZF65" s="621"/>
      <c r="ZG65" s="621"/>
      <c r="ZH65" s="621"/>
      <c r="ZI65" s="621"/>
      <c r="ZJ65" s="621"/>
      <c r="ZK65" s="621"/>
      <c r="ZL65" s="621"/>
      <c r="ZM65" s="621"/>
      <c r="ZN65" s="621"/>
      <c r="ZO65" s="621"/>
      <c r="ZP65" s="621"/>
      <c r="ZQ65" s="621"/>
      <c r="ZR65" s="621"/>
      <c r="ZS65" s="621"/>
      <c r="ZT65" s="621"/>
      <c r="ZU65" s="621"/>
      <c r="ZV65" s="621"/>
      <c r="ZW65" s="621"/>
      <c r="ZX65" s="621"/>
      <c r="ZY65" s="621"/>
      <c r="ZZ65" s="621"/>
      <c r="AAA65" s="621"/>
      <c r="AAB65" s="621"/>
      <c r="AAC65" s="621"/>
      <c r="AAD65" s="621"/>
      <c r="AAE65" s="621"/>
      <c r="AAF65" s="621"/>
      <c r="AAG65" s="621"/>
      <c r="AAH65" s="621"/>
      <c r="AAI65" s="621"/>
      <c r="AAJ65" s="621"/>
      <c r="AAK65" s="621"/>
      <c r="AAL65" s="621"/>
      <c r="AAM65" s="621"/>
      <c r="AAN65" s="621"/>
      <c r="AAO65" s="621"/>
      <c r="AAP65" s="621"/>
      <c r="AAQ65" s="621"/>
      <c r="AAR65" s="621"/>
      <c r="AAS65" s="621"/>
      <c r="AAT65" s="621"/>
      <c r="AAU65" s="621"/>
      <c r="AAV65" s="621"/>
      <c r="AAW65" s="621"/>
      <c r="AAX65" s="621"/>
      <c r="AAY65" s="621"/>
      <c r="AAZ65" s="621"/>
      <c r="ABA65" s="621"/>
      <c r="ABB65" s="621"/>
      <c r="ABC65" s="621"/>
      <c r="ABD65" s="621"/>
      <c r="ABE65" s="621"/>
      <c r="ABF65" s="621"/>
      <c r="ABG65" s="621"/>
      <c r="ABH65" s="621"/>
      <c r="ABI65" s="621"/>
      <c r="ABJ65" s="621"/>
      <c r="ABK65" s="621"/>
      <c r="ABL65" s="621"/>
      <c r="ABM65" s="621"/>
      <c r="ABN65" s="621"/>
      <c r="ABO65" s="621"/>
      <c r="ABP65" s="621"/>
      <c r="ABQ65" s="621"/>
      <c r="ABR65" s="621"/>
      <c r="ABS65" s="621"/>
      <c r="ABT65" s="621"/>
      <c r="ABU65" s="621"/>
      <c r="ABV65" s="621"/>
      <c r="ABW65" s="621"/>
      <c r="ABX65" s="621"/>
      <c r="ABY65" s="621"/>
      <c r="ABZ65" s="621"/>
      <c r="ACA65" s="621"/>
      <c r="ACB65" s="621"/>
      <c r="ACC65" s="621"/>
      <c r="ACD65" s="621"/>
      <c r="ACE65" s="621"/>
      <c r="ACF65" s="621"/>
      <c r="ACG65" s="621"/>
      <c r="ACH65" s="621"/>
      <c r="ACI65" s="621"/>
      <c r="ACJ65" s="621"/>
      <c r="ACK65" s="621"/>
      <c r="ACL65" s="621"/>
      <c r="ACM65" s="621"/>
      <c r="ACN65" s="621"/>
      <c r="ACO65" s="621"/>
      <c r="ACP65" s="621"/>
      <c r="ACQ65" s="621"/>
      <c r="ACR65" s="621"/>
      <c r="ACS65" s="621"/>
      <c r="ACT65" s="621"/>
      <c r="ACU65" s="621"/>
      <c r="ACV65" s="621"/>
      <c r="ACW65" s="621"/>
      <c r="ACX65" s="621"/>
      <c r="ACY65" s="621"/>
      <c r="ACZ65" s="621"/>
      <c r="ADA65" s="621"/>
      <c r="ADB65" s="621"/>
      <c r="ADC65" s="621"/>
      <c r="ADD65" s="621"/>
      <c r="ADE65" s="621"/>
      <c r="ADF65" s="621"/>
      <c r="ADG65" s="621"/>
      <c r="ADH65" s="621"/>
      <c r="ADI65" s="621"/>
      <c r="ADJ65" s="621"/>
      <c r="ADK65" s="621"/>
      <c r="ADL65" s="621"/>
      <c r="ADM65" s="621"/>
      <c r="ADN65" s="621"/>
      <c r="ADO65" s="621"/>
      <c r="ADP65" s="621"/>
      <c r="ADQ65" s="621"/>
      <c r="ADR65" s="621"/>
      <c r="ADS65" s="621"/>
      <c r="ADT65" s="621"/>
      <c r="ADU65" s="621"/>
      <c r="ADV65" s="621"/>
      <c r="ADW65" s="621"/>
      <c r="ADX65" s="621"/>
      <c r="ADY65" s="621"/>
      <c r="ADZ65" s="621"/>
      <c r="AEA65" s="621"/>
      <c r="AEB65" s="621"/>
      <c r="AEC65" s="621"/>
      <c r="AED65" s="621"/>
      <c r="AEE65" s="621"/>
      <c r="AEF65" s="621"/>
      <c r="AEG65" s="621"/>
      <c r="AEH65" s="621"/>
      <c r="AEI65" s="621"/>
      <c r="AEJ65" s="621"/>
      <c r="AEK65" s="621"/>
      <c r="AEL65" s="621"/>
      <c r="AEM65" s="621"/>
      <c r="AEN65" s="621"/>
      <c r="AEO65" s="621"/>
      <c r="AEP65" s="621"/>
      <c r="AEQ65" s="621"/>
      <c r="AER65" s="621"/>
      <c r="AES65" s="621"/>
      <c r="AET65" s="621"/>
      <c r="AEU65" s="621"/>
      <c r="AEV65" s="621"/>
      <c r="AEW65" s="621"/>
      <c r="AEX65" s="621"/>
      <c r="AEY65" s="621"/>
      <c r="AEZ65" s="621"/>
      <c r="AFA65" s="621"/>
      <c r="AFB65" s="621"/>
      <c r="AFC65" s="621"/>
      <c r="AFD65" s="621"/>
      <c r="AFE65" s="621"/>
      <c r="AFF65" s="621"/>
      <c r="AFG65" s="621"/>
      <c r="AFH65" s="621"/>
      <c r="AFI65" s="621"/>
      <c r="AFJ65" s="621"/>
      <c r="AFK65" s="621"/>
      <c r="AFL65" s="621"/>
      <c r="AFM65" s="621"/>
      <c r="AFN65" s="621"/>
      <c r="AFO65" s="621"/>
      <c r="AFP65" s="621"/>
      <c r="AFQ65" s="621"/>
      <c r="AFR65" s="621"/>
      <c r="AFS65" s="621"/>
      <c r="AFT65" s="621"/>
      <c r="AFU65" s="621"/>
      <c r="AFV65" s="621"/>
      <c r="AFW65" s="621"/>
      <c r="AFX65" s="621"/>
      <c r="AFY65" s="621"/>
      <c r="AFZ65" s="621"/>
      <c r="AGA65" s="621"/>
      <c r="AGB65" s="621"/>
      <c r="AGC65" s="621"/>
      <c r="AGD65" s="621"/>
      <c r="AGE65" s="621"/>
      <c r="AGF65" s="621"/>
      <c r="AGG65" s="621"/>
      <c r="AGH65" s="621"/>
      <c r="AGI65" s="621"/>
      <c r="AGJ65" s="621"/>
      <c r="AGK65" s="621"/>
      <c r="AGL65" s="621"/>
      <c r="AGM65" s="621"/>
      <c r="AGN65" s="621"/>
      <c r="AGO65" s="621"/>
      <c r="AGP65" s="621"/>
      <c r="AGQ65" s="621"/>
      <c r="AGR65" s="621"/>
      <c r="AGS65" s="621"/>
      <c r="AGT65" s="621"/>
      <c r="AGU65" s="621"/>
      <c r="AGV65" s="621"/>
      <c r="AGW65" s="621"/>
      <c r="AGX65" s="621"/>
      <c r="AGY65" s="621"/>
      <c r="AGZ65" s="621"/>
      <c r="AHA65" s="621"/>
      <c r="AHB65" s="621"/>
      <c r="AHC65" s="621"/>
      <c r="AHD65" s="621"/>
      <c r="AHE65" s="621"/>
      <c r="AHF65" s="621"/>
      <c r="AHG65" s="621"/>
      <c r="AHH65" s="621"/>
      <c r="AHI65" s="621"/>
      <c r="AHJ65" s="621"/>
      <c r="AHK65" s="621"/>
      <c r="AHL65" s="621"/>
      <c r="AHM65" s="621"/>
      <c r="AHN65" s="621"/>
      <c r="AHO65" s="621"/>
      <c r="AHP65" s="621"/>
      <c r="AHQ65" s="621"/>
      <c r="AHR65" s="621"/>
      <c r="AHS65" s="621"/>
      <c r="AHT65" s="621"/>
      <c r="AHU65" s="621"/>
      <c r="AHV65" s="621"/>
      <c r="AHW65" s="621"/>
      <c r="AHX65" s="621"/>
      <c r="AHY65" s="621"/>
      <c r="AHZ65" s="621"/>
      <c r="AIA65" s="621"/>
      <c r="AIB65" s="621"/>
      <c r="AIC65" s="621"/>
      <c r="AID65" s="621"/>
      <c r="AIE65" s="621"/>
      <c r="AIF65" s="621"/>
      <c r="AIG65" s="621"/>
      <c r="AIH65" s="621"/>
      <c r="AII65" s="621"/>
      <c r="AIJ65" s="621"/>
      <c r="AIK65" s="621"/>
      <c r="AIL65" s="621"/>
      <c r="AIM65" s="621"/>
      <c r="AIN65" s="621"/>
      <c r="AIO65" s="621"/>
      <c r="AIP65" s="621"/>
      <c r="AIQ65" s="621"/>
      <c r="AIR65" s="621"/>
      <c r="AIS65" s="621"/>
      <c r="AIT65" s="621"/>
      <c r="AIU65" s="621"/>
      <c r="AIV65" s="621"/>
      <c r="AIW65" s="621"/>
      <c r="AIX65" s="621"/>
      <c r="AIY65" s="621"/>
      <c r="AIZ65" s="621"/>
      <c r="AJA65" s="621"/>
      <c r="AJB65" s="621"/>
      <c r="AJC65" s="621"/>
      <c r="AJD65" s="621"/>
      <c r="AJE65" s="621"/>
      <c r="AJF65" s="621"/>
      <c r="AJG65" s="621"/>
      <c r="AJH65" s="621"/>
      <c r="AJI65" s="621"/>
      <c r="AJJ65" s="621"/>
      <c r="AJK65" s="621"/>
      <c r="AJL65" s="621"/>
      <c r="AJM65" s="621"/>
      <c r="AJN65" s="621"/>
      <c r="AJO65" s="621"/>
      <c r="AJP65" s="621"/>
      <c r="AJQ65" s="621"/>
      <c r="AJR65" s="621"/>
      <c r="AJS65" s="621"/>
      <c r="AJT65" s="621"/>
      <c r="AJU65" s="621"/>
      <c r="AJV65" s="621"/>
      <c r="AJW65" s="621"/>
      <c r="AJX65" s="621"/>
      <c r="AJY65" s="621"/>
      <c r="AJZ65" s="621"/>
      <c r="AKA65" s="621"/>
      <c r="AKB65" s="621"/>
      <c r="AKC65" s="621"/>
      <c r="AKD65" s="621"/>
      <c r="AKE65" s="621"/>
      <c r="AKF65" s="621"/>
      <c r="AKG65" s="621"/>
      <c r="AKH65" s="621"/>
      <c r="AKI65" s="621"/>
      <c r="AKJ65" s="621"/>
      <c r="AKK65" s="621"/>
      <c r="AKL65" s="621"/>
      <c r="AKM65" s="621"/>
      <c r="AKN65" s="621"/>
      <c r="AKO65" s="621"/>
      <c r="AKP65" s="621"/>
      <c r="AKQ65" s="621"/>
      <c r="AKR65" s="621"/>
      <c r="AKS65" s="621"/>
      <c r="AKT65" s="621"/>
      <c r="AKU65" s="621"/>
      <c r="AKV65" s="621"/>
      <c r="AKW65" s="621"/>
      <c r="AKX65" s="621"/>
      <c r="AKY65" s="621"/>
      <c r="AKZ65" s="621"/>
      <c r="ALA65" s="621"/>
      <c r="ALB65" s="621"/>
      <c r="ALC65" s="621"/>
      <c r="ALD65" s="621"/>
      <c r="ALE65" s="621"/>
      <c r="ALF65" s="621"/>
      <c r="ALG65" s="621"/>
      <c r="ALH65" s="621"/>
      <c r="ALI65" s="621"/>
      <c r="ALJ65" s="621"/>
      <c r="ALK65" s="621"/>
      <c r="ALL65" s="621"/>
      <c r="ALM65" s="621"/>
      <c r="ALN65" s="621"/>
      <c r="ALO65" s="621"/>
      <c r="ALP65" s="621"/>
      <c r="ALQ65" s="621"/>
      <c r="ALR65" s="621"/>
      <c r="ALS65" s="621"/>
      <c r="ALT65" s="621"/>
      <c r="ALU65" s="621"/>
      <c r="ALV65" s="621"/>
      <c r="ALW65" s="621"/>
      <c r="ALX65" s="621"/>
      <c r="ALY65" s="621"/>
      <c r="ALZ65" s="621"/>
      <c r="AMA65" s="621"/>
      <c r="AMB65" s="621"/>
      <c r="AMC65" s="621"/>
      <c r="AMD65" s="621"/>
      <c r="AME65" s="621"/>
      <c r="AMF65" s="621"/>
      <c r="AMG65" s="621"/>
      <c r="AMH65" s="621"/>
      <c r="AMI65" s="621"/>
      <c r="AMJ65" s="621"/>
      <c r="AMK65" s="621"/>
    </row>
    <row r="66" spans="1:1025" ht="31.5" customHeight="1">
      <c r="A66" s="459"/>
      <c r="B66" s="448" t="s">
        <v>404</v>
      </c>
      <c r="C66" s="376"/>
      <c r="D66" s="453"/>
      <c r="E66" s="2042"/>
      <c r="F66" s="2042"/>
      <c r="G66" s="392"/>
      <c r="H66" s="429"/>
      <c r="I66" s="1497"/>
      <c r="J66" s="1495">
        <v>0</v>
      </c>
      <c r="K66" s="1472"/>
      <c r="L66" s="413"/>
      <c r="M66" s="1495"/>
      <c r="N66" s="272"/>
      <c r="O66" s="272"/>
      <c r="P66" s="272"/>
      <c r="T66" s="397"/>
      <c r="U66" s="397"/>
      <c r="V66" s="452"/>
      <c r="W66" s="452"/>
      <c r="X66" s="452"/>
      <c r="Y66" s="397"/>
      <c r="Z66" s="397"/>
      <c r="AA66" s="397"/>
      <c r="AE66" s="1471"/>
      <c r="AF66" s="1493"/>
      <c r="AG66" s="1494"/>
      <c r="AH66" s="1494"/>
      <c r="AI66" s="1494"/>
      <c r="AJ66" s="1494"/>
      <c r="AK66" s="1494"/>
      <c r="AL66" s="1494"/>
      <c r="AM66" s="1475">
        <f t="shared" si="13"/>
        <v>0</v>
      </c>
      <c r="AN66" s="1493"/>
      <c r="AO66" s="1475"/>
      <c r="AP66" s="289"/>
      <c r="AU66" s="621"/>
      <c r="AV66" s="621"/>
      <c r="AW66" s="621"/>
      <c r="AX66" s="621"/>
      <c r="AY66" s="621"/>
      <c r="AZ66" s="621"/>
      <c r="BA66" s="621"/>
      <c r="BB66" s="621"/>
      <c r="BC66" s="621"/>
      <c r="BD66" s="621"/>
      <c r="BE66" s="621"/>
      <c r="BF66" s="621"/>
      <c r="BG66" s="621"/>
      <c r="BH66" s="621"/>
      <c r="BI66" s="621"/>
      <c r="BJ66" s="621"/>
      <c r="BK66" s="621"/>
      <c r="BL66" s="621"/>
      <c r="BM66" s="621"/>
      <c r="BN66" s="621"/>
      <c r="BO66" s="621"/>
      <c r="BP66" s="621"/>
      <c r="BQ66" s="621"/>
      <c r="BR66" s="621"/>
      <c r="BS66" s="621"/>
      <c r="BT66" s="621"/>
      <c r="BU66" s="621"/>
      <c r="BV66" s="621"/>
      <c r="BW66" s="621"/>
      <c r="BX66" s="621"/>
      <c r="BY66" s="621"/>
      <c r="BZ66" s="621"/>
      <c r="CA66" s="621"/>
      <c r="CB66" s="621"/>
      <c r="CC66" s="621"/>
      <c r="CD66" s="621"/>
      <c r="CE66" s="621"/>
      <c r="CF66" s="621"/>
      <c r="CG66" s="621"/>
      <c r="CH66" s="621"/>
      <c r="CI66" s="621"/>
      <c r="CJ66" s="621"/>
      <c r="CK66" s="621"/>
      <c r="CL66" s="621"/>
      <c r="CM66" s="621"/>
      <c r="CN66" s="621"/>
      <c r="CO66" s="621"/>
      <c r="CP66" s="621"/>
      <c r="CQ66" s="621"/>
      <c r="CR66" s="621"/>
      <c r="CS66" s="621"/>
      <c r="CT66" s="621"/>
      <c r="CU66" s="621"/>
      <c r="CV66" s="621"/>
      <c r="CW66" s="621"/>
      <c r="CX66" s="621"/>
      <c r="CY66" s="621"/>
      <c r="CZ66" s="621"/>
      <c r="DA66" s="621"/>
      <c r="DB66" s="621"/>
      <c r="DC66" s="621"/>
      <c r="DD66" s="621"/>
      <c r="DE66" s="621"/>
      <c r="DF66" s="621"/>
      <c r="DG66" s="621"/>
      <c r="DH66" s="621"/>
      <c r="DI66" s="621"/>
      <c r="DJ66" s="621"/>
      <c r="DK66" s="621"/>
      <c r="DL66" s="621"/>
      <c r="DM66" s="621"/>
      <c r="DN66" s="621"/>
      <c r="DO66" s="621"/>
      <c r="DP66" s="621"/>
      <c r="DQ66" s="621"/>
      <c r="DR66" s="621"/>
      <c r="DS66" s="621"/>
      <c r="DT66" s="621"/>
      <c r="DU66" s="621"/>
      <c r="DV66" s="621"/>
      <c r="DW66" s="621"/>
      <c r="DX66" s="621"/>
      <c r="DY66" s="621"/>
      <c r="DZ66" s="621"/>
      <c r="EA66" s="621"/>
      <c r="EB66" s="621"/>
      <c r="EC66" s="621"/>
      <c r="ED66" s="621"/>
      <c r="EE66" s="621"/>
      <c r="EF66" s="621"/>
      <c r="EG66" s="621"/>
      <c r="EH66" s="621"/>
      <c r="EI66" s="621"/>
      <c r="EJ66" s="621"/>
      <c r="EK66" s="621"/>
      <c r="EL66" s="621"/>
      <c r="EM66" s="621"/>
      <c r="EN66" s="621"/>
      <c r="EO66" s="621"/>
      <c r="EP66" s="621"/>
      <c r="EQ66" s="621"/>
      <c r="ER66" s="621"/>
      <c r="ES66" s="621"/>
      <c r="ET66" s="621"/>
      <c r="EU66" s="621"/>
      <c r="EV66" s="621"/>
      <c r="EW66" s="621"/>
      <c r="EX66" s="621"/>
      <c r="EY66" s="621"/>
      <c r="EZ66" s="621"/>
      <c r="FA66" s="621"/>
      <c r="FB66" s="621"/>
      <c r="FC66" s="621"/>
      <c r="FD66" s="621"/>
      <c r="FE66" s="621"/>
      <c r="FF66" s="621"/>
      <c r="FG66" s="621"/>
      <c r="FH66" s="621"/>
      <c r="FI66" s="621"/>
      <c r="FJ66" s="621"/>
      <c r="FK66" s="621"/>
      <c r="FL66" s="621"/>
      <c r="FM66" s="621"/>
      <c r="FN66" s="621"/>
      <c r="FO66" s="621"/>
      <c r="FP66" s="621"/>
      <c r="FQ66" s="621"/>
      <c r="FR66" s="621"/>
      <c r="FS66" s="621"/>
      <c r="FT66" s="621"/>
      <c r="FU66" s="621"/>
      <c r="FV66" s="621"/>
      <c r="FW66" s="621"/>
      <c r="FX66" s="621"/>
      <c r="FY66" s="621"/>
      <c r="FZ66" s="621"/>
      <c r="GA66" s="621"/>
      <c r="GB66" s="621"/>
      <c r="GC66" s="621"/>
      <c r="GD66" s="621"/>
      <c r="GE66" s="621"/>
      <c r="GF66" s="621"/>
      <c r="GG66" s="621"/>
      <c r="GH66" s="621"/>
      <c r="GI66" s="621"/>
      <c r="GJ66" s="621"/>
      <c r="GK66" s="621"/>
      <c r="GL66" s="621"/>
      <c r="GM66" s="621"/>
      <c r="GN66" s="621"/>
      <c r="GO66" s="621"/>
      <c r="GP66" s="621"/>
      <c r="GQ66" s="621"/>
      <c r="GR66" s="621"/>
      <c r="GS66" s="621"/>
      <c r="GT66" s="621"/>
      <c r="GU66" s="621"/>
      <c r="GV66" s="621"/>
      <c r="GW66" s="621"/>
      <c r="GX66" s="621"/>
      <c r="GY66" s="621"/>
      <c r="GZ66" s="621"/>
      <c r="HA66" s="621"/>
      <c r="HB66" s="621"/>
      <c r="HC66" s="621"/>
      <c r="HD66" s="621"/>
      <c r="HE66" s="621"/>
      <c r="HF66" s="621"/>
      <c r="HG66" s="621"/>
      <c r="HH66" s="621"/>
      <c r="HI66" s="621"/>
      <c r="HJ66" s="621"/>
      <c r="HK66" s="621"/>
      <c r="HL66" s="621"/>
      <c r="HM66" s="621"/>
      <c r="HN66" s="621"/>
      <c r="HO66" s="621"/>
      <c r="HP66" s="621"/>
      <c r="HQ66" s="621"/>
      <c r="HR66" s="621"/>
      <c r="HS66" s="621"/>
      <c r="HT66" s="621"/>
      <c r="HU66" s="621"/>
      <c r="HV66" s="621"/>
      <c r="HW66" s="621"/>
      <c r="HX66" s="621"/>
      <c r="HY66" s="621"/>
      <c r="HZ66" s="621"/>
      <c r="IA66" s="621"/>
      <c r="IB66" s="621"/>
      <c r="IC66" s="621"/>
      <c r="ID66" s="621"/>
      <c r="IE66" s="621"/>
      <c r="IF66" s="621"/>
      <c r="IG66" s="621"/>
      <c r="IH66" s="621"/>
      <c r="II66" s="621"/>
      <c r="IJ66" s="621"/>
      <c r="IK66" s="621"/>
      <c r="IL66" s="621"/>
      <c r="IM66" s="621"/>
      <c r="IN66" s="621"/>
      <c r="IO66" s="621"/>
      <c r="IP66" s="621"/>
      <c r="IQ66" s="621"/>
      <c r="IR66" s="621"/>
      <c r="IS66" s="621"/>
      <c r="IT66" s="621"/>
      <c r="IU66" s="621"/>
      <c r="IV66" s="621"/>
      <c r="IW66" s="621"/>
      <c r="IX66" s="621"/>
      <c r="IY66" s="621"/>
      <c r="IZ66" s="621"/>
      <c r="JA66" s="621"/>
      <c r="JB66" s="621"/>
      <c r="JC66" s="621"/>
      <c r="JD66" s="621"/>
      <c r="JE66" s="621"/>
      <c r="JF66" s="621"/>
      <c r="JG66" s="621"/>
      <c r="JH66" s="621"/>
      <c r="JI66" s="621"/>
      <c r="JJ66" s="621"/>
      <c r="JK66" s="621"/>
      <c r="JL66" s="621"/>
      <c r="JM66" s="621"/>
      <c r="JN66" s="621"/>
      <c r="JO66" s="621"/>
      <c r="JP66" s="621"/>
      <c r="JQ66" s="621"/>
      <c r="JR66" s="621"/>
      <c r="JS66" s="621"/>
      <c r="JT66" s="621"/>
      <c r="JU66" s="621"/>
      <c r="JV66" s="621"/>
      <c r="JW66" s="621"/>
      <c r="JX66" s="621"/>
      <c r="JY66" s="621"/>
      <c r="JZ66" s="621"/>
      <c r="KA66" s="621"/>
      <c r="KB66" s="621"/>
      <c r="KC66" s="621"/>
      <c r="KD66" s="621"/>
      <c r="KE66" s="621"/>
      <c r="KF66" s="621"/>
      <c r="KG66" s="621"/>
      <c r="KH66" s="621"/>
      <c r="KI66" s="621"/>
      <c r="KJ66" s="621"/>
      <c r="KK66" s="621"/>
      <c r="KL66" s="621"/>
      <c r="KM66" s="621"/>
      <c r="KN66" s="621"/>
      <c r="KO66" s="621"/>
      <c r="KP66" s="621"/>
      <c r="KQ66" s="621"/>
      <c r="KR66" s="621"/>
      <c r="KS66" s="621"/>
      <c r="KT66" s="621"/>
      <c r="KU66" s="621"/>
      <c r="KV66" s="621"/>
      <c r="KW66" s="621"/>
      <c r="KX66" s="621"/>
      <c r="KY66" s="621"/>
      <c r="KZ66" s="621"/>
      <c r="LA66" s="621"/>
      <c r="LB66" s="621"/>
      <c r="LC66" s="621"/>
      <c r="LD66" s="621"/>
      <c r="LE66" s="621"/>
      <c r="LF66" s="621"/>
      <c r="LG66" s="621"/>
      <c r="LH66" s="621"/>
      <c r="LI66" s="621"/>
      <c r="LJ66" s="621"/>
      <c r="LK66" s="621"/>
      <c r="LL66" s="621"/>
      <c r="LM66" s="621"/>
      <c r="LN66" s="621"/>
      <c r="LO66" s="621"/>
      <c r="LP66" s="621"/>
      <c r="LQ66" s="621"/>
      <c r="LR66" s="621"/>
      <c r="LS66" s="621"/>
      <c r="LT66" s="621"/>
      <c r="LU66" s="621"/>
      <c r="LV66" s="621"/>
      <c r="LW66" s="621"/>
      <c r="LX66" s="621"/>
      <c r="LY66" s="621"/>
      <c r="LZ66" s="621"/>
      <c r="MA66" s="621"/>
      <c r="MB66" s="621"/>
      <c r="MC66" s="621"/>
      <c r="MD66" s="621"/>
      <c r="ME66" s="621"/>
      <c r="MF66" s="621"/>
      <c r="MG66" s="621"/>
      <c r="MH66" s="621"/>
      <c r="MI66" s="621"/>
      <c r="MJ66" s="621"/>
      <c r="MK66" s="621"/>
      <c r="ML66" s="621"/>
      <c r="MM66" s="621"/>
      <c r="MN66" s="621"/>
      <c r="MO66" s="621"/>
      <c r="MP66" s="621"/>
      <c r="MQ66" s="621"/>
      <c r="MR66" s="621"/>
      <c r="MS66" s="621"/>
      <c r="MT66" s="621"/>
      <c r="MU66" s="621"/>
      <c r="MV66" s="621"/>
      <c r="MW66" s="621"/>
      <c r="MX66" s="621"/>
      <c r="MY66" s="621"/>
      <c r="MZ66" s="621"/>
      <c r="NA66" s="621"/>
      <c r="NB66" s="621"/>
      <c r="NC66" s="621"/>
      <c r="ND66" s="621"/>
      <c r="NE66" s="621"/>
      <c r="NF66" s="621"/>
      <c r="NG66" s="621"/>
      <c r="NH66" s="621"/>
      <c r="NI66" s="621"/>
      <c r="NJ66" s="621"/>
      <c r="NK66" s="621"/>
      <c r="NL66" s="621"/>
      <c r="NM66" s="621"/>
      <c r="NN66" s="621"/>
      <c r="NO66" s="621"/>
      <c r="NP66" s="621"/>
      <c r="NQ66" s="621"/>
      <c r="NR66" s="621"/>
      <c r="NS66" s="621"/>
      <c r="NT66" s="621"/>
      <c r="NU66" s="621"/>
      <c r="NV66" s="621"/>
      <c r="NW66" s="621"/>
      <c r="NX66" s="621"/>
      <c r="NY66" s="621"/>
      <c r="NZ66" s="621"/>
      <c r="OA66" s="621"/>
      <c r="OB66" s="621"/>
      <c r="OC66" s="621"/>
      <c r="OD66" s="621"/>
      <c r="OE66" s="621"/>
      <c r="OF66" s="621"/>
      <c r="OG66" s="621"/>
      <c r="OH66" s="621"/>
      <c r="OI66" s="621"/>
      <c r="OJ66" s="621"/>
      <c r="OK66" s="621"/>
      <c r="OL66" s="621"/>
      <c r="OM66" s="621"/>
      <c r="ON66" s="621"/>
      <c r="OO66" s="621"/>
      <c r="OP66" s="621"/>
      <c r="OQ66" s="621"/>
      <c r="OR66" s="621"/>
      <c r="OS66" s="621"/>
      <c r="OT66" s="621"/>
      <c r="OU66" s="621"/>
      <c r="OV66" s="621"/>
      <c r="OW66" s="621"/>
      <c r="OX66" s="621"/>
      <c r="OY66" s="621"/>
      <c r="OZ66" s="621"/>
      <c r="PA66" s="621"/>
      <c r="PB66" s="621"/>
      <c r="PC66" s="621"/>
      <c r="PD66" s="621"/>
      <c r="PE66" s="621"/>
      <c r="PF66" s="621"/>
      <c r="PG66" s="621"/>
      <c r="PH66" s="621"/>
      <c r="PI66" s="621"/>
      <c r="PJ66" s="621"/>
      <c r="PK66" s="621"/>
      <c r="PL66" s="621"/>
      <c r="PM66" s="621"/>
      <c r="PN66" s="621"/>
      <c r="PO66" s="621"/>
      <c r="PP66" s="621"/>
      <c r="PQ66" s="621"/>
      <c r="PR66" s="621"/>
      <c r="PS66" s="621"/>
      <c r="PT66" s="621"/>
      <c r="PU66" s="621"/>
      <c r="PV66" s="621"/>
      <c r="PW66" s="621"/>
      <c r="PX66" s="621"/>
      <c r="PY66" s="621"/>
      <c r="PZ66" s="621"/>
      <c r="QA66" s="621"/>
      <c r="QB66" s="621"/>
      <c r="QC66" s="621"/>
      <c r="QD66" s="621"/>
      <c r="QE66" s="621"/>
      <c r="QF66" s="621"/>
      <c r="QG66" s="621"/>
      <c r="QH66" s="621"/>
      <c r="QI66" s="621"/>
      <c r="QJ66" s="621"/>
      <c r="QK66" s="621"/>
      <c r="QL66" s="621"/>
      <c r="QM66" s="621"/>
      <c r="QN66" s="621"/>
      <c r="QO66" s="621"/>
      <c r="QP66" s="621"/>
      <c r="QQ66" s="621"/>
      <c r="QR66" s="621"/>
      <c r="QS66" s="621"/>
      <c r="QT66" s="621"/>
      <c r="QU66" s="621"/>
      <c r="QV66" s="621"/>
      <c r="QW66" s="621"/>
      <c r="QX66" s="621"/>
      <c r="QY66" s="621"/>
      <c r="QZ66" s="621"/>
      <c r="RA66" s="621"/>
      <c r="RB66" s="621"/>
      <c r="RC66" s="621"/>
      <c r="RD66" s="621"/>
      <c r="RE66" s="621"/>
      <c r="RF66" s="621"/>
      <c r="RG66" s="621"/>
      <c r="RH66" s="621"/>
      <c r="RI66" s="621"/>
      <c r="RJ66" s="621"/>
      <c r="RK66" s="621"/>
      <c r="RL66" s="621"/>
      <c r="RM66" s="621"/>
      <c r="RN66" s="621"/>
      <c r="RO66" s="621"/>
      <c r="RP66" s="621"/>
      <c r="RQ66" s="621"/>
      <c r="RR66" s="621"/>
      <c r="RS66" s="621"/>
      <c r="RT66" s="621"/>
      <c r="RU66" s="621"/>
      <c r="RV66" s="621"/>
      <c r="RW66" s="621"/>
      <c r="RX66" s="621"/>
      <c r="RY66" s="621"/>
      <c r="RZ66" s="621"/>
      <c r="SA66" s="621"/>
      <c r="SB66" s="621"/>
      <c r="SC66" s="621"/>
      <c r="SD66" s="621"/>
      <c r="SE66" s="621"/>
      <c r="SF66" s="621"/>
      <c r="SG66" s="621"/>
      <c r="SH66" s="621"/>
      <c r="SI66" s="621"/>
      <c r="SJ66" s="621"/>
      <c r="SK66" s="621"/>
      <c r="SL66" s="621"/>
      <c r="SM66" s="621"/>
      <c r="SN66" s="621"/>
      <c r="SO66" s="621"/>
      <c r="SP66" s="621"/>
      <c r="SQ66" s="621"/>
      <c r="SR66" s="621"/>
      <c r="SS66" s="621"/>
      <c r="ST66" s="621"/>
      <c r="SU66" s="621"/>
      <c r="SV66" s="621"/>
      <c r="SW66" s="621"/>
      <c r="SX66" s="621"/>
      <c r="SY66" s="621"/>
      <c r="SZ66" s="621"/>
      <c r="TA66" s="621"/>
      <c r="TB66" s="621"/>
      <c r="TC66" s="621"/>
      <c r="TD66" s="621"/>
      <c r="TE66" s="621"/>
      <c r="TF66" s="621"/>
      <c r="TG66" s="621"/>
      <c r="TH66" s="621"/>
      <c r="TI66" s="621"/>
      <c r="TJ66" s="621"/>
      <c r="TK66" s="621"/>
      <c r="TL66" s="621"/>
      <c r="TM66" s="621"/>
      <c r="TN66" s="621"/>
      <c r="TO66" s="621"/>
      <c r="TP66" s="621"/>
      <c r="TQ66" s="621"/>
      <c r="TR66" s="621"/>
      <c r="TS66" s="621"/>
      <c r="TT66" s="621"/>
      <c r="TU66" s="621"/>
      <c r="TV66" s="621"/>
      <c r="TW66" s="621"/>
      <c r="TX66" s="621"/>
      <c r="TY66" s="621"/>
      <c r="TZ66" s="621"/>
      <c r="UA66" s="621"/>
      <c r="UB66" s="621"/>
      <c r="UC66" s="621"/>
      <c r="UD66" s="621"/>
      <c r="UE66" s="621"/>
      <c r="UF66" s="621"/>
      <c r="UG66" s="621"/>
      <c r="UH66" s="621"/>
      <c r="UI66" s="621"/>
      <c r="UJ66" s="621"/>
      <c r="UK66" s="621"/>
      <c r="UL66" s="621"/>
      <c r="UM66" s="621"/>
      <c r="UN66" s="621"/>
      <c r="UO66" s="621"/>
      <c r="UP66" s="621"/>
      <c r="UQ66" s="621"/>
      <c r="UR66" s="621"/>
      <c r="US66" s="621"/>
      <c r="UT66" s="621"/>
      <c r="UU66" s="621"/>
      <c r="UV66" s="621"/>
      <c r="UW66" s="621"/>
      <c r="UX66" s="621"/>
      <c r="UY66" s="621"/>
      <c r="UZ66" s="621"/>
      <c r="VA66" s="621"/>
      <c r="VB66" s="621"/>
      <c r="VC66" s="621"/>
      <c r="VD66" s="621"/>
      <c r="VE66" s="621"/>
      <c r="VF66" s="621"/>
      <c r="VG66" s="621"/>
      <c r="VH66" s="621"/>
      <c r="VI66" s="621"/>
      <c r="VJ66" s="621"/>
      <c r="VK66" s="621"/>
      <c r="VL66" s="621"/>
      <c r="VM66" s="621"/>
      <c r="VN66" s="621"/>
      <c r="VO66" s="621"/>
      <c r="VP66" s="621"/>
      <c r="VQ66" s="621"/>
      <c r="VR66" s="621"/>
      <c r="VS66" s="621"/>
      <c r="VT66" s="621"/>
      <c r="VU66" s="621"/>
      <c r="VV66" s="621"/>
      <c r="VW66" s="621"/>
      <c r="VX66" s="621"/>
      <c r="VY66" s="621"/>
      <c r="VZ66" s="621"/>
      <c r="WA66" s="621"/>
      <c r="WB66" s="621"/>
      <c r="WC66" s="621"/>
      <c r="WD66" s="621"/>
      <c r="WE66" s="621"/>
      <c r="WF66" s="621"/>
      <c r="WG66" s="621"/>
      <c r="WH66" s="621"/>
      <c r="WI66" s="621"/>
      <c r="WJ66" s="621"/>
      <c r="WK66" s="621"/>
      <c r="WL66" s="621"/>
      <c r="WM66" s="621"/>
      <c r="WN66" s="621"/>
      <c r="WO66" s="621"/>
      <c r="WP66" s="621"/>
      <c r="WQ66" s="621"/>
      <c r="WR66" s="621"/>
      <c r="WS66" s="621"/>
      <c r="WT66" s="621"/>
      <c r="WU66" s="621"/>
      <c r="WV66" s="621"/>
      <c r="WW66" s="621"/>
      <c r="WX66" s="621"/>
      <c r="WY66" s="621"/>
      <c r="WZ66" s="621"/>
      <c r="XA66" s="621"/>
      <c r="XB66" s="621"/>
      <c r="XC66" s="621"/>
      <c r="XD66" s="621"/>
      <c r="XE66" s="621"/>
      <c r="XF66" s="621"/>
      <c r="XG66" s="621"/>
      <c r="XH66" s="621"/>
      <c r="XI66" s="621"/>
      <c r="XJ66" s="621"/>
      <c r="XK66" s="621"/>
      <c r="XL66" s="621"/>
      <c r="XM66" s="621"/>
      <c r="XN66" s="621"/>
      <c r="XO66" s="621"/>
      <c r="XP66" s="621"/>
      <c r="XQ66" s="621"/>
      <c r="XR66" s="621"/>
      <c r="XS66" s="621"/>
      <c r="XT66" s="621"/>
      <c r="XU66" s="621"/>
      <c r="XV66" s="621"/>
      <c r="XW66" s="621"/>
      <c r="XX66" s="621"/>
      <c r="XY66" s="621"/>
      <c r="XZ66" s="621"/>
      <c r="YA66" s="621"/>
      <c r="YB66" s="621"/>
      <c r="YC66" s="621"/>
      <c r="YD66" s="621"/>
      <c r="YE66" s="621"/>
      <c r="YF66" s="621"/>
      <c r="YG66" s="621"/>
      <c r="YH66" s="621"/>
      <c r="YI66" s="621"/>
      <c r="YJ66" s="621"/>
      <c r="YK66" s="621"/>
      <c r="YL66" s="621"/>
      <c r="YM66" s="621"/>
      <c r="YN66" s="621"/>
      <c r="YO66" s="621"/>
      <c r="YP66" s="621"/>
      <c r="YQ66" s="621"/>
      <c r="YR66" s="621"/>
      <c r="YS66" s="621"/>
      <c r="YT66" s="621"/>
      <c r="YU66" s="621"/>
      <c r="YV66" s="621"/>
      <c r="YW66" s="621"/>
      <c r="YX66" s="621"/>
      <c r="YY66" s="621"/>
      <c r="YZ66" s="621"/>
      <c r="ZA66" s="621"/>
      <c r="ZB66" s="621"/>
      <c r="ZC66" s="621"/>
      <c r="ZD66" s="621"/>
      <c r="ZE66" s="621"/>
      <c r="ZF66" s="621"/>
      <c r="ZG66" s="621"/>
      <c r="ZH66" s="621"/>
      <c r="ZI66" s="621"/>
      <c r="ZJ66" s="621"/>
      <c r="ZK66" s="621"/>
      <c r="ZL66" s="621"/>
      <c r="ZM66" s="621"/>
      <c r="ZN66" s="621"/>
      <c r="ZO66" s="621"/>
      <c r="ZP66" s="621"/>
      <c r="ZQ66" s="621"/>
      <c r="ZR66" s="621"/>
      <c r="ZS66" s="621"/>
      <c r="ZT66" s="621"/>
      <c r="ZU66" s="621"/>
      <c r="ZV66" s="621"/>
      <c r="ZW66" s="621"/>
      <c r="ZX66" s="621"/>
      <c r="ZY66" s="621"/>
      <c r="ZZ66" s="621"/>
      <c r="AAA66" s="621"/>
      <c r="AAB66" s="621"/>
      <c r="AAC66" s="621"/>
      <c r="AAD66" s="621"/>
      <c r="AAE66" s="621"/>
      <c r="AAF66" s="621"/>
      <c r="AAG66" s="621"/>
      <c r="AAH66" s="621"/>
      <c r="AAI66" s="621"/>
      <c r="AAJ66" s="621"/>
      <c r="AAK66" s="621"/>
      <c r="AAL66" s="621"/>
      <c r="AAM66" s="621"/>
      <c r="AAN66" s="621"/>
      <c r="AAO66" s="621"/>
      <c r="AAP66" s="621"/>
      <c r="AAQ66" s="621"/>
      <c r="AAR66" s="621"/>
      <c r="AAS66" s="621"/>
      <c r="AAT66" s="621"/>
      <c r="AAU66" s="621"/>
      <c r="AAV66" s="621"/>
      <c r="AAW66" s="621"/>
      <c r="AAX66" s="621"/>
      <c r="AAY66" s="621"/>
      <c r="AAZ66" s="621"/>
      <c r="ABA66" s="621"/>
      <c r="ABB66" s="621"/>
      <c r="ABC66" s="621"/>
      <c r="ABD66" s="621"/>
      <c r="ABE66" s="621"/>
      <c r="ABF66" s="621"/>
      <c r="ABG66" s="621"/>
      <c r="ABH66" s="621"/>
      <c r="ABI66" s="621"/>
      <c r="ABJ66" s="621"/>
      <c r="ABK66" s="621"/>
      <c r="ABL66" s="621"/>
      <c r="ABM66" s="621"/>
      <c r="ABN66" s="621"/>
      <c r="ABO66" s="621"/>
      <c r="ABP66" s="621"/>
      <c r="ABQ66" s="621"/>
      <c r="ABR66" s="621"/>
      <c r="ABS66" s="621"/>
      <c r="ABT66" s="621"/>
      <c r="ABU66" s="621"/>
      <c r="ABV66" s="621"/>
      <c r="ABW66" s="621"/>
      <c r="ABX66" s="621"/>
      <c r="ABY66" s="621"/>
      <c r="ABZ66" s="621"/>
      <c r="ACA66" s="621"/>
      <c r="ACB66" s="621"/>
      <c r="ACC66" s="621"/>
      <c r="ACD66" s="621"/>
      <c r="ACE66" s="621"/>
      <c r="ACF66" s="621"/>
      <c r="ACG66" s="621"/>
      <c r="ACH66" s="621"/>
      <c r="ACI66" s="621"/>
      <c r="ACJ66" s="621"/>
      <c r="ACK66" s="621"/>
      <c r="ACL66" s="621"/>
      <c r="ACM66" s="621"/>
      <c r="ACN66" s="621"/>
      <c r="ACO66" s="621"/>
      <c r="ACP66" s="621"/>
      <c r="ACQ66" s="621"/>
      <c r="ACR66" s="621"/>
      <c r="ACS66" s="621"/>
      <c r="ACT66" s="621"/>
      <c r="ACU66" s="621"/>
      <c r="ACV66" s="621"/>
      <c r="ACW66" s="621"/>
      <c r="ACX66" s="621"/>
      <c r="ACY66" s="621"/>
      <c r="ACZ66" s="621"/>
      <c r="ADA66" s="621"/>
      <c r="ADB66" s="621"/>
      <c r="ADC66" s="621"/>
      <c r="ADD66" s="621"/>
      <c r="ADE66" s="621"/>
      <c r="ADF66" s="621"/>
      <c r="ADG66" s="621"/>
      <c r="ADH66" s="621"/>
      <c r="ADI66" s="621"/>
      <c r="ADJ66" s="621"/>
      <c r="ADK66" s="621"/>
      <c r="ADL66" s="621"/>
      <c r="ADM66" s="621"/>
      <c r="ADN66" s="621"/>
      <c r="ADO66" s="621"/>
      <c r="ADP66" s="621"/>
      <c r="ADQ66" s="621"/>
      <c r="ADR66" s="621"/>
      <c r="ADS66" s="621"/>
      <c r="ADT66" s="621"/>
      <c r="ADU66" s="621"/>
      <c r="ADV66" s="621"/>
      <c r="ADW66" s="621"/>
      <c r="ADX66" s="621"/>
      <c r="ADY66" s="621"/>
      <c r="ADZ66" s="621"/>
      <c r="AEA66" s="621"/>
      <c r="AEB66" s="621"/>
      <c r="AEC66" s="621"/>
      <c r="AED66" s="621"/>
      <c r="AEE66" s="621"/>
      <c r="AEF66" s="621"/>
      <c r="AEG66" s="621"/>
      <c r="AEH66" s="621"/>
      <c r="AEI66" s="621"/>
      <c r="AEJ66" s="621"/>
      <c r="AEK66" s="621"/>
      <c r="AEL66" s="621"/>
      <c r="AEM66" s="621"/>
      <c r="AEN66" s="621"/>
      <c r="AEO66" s="621"/>
      <c r="AEP66" s="621"/>
      <c r="AEQ66" s="621"/>
      <c r="AER66" s="621"/>
      <c r="AES66" s="621"/>
      <c r="AET66" s="621"/>
      <c r="AEU66" s="621"/>
      <c r="AEV66" s="621"/>
      <c r="AEW66" s="621"/>
      <c r="AEX66" s="621"/>
      <c r="AEY66" s="621"/>
      <c r="AEZ66" s="621"/>
      <c r="AFA66" s="621"/>
      <c r="AFB66" s="621"/>
      <c r="AFC66" s="621"/>
      <c r="AFD66" s="621"/>
      <c r="AFE66" s="621"/>
      <c r="AFF66" s="621"/>
      <c r="AFG66" s="621"/>
      <c r="AFH66" s="621"/>
      <c r="AFI66" s="621"/>
      <c r="AFJ66" s="621"/>
      <c r="AFK66" s="621"/>
      <c r="AFL66" s="621"/>
      <c r="AFM66" s="621"/>
      <c r="AFN66" s="621"/>
      <c r="AFO66" s="621"/>
      <c r="AFP66" s="621"/>
      <c r="AFQ66" s="621"/>
      <c r="AFR66" s="621"/>
      <c r="AFS66" s="621"/>
      <c r="AFT66" s="621"/>
      <c r="AFU66" s="621"/>
      <c r="AFV66" s="621"/>
      <c r="AFW66" s="621"/>
      <c r="AFX66" s="621"/>
      <c r="AFY66" s="621"/>
      <c r="AFZ66" s="621"/>
      <c r="AGA66" s="621"/>
      <c r="AGB66" s="621"/>
      <c r="AGC66" s="621"/>
      <c r="AGD66" s="621"/>
      <c r="AGE66" s="621"/>
      <c r="AGF66" s="621"/>
      <c r="AGG66" s="621"/>
      <c r="AGH66" s="621"/>
      <c r="AGI66" s="621"/>
      <c r="AGJ66" s="621"/>
      <c r="AGK66" s="621"/>
      <c r="AGL66" s="621"/>
      <c r="AGM66" s="621"/>
      <c r="AGN66" s="621"/>
      <c r="AGO66" s="621"/>
      <c r="AGP66" s="621"/>
      <c r="AGQ66" s="621"/>
      <c r="AGR66" s="621"/>
      <c r="AGS66" s="621"/>
      <c r="AGT66" s="621"/>
      <c r="AGU66" s="621"/>
      <c r="AGV66" s="621"/>
      <c r="AGW66" s="621"/>
      <c r="AGX66" s="621"/>
      <c r="AGY66" s="621"/>
      <c r="AGZ66" s="621"/>
      <c r="AHA66" s="621"/>
      <c r="AHB66" s="621"/>
      <c r="AHC66" s="621"/>
      <c r="AHD66" s="621"/>
      <c r="AHE66" s="621"/>
      <c r="AHF66" s="621"/>
      <c r="AHG66" s="621"/>
      <c r="AHH66" s="621"/>
      <c r="AHI66" s="621"/>
      <c r="AHJ66" s="621"/>
      <c r="AHK66" s="621"/>
      <c r="AHL66" s="621"/>
      <c r="AHM66" s="621"/>
      <c r="AHN66" s="621"/>
      <c r="AHO66" s="621"/>
      <c r="AHP66" s="621"/>
      <c r="AHQ66" s="621"/>
      <c r="AHR66" s="621"/>
      <c r="AHS66" s="621"/>
      <c r="AHT66" s="621"/>
      <c r="AHU66" s="621"/>
      <c r="AHV66" s="621"/>
      <c r="AHW66" s="621"/>
      <c r="AHX66" s="621"/>
      <c r="AHY66" s="621"/>
      <c r="AHZ66" s="621"/>
      <c r="AIA66" s="621"/>
      <c r="AIB66" s="621"/>
      <c r="AIC66" s="621"/>
      <c r="AID66" s="621"/>
      <c r="AIE66" s="621"/>
      <c r="AIF66" s="621"/>
      <c r="AIG66" s="621"/>
      <c r="AIH66" s="621"/>
      <c r="AII66" s="621"/>
      <c r="AIJ66" s="621"/>
      <c r="AIK66" s="621"/>
      <c r="AIL66" s="621"/>
      <c r="AIM66" s="621"/>
      <c r="AIN66" s="621"/>
      <c r="AIO66" s="621"/>
      <c r="AIP66" s="621"/>
      <c r="AIQ66" s="621"/>
      <c r="AIR66" s="621"/>
      <c r="AIS66" s="621"/>
      <c r="AIT66" s="621"/>
      <c r="AIU66" s="621"/>
      <c r="AIV66" s="621"/>
      <c r="AIW66" s="621"/>
      <c r="AIX66" s="621"/>
      <c r="AIY66" s="621"/>
      <c r="AIZ66" s="621"/>
      <c r="AJA66" s="621"/>
      <c r="AJB66" s="621"/>
      <c r="AJC66" s="621"/>
      <c r="AJD66" s="621"/>
      <c r="AJE66" s="621"/>
      <c r="AJF66" s="621"/>
      <c r="AJG66" s="621"/>
      <c r="AJH66" s="621"/>
      <c r="AJI66" s="621"/>
      <c r="AJJ66" s="621"/>
      <c r="AJK66" s="621"/>
      <c r="AJL66" s="621"/>
      <c r="AJM66" s="621"/>
      <c r="AJN66" s="621"/>
      <c r="AJO66" s="621"/>
      <c r="AJP66" s="621"/>
      <c r="AJQ66" s="621"/>
      <c r="AJR66" s="621"/>
      <c r="AJS66" s="621"/>
      <c r="AJT66" s="621"/>
      <c r="AJU66" s="621"/>
      <c r="AJV66" s="621"/>
      <c r="AJW66" s="621"/>
      <c r="AJX66" s="621"/>
      <c r="AJY66" s="621"/>
      <c r="AJZ66" s="621"/>
      <c r="AKA66" s="621"/>
      <c r="AKB66" s="621"/>
      <c r="AKC66" s="621"/>
      <c r="AKD66" s="621"/>
      <c r="AKE66" s="621"/>
      <c r="AKF66" s="621"/>
      <c r="AKG66" s="621"/>
      <c r="AKH66" s="621"/>
      <c r="AKI66" s="621"/>
      <c r="AKJ66" s="621"/>
      <c r="AKK66" s="621"/>
      <c r="AKL66" s="621"/>
      <c r="AKM66" s="621"/>
      <c r="AKN66" s="621"/>
      <c r="AKO66" s="621"/>
      <c r="AKP66" s="621"/>
      <c r="AKQ66" s="621"/>
      <c r="AKR66" s="621"/>
      <c r="AKS66" s="621"/>
      <c r="AKT66" s="621"/>
      <c r="AKU66" s="621"/>
      <c r="AKV66" s="621"/>
      <c r="AKW66" s="621"/>
      <c r="AKX66" s="621"/>
      <c r="AKY66" s="621"/>
      <c r="AKZ66" s="621"/>
      <c r="ALA66" s="621"/>
      <c r="ALB66" s="621"/>
      <c r="ALC66" s="621"/>
      <c r="ALD66" s="621"/>
      <c r="ALE66" s="621"/>
      <c r="ALF66" s="621"/>
      <c r="ALG66" s="621"/>
      <c r="ALH66" s="621"/>
      <c r="ALI66" s="621"/>
      <c r="ALJ66" s="621"/>
      <c r="ALK66" s="621"/>
      <c r="ALL66" s="621"/>
      <c r="ALM66" s="621"/>
      <c r="ALN66" s="621"/>
      <c r="ALO66" s="621"/>
      <c r="ALP66" s="621"/>
      <c r="ALQ66" s="621"/>
      <c r="ALR66" s="621"/>
      <c r="ALS66" s="621"/>
      <c r="ALT66" s="621"/>
      <c r="ALU66" s="621"/>
      <c r="ALV66" s="621"/>
      <c r="ALW66" s="621"/>
      <c r="ALX66" s="621"/>
      <c r="ALY66" s="621"/>
      <c r="ALZ66" s="621"/>
      <c r="AMA66" s="621"/>
      <c r="AMB66" s="621"/>
      <c r="AMC66" s="621"/>
      <c r="AMD66" s="621"/>
      <c r="AME66" s="621"/>
      <c r="AMF66" s="621"/>
      <c r="AMG66" s="621"/>
      <c r="AMH66" s="621"/>
      <c r="AMI66" s="621"/>
      <c r="AMJ66" s="621"/>
      <c r="AMK66" s="621"/>
    </row>
    <row r="67" spans="1:1025" ht="27.75">
      <c r="A67" s="459">
        <v>2.7</v>
      </c>
      <c r="B67" s="408" t="s">
        <v>405</v>
      </c>
      <c r="C67" s="418">
        <f>SUM(C68:C73)</f>
        <v>15309.75</v>
      </c>
      <c r="D67" s="418">
        <f>SUM(D68:D73)</f>
        <v>13847.5</v>
      </c>
      <c r="E67" s="2043"/>
      <c r="F67" s="2043"/>
      <c r="G67" s="443"/>
      <c r="H67" s="420"/>
      <c r="I67" s="594"/>
      <c r="J67" s="542">
        <v>26281.98</v>
      </c>
      <c r="K67" s="594">
        <f>+D67-J67</f>
        <v>-12434.48</v>
      </c>
      <c r="L67" s="413"/>
      <c r="M67" s="542"/>
      <c r="N67" s="272"/>
      <c r="O67" s="272"/>
      <c r="P67" s="272"/>
      <c r="T67" s="397"/>
      <c r="U67" s="397"/>
      <c r="V67" s="452"/>
      <c r="W67" s="452"/>
      <c r="X67" s="452"/>
      <c r="Y67" s="397"/>
      <c r="Z67" s="397"/>
      <c r="AA67" s="397"/>
      <c r="AD67" s="1455"/>
      <c r="AE67" s="1486"/>
      <c r="AF67" s="1484"/>
      <c r="AG67" s="1485"/>
      <c r="AH67" s="1485"/>
      <c r="AI67" s="1485"/>
      <c r="AJ67" s="1485"/>
      <c r="AK67" s="1485"/>
      <c r="AL67" s="1485"/>
      <c r="AM67" s="1475">
        <f t="shared" si="13"/>
        <v>0</v>
      </c>
      <c r="AN67" s="1484"/>
      <c r="AO67" s="1483"/>
      <c r="AP67" s="289"/>
      <c r="AU67" s="621"/>
      <c r="AV67" s="621"/>
      <c r="AW67" s="621"/>
      <c r="AX67" s="621"/>
      <c r="AY67" s="621"/>
      <c r="AZ67" s="621"/>
      <c r="BA67" s="621"/>
      <c r="BB67" s="621"/>
      <c r="BC67" s="621"/>
      <c r="BD67" s="621"/>
      <c r="BE67" s="621"/>
      <c r="BF67" s="621"/>
      <c r="BG67" s="621"/>
      <c r="BH67" s="621"/>
      <c r="BI67" s="621"/>
      <c r="BJ67" s="621"/>
      <c r="BK67" s="621"/>
      <c r="BL67" s="621"/>
      <c r="BM67" s="621"/>
      <c r="BN67" s="621"/>
      <c r="BO67" s="621"/>
      <c r="BP67" s="621"/>
      <c r="BQ67" s="621"/>
      <c r="BR67" s="621"/>
      <c r="BS67" s="621"/>
      <c r="BT67" s="621"/>
      <c r="BU67" s="621"/>
      <c r="BV67" s="621"/>
      <c r="BW67" s="621"/>
      <c r="BX67" s="621"/>
      <c r="BY67" s="621"/>
      <c r="BZ67" s="621"/>
      <c r="CA67" s="621"/>
      <c r="CB67" s="621"/>
      <c r="CC67" s="621"/>
      <c r="CD67" s="621"/>
      <c r="CE67" s="621"/>
      <c r="CF67" s="621"/>
      <c r="CG67" s="621"/>
      <c r="CH67" s="621"/>
      <c r="CI67" s="621"/>
      <c r="CJ67" s="621"/>
      <c r="CK67" s="621"/>
      <c r="CL67" s="621"/>
      <c r="CM67" s="621"/>
      <c r="CN67" s="621"/>
      <c r="CO67" s="621"/>
      <c r="CP67" s="621"/>
      <c r="CQ67" s="621"/>
      <c r="CR67" s="621"/>
      <c r="CS67" s="621"/>
      <c r="CT67" s="621"/>
      <c r="CU67" s="621"/>
      <c r="CV67" s="621"/>
      <c r="CW67" s="621"/>
      <c r="CX67" s="621"/>
      <c r="CY67" s="621"/>
      <c r="CZ67" s="621"/>
      <c r="DA67" s="621"/>
      <c r="DB67" s="621"/>
      <c r="DC67" s="621"/>
      <c r="DD67" s="621"/>
      <c r="DE67" s="621"/>
      <c r="DF67" s="621"/>
      <c r="DG67" s="621"/>
      <c r="DH67" s="621"/>
      <c r="DI67" s="621"/>
      <c r="DJ67" s="621"/>
      <c r="DK67" s="621"/>
      <c r="DL67" s="621"/>
      <c r="DM67" s="621"/>
      <c r="DN67" s="621"/>
      <c r="DO67" s="621"/>
      <c r="DP67" s="621"/>
      <c r="DQ67" s="621"/>
      <c r="DR67" s="621"/>
      <c r="DS67" s="621"/>
      <c r="DT67" s="621"/>
      <c r="DU67" s="621"/>
      <c r="DV67" s="621"/>
      <c r="DW67" s="621"/>
      <c r="DX67" s="621"/>
      <c r="DY67" s="621"/>
      <c r="DZ67" s="621"/>
      <c r="EA67" s="621"/>
      <c r="EB67" s="621"/>
      <c r="EC67" s="621"/>
      <c r="ED67" s="621"/>
      <c r="EE67" s="621"/>
      <c r="EF67" s="621"/>
      <c r="EG67" s="621"/>
      <c r="EH67" s="621"/>
      <c r="EI67" s="621"/>
      <c r="EJ67" s="621"/>
      <c r="EK67" s="621"/>
      <c r="EL67" s="621"/>
      <c r="EM67" s="621"/>
      <c r="EN67" s="621"/>
      <c r="EO67" s="621"/>
      <c r="EP67" s="621"/>
      <c r="EQ67" s="621"/>
      <c r="ER67" s="621"/>
      <c r="ES67" s="621"/>
      <c r="ET67" s="621"/>
      <c r="EU67" s="621"/>
      <c r="EV67" s="621"/>
      <c r="EW67" s="621"/>
      <c r="EX67" s="621"/>
      <c r="EY67" s="621"/>
      <c r="EZ67" s="621"/>
      <c r="FA67" s="621"/>
      <c r="FB67" s="621"/>
      <c r="FC67" s="621"/>
      <c r="FD67" s="621"/>
      <c r="FE67" s="621"/>
      <c r="FF67" s="621"/>
      <c r="FG67" s="621"/>
      <c r="FH67" s="621"/>
      <c r="FI67" s="621"/>
      <c r="FJ67" s="621"/>
      <c r="FK67" s="621"/>
      <c r="FL67" s="621"/>
      <c r="FM67" s="621"/>
      <c r="FN67" s="621"/>
      <c r="FO67" s="621"/>
      <c r="FP67" s="621"/>
      <c r="FQ67" s="621"/>
      <c r="FR67" s="621"/>
      <c r="FS67" s="621"/>
      <c r="FT67" s="621"/>
      <c r="FU67" s="621"/>
      <c r="FV67" s="621"/>
      <c r="FW67" s="621"/>
      <c r="FX67" s="621"/>
      <c r="FY67" s="621"/>
      <c r="FZ67" s="621"/>
      <c r="GA67" s="621"/>
      <c r="GB67" s="621"/>
      <c r="GC67" s="621"/>
      <c r="GD67" s="621"/>
      <c r="GE67" s="621"/>
      <c r="GF67" s="621"/>
      <c r="GG67" s="621"/>
      <c r="GH67" s="621"/>
      <c r="GI67" s="621"/>
      <c r="GJ67" s="621"/>
      <c r="GK67" s="621"/>
      <c r="GL67" s="621"/>
      <c r="GM67" s="621"/>
      <c r="GN67" s="621"/>
      <c r="GO67" s="621"/>
      <c r="GP67" s="621"/>
      <c r="GQ67" s="621"/>
      <c r="GR67" s="621"/>
      <c r="GS67" s="621"/>
      <c r="GT67" s="621"/>
      <c r="GU67" s="621"/>
      <c r="GV67" s="621"/>
      <c r="GW67" s="621"/>
      <c r="GX67" s="621"/>
      <c r="GY67" s="621"/>
      <c r="GZ67" s="621"/>
      <c r="HA67" s="621"/>
      <c r="HB67" s="621"/>
      <c r="HC67" s="621"/>
      <c r="HD67" s="621"/>
      <c r="HE67" s="621"/>
      <c r="HF67" s="621"/>
      <c r="HG67" s="621"/>
      <c r="HH67" s="621"/>
      <c r="HI67" s="621"/>
      <c r="HJ67" s="621"/>
      <c r="HK67" s="621"/>
      <c r="HL67" s="621"/>
      <c r="HM67" s="621"/>
      <c r="HN67" s="621"/>
      <c r="HO67" s="621"/>
      <c r="HP67" s="621"/>
      <c r="HQ67" s="621"/>
      <c r="HR67" s="621"/>
      <c r="HS67" s="621"/>
      <c r="HT67" s="621"/>
      <c r="HU67" s="621"/>
      <c r="HV67" s="621"/>
      <c r="HW67" s="621"/>
      <c r="HX67" s="621"/>
      <c r="HY67" s="621"/>
      <c r="HZ67" s="621"/>
      <c r="IA67" s="621"/>
      <c r="IB67" s="621"/>
      <c r="IC67" s="621"/>
      <c r="ID67" s="621"/>
      <c r="IE67" s="621"/>
      <c r="IF67" s="621"/>
      <c r="IG67" s="621"/>
      <c r="IH67" s="621"/>
      <c r="II67" s="621"/>
      <c r="IJ67" s="621"/>
      <c r="IK67" s="621"/>
      <c r="IL67" s="621"/>
      <c r="IM67" s="621"/>
      <c r="IN67" s="621"/>
      <c r="IO67" s="621"/>
      <c r="IP67" s="621"/>
      <c r="IQ67" s="621"/>
      <c r="IR67" s="621"/>
      <c r="IS67" s="621"/>
      <c r="IT67" s="621"/>
      <c r="IU67" s="621"/>
      <c r="IV67" s="621"/>
      <c r="IW67" s="621"/>
      <c r="IX67" s="621"/>
      <c r="IY67" s="621"/>
      <c r="IZ67" s="621"/>
      <c r="JA67" s="621"/>
      <c r="JB67" s="621"/>
      <c r="JC67" s="621"/>
      <c r="JD67" s="621"/>
      <c r="JE67" s="621"/>
      <c r="JF67" s="621"/>
      <c r="JG67" s="621"/>
      <c r="JH67" s="621"/>
      <c r="JI67" s="621"/>
      <c r="JJ67" s="621"/>
      <c r="JK67" s="621"/>
      <c r="JL67" s="621"/>
      <c r="JM67" s="621"/>
      <c r="JN67" s="621"/>
      <c r="JO67" s="621"/>
      <c r="JP67" s="621"/>
      <c r="JQ67" s="621"/>
      <c r="JR67" s="621"/>
      <c r="JS67" s="621"/>
      <c r="JT67" s="621"/>
      <c r="JU67" s="621"/>
      <c r="JV67" s="621"/>
      <c r="JW67" s="621"/>
      <c r="JX67" s="621"/>
      <c r="JY67" s="621"/>
      <c r="JZ67" s="621"/>
      <c r="KA67" s="621"/>
      <c r="KB67" s="621"/>
      <c r="KC67" s="621"/>
      <c r="KD67" s="621"/>
      <c r="KE67" s="621"/>
      <c r="KF67" s="621"/>
      <c r="KG67" s="621"/>
      <c r="KH67" s="621"/>
      <c r="KI67" s="621"/>
      <c r="KJ67" s="621"/>
      <c r="KK67" s="621"/>
      <c r="KL67" s="621"/>
      <c r="KM67" s="621"/>
      <c r="KN67" s="621"/>
      <c r="KO67" s="621"/>
      <c r="KP67" s="621"/>
      <c r="KQ67" s="621"/>
      <c r="KR67" s="621"/>
      <c r="KS67" s="621"/>
      <c r="KT67" s="621"/>
      <c r="KU67" s="621"/>
      <c r="KV67" s="621"/>
      <c r="KW67" s="621"/>
      <c r="KX67" s="621"/>
      <c r="KY67" s="621"/>
      <c r="KZ67" s="621"/>
      <c r="LA67" s="621"/>
      <c r="LB67" s="621"/>
      <c r="LC67" s="621"/>
      <c r="LD67" s="621"/>
      <c r="LE67" s="621"/>
      <c r="LF67" s="621"/>
      <c r="LG67" s="621"/>
      <c r="LH67" s="621"/>
      <c r="LI67" s="621"/>
      <c r="LJ67" s="621"/>
      <c r="LK67" s="621"/>
      <c r="LL67" s="621"/>
      <c r="LM67" s="621"/>
      <c r="LN67" s="621"/>
      <c r="LO67" s="621"/>
      <c r="LP67" s="621"/>
      <c r="LQ67" s="621"/>
      <c r="LR67" s="621"/>
      <c r="LS67" s="621"/>
      <c r="LT67" s="621"/>
      <c r="LU67" s="621"/>
      <c r="LV67" s="621"/>
      <c r="LW67" s="621"/>
      <c r="LX67" s="621"/>
      <c r="LY67" s="621"/>
      <c r="LZ67" s="621"/>
      <c r="MA67" s="621"/>
      <c r="MB67" s="621"/>
      <c r="MC67" s="621"/>
      <c r="MD67" s="621"/>
      <c r="ME67" s="621"/>
      <c r="MF67" s="621"/>
      <c r="MG67" s="621"/>
      <c r="MH67" s="621"/>
      <c r="MI67" s="621"/>
      <c r="MJ67" s="621"/>
      <c r="MK67" s="621"/>
      <c r="ML67" s="621"/>
      <c r="MM67" s="621"/>
      <c r="MN67" s="621"/>
      <c r="MO67" s="621"/>
      <c r="MP67" s="621"/>
      <c r="MQ67" s="621"/>
      <c r="MR67" s="621"/>
      <c r="MS67" s="621"/>
      <c r="MT67" s="621"/>
      <c r="MU67" s="621"/>
      <c r="MV67" s="621"/>
      <c r="MW67" s="621"/>
      <c r="MX67" s="621"/>
      <c r="MY67" s="621"/>
      <c r="MZ67" s="621"/>
      <c r="NA67" s="621"/>
      <c r="NB67" s="621"/>
      <c r="NC67" s="621"/>
      <c r="ND67" s="621"/>
      <c r="NE67" s="621"/>
      <c r="NF67" s="621"/>
      <c r="NG67" s="621"/>
      <c r="NH67" s="621"/>
      <c r="NI67" s="621"/>
      <c r="NJ67" s="621"/>
      <c r="NK67" s="621"/>
      <c r="NL67" s="621"/>
      <c r="NM67" s="621"/>
      <c r="NN67" s="621"/>
      <c r="NO67" s="621"/>
      <c r="NP67" s="621"/>
      <c r="NQ67" s="621"/>
      <c r="NR67" s="621"/>
      <c r="NS67" s="621"/>
      <c r="NT67" s="621"/>
      <c r="NU67" s="621"/>
      <c r="NV67" s="621"/>
      <c r="NW67" s="621"/>
      <c r="NX67" s="621"/>
      <c r="NY67" s="621"/>
      <c r="NZ67" s="621"/>
      <c r="OA67" s="621"/>
      <c r="OB67" s="621"/>
      <c r="OC67" s="621"/>
      <c r="OD67" s="621"/>
      <c r="OE67" s="621"/>
      <c r="OF67" s="621"/>
      <c r="OG67" s="621"/>
      <c r="OH67" s="621"/>
      <c r="OI67" s="621"/>
      <c r="OJ67" s="621"/>
      <c r="OK67" s="621"/>
      <c r="OL67" s="621"/>
      <c r="OM67" s="621"/>
      <c r="ON67" s="621"/>
      <c r="OO67" s="621"/>
      <c r="OP67" s="621"/>
      <c r="OQ67" s="621"/>
      <c r="OR67" s="621"/>
      <c r="OS67" s="621"/>
      <c r="OT67" s="621"/>
      <c r="OU67" s="621"/>
      <c r="OV67" s="621"/>
      <c r="OW67" s="621"/>
      <c r="OX67" s="621"/>
      <c r="OY67" s="621"/>
      <c r="OZ67" s="621"/>
      <c r="PA67" s="621"/>
      <c r="PB67" s="621"/>
      <c r="PC67" s="621"/>
      <c r="PD67" s="621"/>
      <c r="PE67" s="621"/>
      <c r="PF67" s="621"/>
      <c r="PG67" s="621"/>
      <c r="PH67" s="621"/>
      <c r="PI67" s="621"/>
      <c r="PJ67" s="621"/>
      <c r="PK67" s="621"/>
      <c r="PL67" s="621"/>
      <c r="PM67" s="621"/>
      <c r="PN67" s="621"/>
      <c r="PO67" s="621"/>
      <c r="PP67" s="621"/>
      <c r="PQ67" s="621"/>
      <c r="PR67" s="621"/>
      <c r="PS67" s="621"/>
      <c r="PT67" s="621"/>
      <c r="PU67" s="621"/>
      <c r="PV67" s="621"/>
      <c r="PW67" s="621"/>
      <c r="PX67" s="621"/>
      <c r="PY67" s="621"/>
      <c r="PZ67" s="621"/>
      <c r="QA67" s="621"/>
      <c r="QB67" s="621"/>
      <c r="QC67" s="621"/>
      <c r="QD67" s="621"/>
      <c r="QE67" s="621"/>
      <c r="QF67" s="621"/>
      <c r="QG67" s="621"/>
      <c r="QH67" s="621"/>
      <c r="QI67" s="621"/>
      <c r="QJ67" s="621"/>
      <c r="QK67" s="621"/>
      <c r="QL67" s="621"/>
      <c r="QM67" s="621"/>
      <c r="QN67" s="621"/>
      <c r="QO67" s="621"/>
      <c r="QP67" s="621"/>
      <c r="QQ67" s="621"/>
      <c r="QR67" s="621"/>
      <c r="QS67" s="621"/>
      <c r="QT67" s="621"/>
      <c r="QU67" s="621"/>
      <c r="QV67" s="621"/>
      <c r="QW67" s="621"/>
      <c r="QX67" s="621"/>
      <c r="QY67" s="621"/>
      <c r="QZ67" s="621"/>
      <c r="RA67" s="621"/>
      <c r="RB67" s="621"/>
      <c r="RC67" s="621"/>
      <c r="RD67" s="621"/>
      <c r="RE67" s="621"/>
      <c r="RF67" s="621"/>
      <c r="RG67" s="621"/>
      <c r="RH67" s="621"/>
      <c r="RI67" s="621"/>
      <c r="RJ67" s="621"/>
      <c r="RK67" s="621"/>
      <c r="RL67" s="621"/>
      <c r="RM67" s="621"/>
      <c r="RN67" s="621"/>
      <c r="RO67" s="621"/>
      <c r="RP67" s="621"/>
      <c r="RQ67" s="621"/>
      <c r="RR67" s="621"/>
      <c r="RS67" s="621"/>
      <c r="RT67" s="621"/>
      <c r="RU67" s="621"/>
      <c r="RV67" s="621"/>
      <c r="RW67" s="621"/>
      <c r="RX67" s="621"/>
      <c r="RY67" s="621"/>
      <c r="RZ67" s="621"/>
      <c r="SA67" s="621"/>
      <c r="SB67" s="621"/>
      <c r="SC67" s="621"/>
      <c r="SD67" s="621"/>
      <c r="SE67" s="621"/>
      <c r="SF67" s="621"/>
      <c r="SG67" s="621"/>
      <c r="SH67" s="621"/>
      <c r="SI67" s="621"/>
      <c r="SJ67" s="621"/>
      <c r="SK67" s="621"/>
      <c r="SL67" s="621"/>
      <c r="SM67" s="621"/>
      <c r="SN67" s="621"/>
      <c r="SO67" s="621"/>
      <c r="SP67" s="621"/>
      <c r="SQ67" s="621"/>
      <c r="SR67" s="621"/>
      <c r="SS67" s="621"/>
      <c r="ST67" s="621"/>
      <c r="SU67" s="621"/>
      <c r="SV67" s="621"/>
      <c r="SW67" s="621"/>
      <c r="SX67" s="621"/>
      <c r="SY67" s="621"/>
      <c r="SZ67" s="621"/>
      <c r="TA67" s="621"/>
      <c r="TB67" s="621"/>
      <c r="TC67" s="621"/>
      <c r="TD67" s="621"/>
      <c r="TE67" s="621"/>
      <c r="TF67" s="621"/>
      <c r="TG67" s="621"/>
      <c r="TH67" s="621"/>
      <c r="TI67" s="621"/>
      <c r="TJ67" s="621"/>
      <c r="TK67" s="621"/>
      <c r="TL67" s="621"/>
      <c r="TM67" s="621"/>
      <c r="TN67" s="621"/>
      <c r="TO67" s="621"/>
      <c r="TP67" s="621"/>
      <c r="TQ67" s="621"/>
      <c r="TR67" s="621"/>
      <c r="TS67" s="621"/>
      <c r="TT67" s="621"/>
      <c r="TU67" s="621"/>
      <c r="TV67" s="621"/>
      <c r="TW67" s="621"/>
      <c r="TX67" s="621"/>
      <c r="TY67" s="621"/>
      <c r="TZ67" s="621"/>
      <c r="UA67" s="621"/>
      <c r="UB67" s="621"/>
      <c r="UC67" s="621"/>
      <c r="UD67" s="621"/>
      <c r="UE67" s="621"/>
      <c r="UF67" s="621"/>
      <c r="UG67" s="621"/>
      <c r="UH67" s="621"/>
      <c r="UI67" s="621"/>
      <c r="UJ67" s="621"/>
      <c r="UK67" s="621"/>
      <c r="UL67" s="621"/>
      <c r="UM67" s="621"/>
      <c r="UN67" s="621"/>
      <c r="UO67" s="621"/>
      <c r="UP67" s="621"/>
      <c r="UQ67" s="621"/>
      <c r="UR67" s="621"/>
      <c r="US67" s="621"/>
      <c r="UT67" s="621"/>
      <c r="UU67" s="621"/>
      <c r="UV67" s="621"/>
      <c r="UW67" s="621"/>
      <c r="UX67" s="621"/>
      <c r="UY67" s="621"/>
      <c r="UZ67" s="621"/>
      <c r="VA67" s="621"/>
      <c r="VB67" s="621"/>
      <c r="VC67" s="621"/>
      <c r="VD67" s="621"/>
      <c r="VE67" s="621"/>
      <c r="VF67" s="621"/>
      <c r="VG67" s="621"/>
      <c r="VH67" s="621"/>
      <c r="VI67" s="621"/>
      <c r="VJ67" s="621"/>
      <c r="VK67" s="621"/>
      <c r="VL67" s="621"/>
      <c r="VM67" s="621"/>
      <c r="VN67" s="621"/>
      <c r="VO67" s="621"/>
      <c r="VP67" s="621"/>
      <c r="VQ67" s="621"/>
      <c r="VR67" s="621"/>
      <c r="VS67" s="621"/>
      <c r="VT67" s="621"/>
      <c r="VU67" s="621"/>
      <c r="VV67" s="621"/>
      <c r="VW67" s="621"/>
      <c r="VX67" s="621"/>
      <c r="VY67" s="621"/>
      <c r="VZ67" s="621"/>
      <c r="WA67" s="621"/>
      <c r="WB67" s="621"/>
      <c r="WC67" s="621"/>
      <c r="WD67" s="621"/>
      <c r="WE67" s="621"/>
      <c r="WF67" s="621"/>
      <c r="WG67" s="621"/>
      <c r="WH67" s="621"/>
      <c r="WI67" s="621"/>
      <c r="WJ67" s="621"/>
      <c r="WK67" s="621"/>
      <c r="WL67" s="621"/>
      <c r="WM67" s="621"/>
      <c r="WN67" s="621"/>
      <c r="WO67" s="621"/>
      <c r="WP67" s="621"/>
      <c r="WQ67" s="621"/>
      <c r="WR67" s="621"/>
      <c r="WS67" s="621"/>
      <c r="WT67" s="621"/>
      <c r="WU67" s="621"/>
      <c r="WV67" s="621"/>
      <c r="WW67" s="621"/>
      <c r="WX67" s="621"/>
      <c r="WY67" s="621"/>
      <c r="WZ67" s="621"/>
      <c r="XA67" s="621"/>
      <c r="XB67" s="621"/>
      <c r="XC67" s="621"/>
      <c r="XD67" s="621"/>
      <c r="XE67" s="621"/>
      <c r="XF67" s="621"/>
      <c r="XG67" s="621"/>
      <c r="XH67" s="621"/>
      <c r="XI67" s="621"/>
      <c r="XJ67" s="621"/>
      <c r="XK67" s="621"/>
      <c r="XL67" s="621"/>
      <c r="XM67" s="621"/>
      <c r="XN67" s="621"/>
      <c r="XO67" s="621"/>
      <c r="XP67" s="621"/>
      <c r="XQ67" s="621"/>
      <c r="XR67" s="621"/>
      <c r="XS67" s="621"/>
      <c r="XT67" s="621"/>
      <c r="XU67" s="621"/>
      <c r="XV67" s="621"/>
      <c r="XW67" s="621"/>
      <c r="XX67" s="621"/>
      <c r="XY67" s="621"/>
      <c r="XZ67" s="621"/>
      <c r="YA67" s="621"/>
      <c r="YB67" s="621"/>
      <c r="YC67" s="621"/>
      <c r="YD67" s="621"/>
      <c r="YE67" s="621"/>
      <c r="YF67" s="621"/>
      <c r="YG67" s="621"/>
      <c r="YH67" s="621"/>
      <c r="YI67" s="621"/>
      <c r="YJ67" s="621"/>
      <c r="YK67" s="621"/>
      <c r="YL67" s="621"/>
      <c r="YM67" s="621"/>
      <c r="YN67" s="621"/>
      <c r="YO67" s="621"/>
      <c r="YP67" s="621"/>
      <c r="YQ67" s="621"/>
      <c r="YR67" s="621"/>
      <c r="YS67" s="621"/>
      <c r="YT67" s="621"/>
      <c r="YU67" s="621"/>
      <c r="YV67" s="621"/>
      <c r="YW67" s="621"/>
      <c r="YX67" s="621"/>
      <c r="YY67" s="621"/>
      <c r="YZ67" s="621"/>
      <c r="ZA67" s="621"/>
      <c r="ZB67" s="621"/>
      <c r="ZC67" s="621"/>
      <c r="ZD67" s="621"/>
      <c r="ZE67" s="621"/>
      <c r="ZF67" s="621"/>
      <c r="ZG67" s="621"/>
      <c r="ZH67" s="621"/>
      <c r="ZI67" s="621"/>
      <c r="ZJ67" s="621"/>
      <c r="ZK67" s="621"/>
      <c r="ZL67" s="621"/>
      <c r="ZM67" s="621"/>
      <c r="ZN67" s="621"/>
      <c r="ZO67" s="621"/>
      <c r="ZP67" s="621"/>
      <c r="ZQ67" s="621"/>
      <c r="ZR67" s="621"/>
      <c r="ZS67" s="621"/>
      <c r="ZT67" s="621"/>
      <c r="ZU67" s="621"/>
      <c r="ZV67" s="621"/>
      <c r="ZW67" s="621"/>
      <c r="ZX67" s="621"/>
      <c r="ZY67" s="621"/>
      <c r="ZZ67" s="621"/>
      <c r="AAA67" s="621"/>
      <c r="AAB67" s="621"/>
      <c r="AAC67" s="621"/>
      <c r="AAD67" s="621"/>
      <c r="AAE67" s="621"/>
      <c r="AAF67" s="621"/>
      <c r="AAG67" s="621"/>
      <c r="AAH67" s="621"/>
      <c r="AAI67" s="621"/>
      <c r="AAJ67" s="621"/>
      <c r="AAK67" s="621"/>
      <c r="AAL67" s="621"/>
      <c r="AAM67" s="621"/>
      <c r="AAN67" s="621"/>
      <c r="AAO67" s="621"/>
      <c r="AAP67" s="621"/>
      <c r="AAQ67" s="621"/>
      <c r="AAR67" s="621"/>
      <c r="AAS67" s="621"/>
      <c r="AAT67" s="621"/>
      <c r="AAU67" s="621"/>
      <c r="AAV67" s="621"/>
      <c r="AAW67" s="621"/>
      <c r="AAX67" s="621"/>
      <c r="AAY67" s="621"/>
      <c r="AAZ67" s="621"/>
      <c r="ABA67" s="621"/>
      <c r="ABB67" s="621"/>
      <c r="ABC67" s="621"/>
      <c r="ABD67" s="621"/>
      <c r="ABE67" s="621"/>
      <c r="ABF67" s="621"/>
      <c r="ABG67" s="621"/>
      <c r="ABH67" s="621"/>
      <c r="ABI67" s="621"/>
      <c r="ABJ67" s="621"/>
      <c r="ABK67" s="621"/>
      <c r="ABL67" s="621"/>
      <c r="ABM67" s="621"/>
      <c r="ABN67" s="621"/>
      <c r="ABO67" s="621"/>
      <c r="ABP67" s="621"/>
      <c r="ABQ67" s="621"/>
      <c r="ABR67" s="621"/>
      <c r="ABS67" s="621"/>
      <c r="ABT67" s="621"/>
      <c r="ABU67" s="621"/>
      <c r="ABV67" s="621"/>
      <c r="ABW67" s="621"/>
      <c r="ABX67" s="621"/>
      <c r="ABY67" s="621"/>
      <c r="ABZ67" s="621"/>
      <c r="ACA67" s="621"/>
      <c r="ACB67" s="621"/>
      <c r="ACC67" s="621"/>
      <c r="ACD67" s="621"/>
      <c r="ACE67" s="621"/>
      <c r="ACF67" s="621"/>
      <c r="ACG67" s="621"/>
      <c r="ACH67" s="621"/>
      <c r="ACI67" s="621"/>
      <c r="ACJ67" s="621"/>
      <c r="ACK67" s="621"/>
      <c r="ACL67" s="621"/>
      <c r="ACM67" s="621"/>
      <c r="ACN67" s="621"/>
      <c r="ACO67" s="621"/>
      <c r="ACP67" s="621"/>
      <c r="ACQ67" s="621"/>
      <c r="ACR67" s="621"/>
      <c r="ACS67" s="621"/>
      <c r="ACT67" s="621"/>
      <c r="ACU67" s="621"/>
      <c r="ACV67" s="621"/>
      <c r="ACW67" s="621"/>
      <c r="ACX67" s="621"/>
      <c r="ACY67" s="621"/>
      <c r="ACZ67" s="621"/>
      <c r="ADA67" s="621"/>
      <c r="ADB67" s="621"/>
      <c r="ADC67" s="621"/>
      <c r="ADD67" s="621"/>
      <c r="ADE67" s="621"/>
      <c r="ADF67" s="621"/>
      <c r="ADG67" s="621"/>
      <c r="ADH67" s="621"/>
      <c r="ADI67" s="621"/>
      <c r="ADJ67" s="621"/>
      <c r="ADK67" s="621"/>
      <c r="ADL67" s="621"/>
      <c r="ADM67" s="621"/>
      <c r="ADN67" s="621"/>
      <c r="ADO67" s="621"/>
      <c r="ADP67" s="621"/>
      <c r="ADQ67" s="621"/>
      <c r="ADR67" s="621"/>
      <c r="ADS67" s="621"/>
      <c r="ADT67" s="621"/>
      <c r="ADU67" s="621"/>
      <c r="ADV67" s="621"/>
      <c r="ADW67" s="621"/>
      <c r="ADX67" s="621"/>
      <c r="ADY67" s="621"/>
      <c r="ADZ67" s="621"/>
      <c r="AEA67" s="621"/>
      <c r="AEB67" s="621"/>
      <c r="AEC67" s="621"/>
      <c r="AED67" s="621"/>
      <c r="AEE67" s="621"/>
      <c r="AEF67" s="621"/>
      <c r="AEG67" s="621"/>
      <c r="AEH67" s="621"/>
      <c r="AEI67" s="621"/>
      <c r="AEJ67" s="621"/>
      <c r="AEK67" s="621"/>
      <c r="AEL67" s="621"/>
      <c r="AEM67" s="621"/>
      <c r="AEN67" s="621"/>
      <c r="AEO67" s="621"/>
      <c r="AEP67" s="621"/>
      <c r="AEQ67" s="621"/>
      <c r="AER67" s="621"/>
      <c r="AES67" s="621"/>
      <c r="AET67" s="621"/>
      <c r="AEU67" s="621"/>
      <c r="AEV67" s="621"/>
      <c r="AEW67" s="621"/>
      <c r="AEX67" s="621"/>
      <c r="AEY67" s="621"/>
      <c r="AEZ67" s="621"/>
      <c r="AFA67" s="621"/>
      <c r="AFB67" s="621"/>
      <c r="AFC67" s="621"/>
      <c r="AFD67" s="621"/>
      <c r="AFE67" s="621"/>
      <c r="AFF67" s="621"/>
      <c r="AFG67" s="621"/>
      <c r="AFH67" s="621"/>
      <c r="AFI67" s="621"/>
      <c r="AFJ67" s="621"/>
      <c r="AFK67" s="621"/>
      <c r="AFL67" s="621"/>
      <c r="AFM67" s="621"/>
      <c r="AFN67" s="621"/>
      <c r="AFO67" s="621"/>
      <c r="AFP67" s="621"/>
      <c r="AFQ67" s="621"/>
      <c r="AFR67" s="621"/>
      <c r="AFS67" s="621"/>
      <c r="AFT67" s="621"/>
      <c r="AFU67" s="621"/>
      <c r="AFV67" s="621"/>
      <c r="AFW67" s="621"/>
      <c r="AFX67" s="621"/>
      <c r="AFY67" s="621"/>
      <c r="AFZ67" s="621"/>
      <c r="AGA67" s="621"/>
      <c r="AGB67" s="621"/>
      <c r="AGC67" s="621"/>
      <c r="AGD67" s="621"/>
      <c r="AGE67" s="621"/>
      <c r="AGF67" s="621"/>
      <c r="AGG67" s="621"/>
      <c r="AGH67" s="621"/>
      <c r="AGI67" s="621"/>
      <c r="AGJ67" s="621"/>
      <c r="AGK67" s="621"/>
      <c r="AGL67" s="621"/>
      <c r="AGM67" s="621"/>
      <c r="AGN67" s="621"/>
      <c r="AGO67" s="621"/>
      <c r="AGP67" s="621"/>
      <c r="AGQ67" s="621"/>
      <c r="AGR67" s="621"/>
      <c r="AGS67" s="621"/>
      <c r="AGT67" s="621"/>
      <c r="AGU67" s="621"/>
      <c r="AGV67" s="621"/>
      <c r="AGW67" s="621"/>
      <c r="AGX67" s="621"/>
      <c r="AGY67" s="621"/>
      <c r="AGZ67" s="621"/>
      <c r="AHA67" s="621"/>
      <c r="AHB67" s="621"/>
      <c r="AHC67" s="621"/>
      <c r="AHD67" s="621"/>
      <c r="AHE67" s="621"/>
      <c r="AHF67" s="621"/>
      <c r="AHG67" s="621"/>
      <c r="AHH67" s="621"/>
      <c r="AHI67" s="621"/>
      <c r="AHJ67" s="621"/>
      <c r="AHK67" s="621"/>
      <c r="AHL67" s="621"/>
      <c r="AHM67" s="621"/>
      <c r="AHN67" s="621"/>
      <c r="AHO67" s="621"/>
      <c r="AHP67" s="621"/>
      <c r="AHQ67" s="621"/>
      <c r="AHR67" s="621"/>
      <c r="AHS67" s="621"/>
      <c r="AHT67" s="621"/>
      <c r="AHU67" s="621"/>
      <c r="AHV67" s="621"/>
      <c r="AHW67" s="621"/>
      <c r="AHX67" s="621"/>
      <c r="AHY67" s="621"/>
      <c r="AHZ67" s="621"/>
      <c r="AIA67" s="621"/>
      <c r="AIB67" s="621"/>
      <c r="AIC67" s="621"/>
      <c r="AID67" s="621"/>
      <c r="AIE67" s="621"/>
      <c r="AIF67" s="621"/>
      <c r="AIG67" s="621"/>
      <c r="AIH67" s="621"/>
      <c r="AII67" s="621"/>
      <c r="AIJ67" s="621"/>
      <c r="AIK67" s="621"/>
      <c r="AIL67" s="621"/>
      <c r="AIM67" s="621"/>
      <c r="AIN67" s="621"/>
      <c r="AIO67" s="621"/>
      <c r="AIP67" s="621"/>
      <c r="AIQ67" s="621"/>
      <c r="AIR67" s="621"/>
      <c r="AIS67" s="621"/>
      <c r="AIT67" s="621"/>
      <c r="AIU67" s="621"/>
      <c r="AIV67" s="621"/>
      <c r="AIW67" s="621"/>
      <c r="AIX67" s="621"/>
      <c r="AIY67" s="621"/>
      <c r="AIZ67" s="621"/>
      <c r="AJA67" s="621"/>
      <c r="AJB67" s="621"/>
      <c r="AJC67" s="621"/>
      <c r="AJD67" s="621"/>
      <c r="AJE67" s="621"/>
      <c r="AJF67" s="621"/>
      <c r="AJG67" s="621"/>
      <c r="AJH67" s="621"/>
      <c r="AJI67" s="621"/>
      <c r="AJJ67" s="621"/>
      <c r="AJK67" s="621"/>
      <c r="AJL67" s="621"/>
      <c r="AJM67" s="621"/>
      <c r="AJN67" s="621"/>
      <c r="AJO67" s="621"/>
      <c r="AJP67" s="621"/>
      <c r="AJQ67" s="621"/>
      <c r="AJR67" s="621"/>
      <c r="AJS67" s="621"/>
      <c r="AJT67" s="621"/>
      <c r="AJU67" s="621"/>
      <c r="AJV67" s="621"/>
      <c r="AJW67" s="621"/>
      <c r="AJX67" s="621"/>
      <c r="AJY67" s="621"/>
      <c r="AJZ67" s="621"/>
      <c r="AKA67" s="621"/>
      <c r="AKB67" s="621"/>
      <c r="AKC67" s="621"/>
      <c r="AKD67" s="621"/>
      <c r="AKE67" s="621"/>
      <c r="AKF67" s="621"/>
      <c r="AKG67" s="621"/>
      <c r="AKH67" s="621"/>
      <c r="AKI67" s="621"/>
      <c r="AKJ67" s="621"/>
      <c r="AKK67" s="621"/>
      <c r="AKL67" s="621"/>
      <c r="AKM67" s="621"/>
      <c r="AKN67" s="621"/>
      <c r="AKO67" s="621"/>
      <c r="AKP67" s="621"/>
      <c r="AKQ67" s="621"/>
      <c r="AKR67" s="621"/>
      <c r="AKS67" s="621"/>
      <c r="AKT67" s="621"/>
      <c r="AKU67" s="621"/>
      <c r="AKV67" s="621"/>
      <c r="AKW67" s="621"/>
      <c r="AKX67" s="621"/>
      <c r="AKY67" s="621"/>
      <c r="AKZ67" s="621"/>
      <c r="ALA67" s="621"/>
      <c r="ALB67" s="621"/>
      <c r="ALC67" s="621"/>
      <c r="ALD67" s="621"/>
      <c r="ALE67" s="621"/>
      <c r="ALF67" s="621"/>
      <c r="ALG67" s="621"/>
      <c r="ALH67" s="621"/>
      <c r="ALI67" s="621"/>
      <c r="ALJ67" s="621"/>
      <c r="ALK67" s="621"/>
      <c r="ALL67" s="621"/>
      <c r="ALM67" s="621"/>
      <c r="ALN67" s="621"/>
      <c r="ALO67" s="621"/>
      <c r="ALP67" s="621"/>
      <c r="ALQ67" s="621"/>
      <c r="ALR67" s="621"/>
      <c r="ALS67" s="621"/>
      <c r="ALT67" s="621"/>
      <c r="ALU67" s="621"/>
      <c r="ALV67" s="621"/>
      <c r="ALW67" s="621"/>
      <c r="ALX67" s="621"/>
      <c r="ALY67" s="621"/>
      <c r="ALZ67" s="621"/>
      <c r="AMA67" s="621"/>
      <c r="AMB67" s="621"/>
      <c r="AMC67" s="621"/>
      <c r="AMD67" s="621"/>
      <c r="AME67" s="621"/>
      <c r="AMF67" s="621"/>
      <c r="AMG67" s="621"/>
      <c r="AMH67" s="621"/>
      <c r="AMI67" s="621"/>
      <c r="AMJ67" s="621"/>
      <c r="AMK67" s="621"/>
    </row>
    <row r="68" spans="1:1025" ht="28.5" customHeight="1">
      <c r="A68" s="460"/>
      <c r="B68" s="448"/>
      <c r="C68" s="461">
        <f>1.15*D68</f>
        <v>0</v>
      </c>
      <c r="D68" s="423"/>
      <c r="E68" s="2042"/>
      <c r="F68" s="2042"/>
      <c r="G68" s="392"/>
      <c r="H68" s="429"/>
      <c r="I68" s="1497"/>
      <c r="J68" s="1495">
        <v>3478.98</v>
      </c>
      <c r="K68" s="1472"/>
      <c r="L68" s="413"/>
      <c r="M68" s="1495"/>
      <c r="N68" s="272"/>
      <c r="O68" s="272"/>
      <c r="P68" s="272"/>
      <c r="AE68" s="1471"/>
      <c r="AF68" s="1493"/>
      <c r="AG68" s="1494"/>
      <c r="AH68" s="1494"/>
      <c r="AI68" s="1494"/>
      <c r="AJ68" s="1494"/>
      <c r="AK68" s="1494"/>
      <c r="AL68" s="1494"/>
      <c r="AM68" s="1475">
        <f t="shared" si="13"/>
        <v>0</v>
      </c>
      <c r="AN68" s="1493"/>
      <c r="AO68" s="1475"/>
      <c r="AP68" s="289"/>
      <c r="AU68" s="621"/>
      <c r="AV68" s="621"/>
      <c r="AW68" s="621"/>
      <c r="AX68" s="621"/>
      <c r="AY68" s="621"/>
      <c r="AZ68" s="621"/>
      <c r="BA68" s="621"/>
      <c r="BB68" s="621"/>
      <c r="BC68" s="621"/>
      <c r="BD68" s="621"/>
      <c r="BE68" s="621"/>
      <c r="BF68" s="621"/>
      <c r="BG68" s="621"/>
      <c r="BH68" s="621"/>
      <c r="BI68" s="621"/>
      <c r="BJ68" s="621"/>
      <c r="BK68" s="621"/>
      <c r="BL68" s="621"/>
      <c r="BM68" s="621"/>
      <c r="BN68" s="621"/>
      <c r="BO68" s="621"/>
      <c r="BP68" s="621"/>
      <c r="BQ68" s="621"/>
      <c r="BR68" s="621"/>
      <c r="BS68" s="621"/>
      <c r="BT68" s="621"/>
      <c r="BU68" s="621"/>
      <c r="BV68" s="621"/>
      <c r="BW68" s="621"/>
      <c r="BX68" s="621"/>
      <c r="BY68" s="621"/>
      <c r="BZ68" s="621"/>
      <c r="CA68" s="621"/>
      <c r="CB68" s="621"/>
      <c r="CC68" s="621"/>
      <c r="CD68" s="621"/>
      <c r="CE68" s="621"/>
      <c r="CF68" s="621"/>
      <c r="CG68" s="621"/>
      <c r="CH68" s="621"/>
      <c r="CI68" s="621"/>
      <c r="CJ68" s="621"/>
      <c r="CK68" s="621"/>
      <c r="CL68" s="621"/>
      <c r="CM68" s="621"/>
      <c r="CN68" s="621"/>
      <c r="CO68" s="621"/>
      <c r="CP68" s="621"/>
      <c r="CQ68" s="621"/>
      <c r="CR68" s="621"/>
      <c r="CS68" s="621"/>
      <c r="CT68" s="621"/>
      <c r="CU68" s="621"/>
      <c r="CV68" s="621"/>
      <c r="CW68" s="621"/>
      <c r="CX68" s="621"/>
      <c r="CY68" s="621"/>
      <c r="CZ68" s="621"/>
      <c r="DA68" s="621"/>
      <c r="DB68" s="621"/>
      <c r="DC68" s="621"/>
      <c r="DD68" s="621"/>
      <c r="DE68" s="621"/>
      <c r="DF68" s="621"/>
      <c r="DG68" s="621"/>
      <c r="DH68" s="621"/>
      <c r="DI68" s="621"/>
      <c r="DJ68" s="621"/>
      <c r="DK68" s="621"/>
      <c r="DL68" s="621"/>
      <c r="DM68" s="621"/>
      <c r="DN68" s="621"/>
      <c r="DO68" s="621"/>
      <c r="DP68" s="621"/>
      <c r="DQ68" s="621"/>
      <c r="DR68" s="621"/>
      <c r="DS68" s="621"/>
      <c r="DT68" s="621"/>
      <c r="DU68" s="621"/>
      <c r="DV68" s="621"/>
      <c r="DW68" s="621"/>
      <c r="DX68" s="621"/>
      <c r="DY68" s="621"/>
      <c r="DZ68" s="621"/>
      <c r="EA68" s="621"/>
      <c r="EB68" s="621"/>
      <c r="EC68" s="621"/>
      <c r="ED68" s="621"/>
      <c r="EE68" s="621"/>
      <c r="EF68" s="621"/>
      <c r="EG68" s="621"/>
      <c r="EH68" s="621"/>
      <c r="EI68" s="621"/>
      <c r="EJ68" s="621"/>
      <c r="EK68" s="621"/>
      <c r="EL68" s="621"/>
      <c r="EM68" s="621"/>
      <c r="EN68" s="621"/>
      <c r="EO68" s="621"/>
      <c r="EP68" s="621"/>
      <c r="EQ68" s="621"/>
      <c r="ER68" s="621"/>
      <c r="ES68" s="621"/>
      <c r="ET68" s="621"/>
      <c r="EU68" s="621"/>
      <c r="EV68" s="621"/>
      <c r="EW68" s="621"/>
      <c r="EX68" s="621"/>
      <c r="EY68" s="621"/>
      <c r="EZ68" s="621"/>
      <c r="FA68" s="621"/>
      <c r="FB68" s="621"/>
      <c r="FC68" s="621"/>
      <c r="FD68" s="621"/>
      <c r="FE68" s="621"/>
      <c r="FF68" s="621"/>
      <c r="FG68" s="621"/>
      <c r="FH68" s="621"/>
      <c r="FI68" s="621"/>
      <c r="FJ68" s="621"/>
      <c r="FK68" s="621"/>
      <c r="FL68" s="621"/>
      <c r="FM68" s="621"/>
      <c r="FN68" s="621"/>
      <c r="FO68" s="621"/>
      <c r="FP68" s="621"/>
      <c r="FQ68" s="621"/>
      <c r="FR68" s="621"/>
      <c r="FS68" s="621"/>
      <c r="FT68" s="621"/>
      <c r="FU68" s="621"/>
      <c r="FV68" s="621"/>
      <c r="FW68" s="621"/>
      <c r="FX68" s="621"/>
      <c r="FY68" s="621"/>
      <c r="FZ68" s="621"/>
      <c r="GA68" s="621"/>
      <c r="GB68" s="621"/>
      <c r="GC68" s="621"/>
      <c r="GD68" s="621"/>
      <c r="GE68" s="621"/>
      <c r="GF68" s="621"/>
      <c r="GG68" s="621"/>
      <c r="GH68" s="621"/>
      <c r="GI68" s="621"/>
      <c r="GJ68" s="621"/>
      <c r="GK68" s="621"/>
      <c r="GL68" s="621"/>
      <c r="GM68" s="621"/>
      <c r="GN68" s="621"/>
      <c r="GO68" s="621"/>
      <c r="GP68" s="621"/>
      <c r="GQ68" s="621"/>
      <c r="GR68" s="621"/>
      <c r="GS68" s="621"/>
      <c r="GT68" s="621"/>
      <c r="GU68" s="621"/>
      <c r="GV68" s="621"/>
      <c r="GW68" s="621"/>
      <c r="GX68" s="621"/>
      <c r="GY68" s="621"/>
      <c r="GZ68" s="621"/>
      <c r="HA68" s="621"/>
      <c r="HB68" s="621"/>
      <c r="HC68" s="621"/>
      <c r="HD68" s="621"/>
      <c r="HE68" s="621"/>
      <c r="HF68" s="621"/>
      <c r="HG68" s="621"/>
      <c r="HH68" s="621"/>
      <c r="HI68" s="621"/>
      <c r="HJ68" s="621"/>
      <c r="HK68" s="621"/>
      <c r="HL68" s="621"/>
      <c r="HM68" s="621"/>
      <c r="HN68" s="621"/>
      <c r="HO68" s="621"/>
      <c r="HP68" s="621"/>
      <c r="HQ68" s="621"/>
      <c r="HR68" s="621"/>
      <c r="HS68" s="621"/>
      <c r="HT68" s="621"/>
      <c r="HU68" s="621"/>
      <c r="HV68" s="621"/>
      <c r="HW68" s="621"/>
      <c r="HX68" s="621"/>
      <c r="HY68" s="621"/>
      <c r="HZ68" s="621"/>
      <c r="IA68" s="621"/>
      <c r="IB68" s="621"/>
      <c r="IC68" s="621"/>
      <c r="ID68" s="621"/>
      <c r="IE68" s="621"/>
      <c r="IF68" s="621"/>
      <c r="IG68" s="621"/>
      <c r="IH68" s="621"/>
      <c r="II68" s="621"/>
      <c r="IJ68" s="621"/>
      <c r="IK68" s="621"/>
      <c r="IL68" s="621"/>
      <c r="IM68" s="621"/>
      <c r="IN68" s="621"/>
      <c r="IO68" s="621"/>
      <c r="IP68" s="621"/>
      <c r="IQ68" s="621"/>
      <c r="IR68" s="621"/>
      <c r="IS68" s="621"/>
      <c r="IT68" s="621"/>
      <c r="IU68" s="621"/>
      <c r="IV68" s="621"/>
      <c r="IW68" s="621"/>
      <c r="IX68" s="621"/>
      <c r="IY68" s="621"/>
      <c r="IZ68" s="621"/>
      <c r="JA68" s="621"/>
      <c r="JB68" s="621"/>
      <c r="JC68" s="621"/>
      <c r="JD68" s="621"/>
      <c r="JE68" s="621"/>
      <c r="JF68" s="621"/>
      <c r="JG68" s="621"/>
      <c r="JH68" s="621"/>
      <c r="JI68" s="621"/>
      <c r="JJ68" s="621"/>
      <c r="JK68" s="621"/>
      <c r="JL68" s="621"/>
      <c r="JM68" s="621"/>
      <c r="JN68" s="621"/>
      <c r="JO68" s="621"/>
      <c r="JP68" s="621"/>
      <c r="JQ68" s="621"/>
      <c r="JR68" s="621"/>
      <c r="JS68" s="621"/>
      <c r="JT68" s="621"/>
      <c r="JU68" s="621"/>
      <c r="JV68" s="621"/>
      <c r="JW68" s="621"/>
      <c r="JX68" s="621"/>
      <c r="JY68" s="621"/>
      <c r="JZ68" s="621"/>
      <c r="KA68" s="621"/>
      <c r="KB68" s="621"/>
      <c r="KC68" s="621"/>
      <c r="KD68" s="621"/>
      <c r="KE68" s="621"/>
      <c r="KF68" s="621"/>
      <c r="KG68" s="621"/>
      <c r="KH68" s="621"/>
      <c r="KI68" s="621"/>
      <c r="KJ68" s="621"/>
      <c r="KK68" s="621"/>
      <c r="KL68" s="621"/>
      <c r="KM68" s="621"/>
      <c r="KN68" s="621"/>
      <c r="KO68" s="621"/>
      <c r="KP68" s="621"/>
      <c r="KQ68" s="621"/>
      <c r="KR68" s="621"/>
      <c r="KS68" s="621"/>
      <c r="KT68" s="621"/>
      <c r="KU68" s="621"/>
      <c r="KV68" s="621"/>
      <c r="KW68" s="621"/>
      <c r="KX68" s="621"/>
      <c r="KY68" s="621"/>
      <c r="KZ68" s="621"/>
      <c r="LA68" s="621"/>
      <c r="LB68" s="621"/>
      <c r="LC68" s="621"/>
      <c r="LD68" s="621"/>
      <c r="LE68" s="621"/>
      <c r="LF68" s="621"/>
      <c r="LG68" s="621"/>
      <c r="LH68" s="621"/>
      <c r="LI68" s="621"/>
      <c r="LJ68" s="621"/>
      <c r="LK68" s="621"/>
      <c r="LL68" s="621"/>
      <c r="LM68" s="621"/>
      <c r="LN68" s="621"/>
      <c r="LO68" s="621"/>
      <c r="LP68" s="621"/>
      <c r="LQ68" s="621"/>
      <c r="LR68" s="621"/>
      <c r="LS68" s="621"/>
      <c r="LT68" s="621"/>
      <c r="LU68" s="621"/>
      <c r="LV68" s="621"/>
      <c r="LW68" s="621"/>
      <c r="LX68" s="621"/>
      <c r="LY68" s="621"/>
      <c r="LZ68" s="621"/>
      <c r="MA68" s="621"/>
      <c r="MB68" s="621"/>
      <c r="MC68" s="621"/>
      <c r="MD68" s="621"/>
      <c r="ME68" s="621"/>
      <c r="MF68" s="621"/>
      <c r="MG68" s="621"/>
      <c r="MH68" s="621"/>
      <c r="MI68" s="621"/>
      <c r="MJ68" s="621"/>
      <c r="MK68" s="621"/>
      <c r="ML68" s="621"/>
      <c r="MM68" s="621"/>
      <c r="MN68" s="621"/>
      <c r="MO68" s="621"/>
      <c r="MP68" s="621"/>
      <c r="MQ68" s="621"/>
      <c r="MR68" s="621"/>
      <c r="MS68" s="621"/>
      <c r="MT68" s="621"/>
      <c r="MU68" s="621"/>
      <c r="MV68" s="621"/>
      <c r="MW68" s="621"/>
      <c r="MX68" s="621"/>
      <c r="MY68" s="621"/>
      <c r="MZ68" s="621"/>
      <c r="NA68" s="621"/>
      <c r="NB68" s="621"/>
      <c r="NC68" s="621"/>
      <c r="ND68" s="621"/>
      <c r="NE68" s="621"/>
      <c r="NF68" s="621"/>
      <c r="NG68" s="621"/>
      <c r="NH68" s="621"/>
      <c r="NI68" s="621"/>
      <c r="NJ68" s="621"/>
      <c r="NK68" s="621"/>
      <c r="NL68" s="621"/>
      <c r="NM68" s="621"/>
      <c r="NN68" s="621"/>
      <c r="NO68" s="621"/>
      <c r="NP68" s="621"/>
      <c r="NQ68" s="621"/>
      <c r="NR68" s="621"/>
      <c r="NS68" s="621"/>
      <c r="NT68" s="621"/>
      <c r="NU68" s="621"/>
      <c r="NV68" s="621"/>
      <c r="NW68" s="621"/>
      <c r="NX68" s="621"/>
      <c r="NY68" s="621"/>
      <c r="NZ68" s="621"/>
      <c r="OA68" s="621"/>
      <c r="OB68" s="621"/>
      <c r="OC68" s="621"/>
      <c r="OD68" s="621"/>
      <c r="OE68" s="621"/>
      <c r="OF68" s="621"/>
      <c r="OG68" s="621"/>
      <c r="OH68" s="621"/>
      <c r="OI68" s="621"/>
      <c r="OJ68" s="621"/>
      <c r="OK68" s="621"/>
      <c r="OL68" s="621"/>
      <c r="OM68" s="621"/>
      <c r="ON68" s="621"/>
      <c r="OO68" s="621"/>
      <c r="OP68" s="621"/>
      <c r="OQ68" s="621"/>
      <c r="OR68" s="621"/>
      <c r="OS68" s="621"/>
      <c r="OT68" s="621"/>
      <c r="OU68" s="621"/>
      <c r="OV68" s="621"/>
      <c r="OW68" s="621"/>
      <c r="OX68" s="621"/>
      <c r="OY68" s="621"/>
      <c r="OZ68" s="621"/>
      <c r="PA68" s="621"/>
      <c r="PB68" s="621"/>
      <c r="PC68" s="621"/>
      <c r="PD68" s="621"/>
      <c r="PE68" s="621"/>
      <c r="PF68" s="621"/>
      <c r="PG68" s="621"/>
      <c r="PH68" s="621"/>
      <c r="PI68" s="621"/>
      <c r="PJ68" s="621"/>
      <c r="PK68" s="621"/>
      <c r="PL68" s="621"/>
      <c r="PM68" s="621"/>
      <c r="PN68" s="621"/>
      <c r="PO68" s="621"/>
      <c r="PP68" s="621"/>
      <c r="PQ68" s="621"/>
      <c r="PR68" s="621"/>
      <c r="PS68" s="621"/>
      <c r="PT68" s="621"/>
      <c r="PU68" s="621"/>
      <c r="PV68" s="621"/>
      <c r="PW68" s="621"/>
      <c r="PX68" s="621"/>
      <c r="PY68" s="621"/>
      <c r="PZ68" s="621"/>
      <c r="QA68" s="621"/>
      <c r="QB68" s="621"/>
      <c r="QC68" s="621"/>
      <c r="QD68" s="621"/>
      <c r="QE68" s="621"/>
      <c r="QF68" s="621"/>
      <c r="QG68" s="621"/>
      <c r="QH68" s="621"/>
      <c r="QI68" s="621"/>
      <c r="QJ68" s="621"/>
      <c r="QK68" s="621"/>
      <c r="QL68" s="621"/>
      <c r="QM68" s="621"/>
      <c r="QN68" s="621"/>
      <c r="QO68" s="621"/>
      <c r="QP68" s="621"/>
      <c r="QQ68" s="621"/>
      <c r="QR68" s="621"/>
      <c r="QS68" s="621"/>
      <c r="QT68" s="621"/>
      <c r="QU68" s="621"/>
      <c r="QV68" s="621"/>
      <c r="QW68" s="621"/>
      <c r="QX68" s="621"/>
      <c r="QY68" s="621"/>
      <c r="QZ68" s="621"/>
      <c r="RA68" s="621"/>
      <c r="RB68" s="621"/>
      <c r="RC68" s="621"/>
      <c r="RD68" s="621"/>
      <c r="RE68" s="621"/>
      <c r="RF68" s="621"/>
      <c r="RG68" s="621"/>
      <c r="RH68" s="621"/>
      <c r="RI68" s="621"/>
      <c r="RJ68" s="621"/>
      <c r="RK68" s="621"/>
      <c r="RL68" s="621"/>
      <c r="RM68" s="621"/>
      <c r="RN68" s="621"/>
      <c r="RO68" s="621"/>
      <c r="RP68" s="621"/>
      <c r="RQ68" s="621"/>
      <c r="RR68" s="621"/>
      <c r="RS68" s="621"/>
      <c r="RT68" s="621"/>
      <c r="RU68" s="621"/>
      <c r="RV68" s="621"/>
      <c r="RW68" s="621"/>
      <c r="RX68" s="621"/>
      <c r="RY68" s="621"/>
      <c r="RZ68" s="621"/>
      <c r="SA68" s="621"/>
      <c r="SB68" s="621"/>
      <c r="SC68" s="621"/>
      <c r="SD68" s="621"/>
      <c r="SE68" s="621"/>
      <c r="SF68" s="621"/>
      <c r="SG68" s="621"/>
      <c r="SH68" s="621"/>
      <c r="SI68" s="621"/>
      <c r="SJ68" s="621"/>
      <c r="SK68" s="621"/>
      <c r="SL68" s="621"/>
      <c r="SM68" s="621"/>
      <c r="SN68" s="621"/>
      <c r="SO68" s="621"/>
      <c r="SP68" s="621"/>
      <c r="SQ68" s="621"/>
      <c r="SR68" s="621"/>
      <c r="SS68" s="621"/>
      <c r="ST68" s="621"/>
      <c r="SU68" s="621"/>
      <c r="SV68" s="621"/>
      <c r="SW68" s="621"/>
      <c r="SX68" s="621"/>
      <c r="SY68" s="621"/>
      <c r="SZ68" s="621"/>
      <c r="TA68" s="621"/>
      <c r="TB68" s="621"/>
      <c r="TC68" s="621"/>
      <c r="TD68" s="621"/>
      <c r="TE68" s="621"/>
      <c r="TF68" s="621"/>
      <c r="TG68" s="621"/>
      <c r="TH68" s="621"/>
      <c r="TI68" s="621"/>
      <c r="TJ68" s="621"/>
      <c r="TK68" s="621"/>
      <c r="TL68" s="621"/>
      <c r="TM68" s="621"/>
      <c r="TN68" s="621"/>
      <c r="TO68" s="621"/>
      <c r="TP68" s="621"/>
      <c r="TQ68" s="621"/>
      <c r="TR68" s="621"/>
      <c r="TS68" s="621"/>
      <c r="TT68" s="621"/>
      <c r="TU68" s="621"/>
      <c r="TV68" s="621"/>
      <c r="TW68" s="621"/>
      <c r="TX68" s="621"/>
      <c r="TY68" s="621"/>
      <c r="TZ68" s="621"/>
      <c r="UA68" s="621"/>
      <c r="UB68" s="621"/>
      <c r="UC68" s="621"/>
      <c r="UD68" s="621"/>
      <c r="UE68" s="621"/>
      <c r="UF68" s="621"/>
      <c r="UG68" s="621"/>
      <c r="UH68" s="621"/>
      <c r="UI68" s="621"/>
      <c r="UJ68" s="621"/>
      <c r="UK68" s="621"/>
      <c r="UL68" s="621"/>
      <c r="UM68" s="621"/>
      <c r="UN68" s="621"/>
      <c r="UO68" s="621"/>
      <c r="UP68" s="621"/>
      <c r="UQ68" s="621"/>
      <c r="UR68" s="621"/>
      <c r="US68" s="621"/>
      <c r="UT68" s="621"/>
      <c r="UU68" s="621"/>
      <c r="UV68" s="621"/>
      <c r="UW68" s="621"/>
      <c r="UX68" s="621"/>
      <c r="UY68" s="621"/>
      <c r="UZ68" s="621"/>
      <c r="VA68" s="621"/>
      <c r="VB68" s="621"/>
      <c r="VC68" s="621"/>
      <c r="VD68" s="621"/>
      <c r="VE68" s="621"/>
      <c r="VF68" s="621"/>
      <c r="VG68" s="621"/>
      <c r="VH68" s="621"/>
      <c r="VI68" s="621"/>
      <c r="VJ68" s="621"/>
      <c r="VK68" s="621"/>
      <c r="VL68" s="621"/>
      <c r="VM68" s="621"/>
      <c r="VN68" s="621"/>
      <c r="VO68" s="621"/>
      <c r="VP68" s="621"/>
      <c r="VQ68" s="621"/>
      <c r="VR68" s="621"/>
      <c r="VS68" s="621"/>
      <c r="VT68" s="621"/>
      <c r="VU68" s="621"/>
      <c r="VV68" s="621"/>
      <c r="VW68" s="621"/>
      <c r="VX68" s="621"/>
      <c r="VY68" s="621"/>
      <c r="VZ68" s="621"/>
      <c r="WA68" s="621"/>
      <c r="WB68" s="621"/>
      <c r="WC68" s="621"/>
      <c r="WD68" s="621"/>
      <c r="WE68" s="621"/>
      <c r="WF68" s="621"/>
      <c r="WG68" s="621"/>
      <c r="WH68" s="621"/>
      <c r="WI68" s="621"/>
      <c r="WJ68" s="621"/>
      <c r="WK68" s="621"/>
      <c r="WL68" s="621"/>
      <c r="WM68" s="621"/>
      <c r="WN68" s="621"/>
      <c r="WO68" s="621"/>
      <c r="WP68" s="621"/>
      <c r="WQ68" s="621"/>
      <c r="WR68" s="621"/>
      <c r="WS68" s="621"/>
      <c r="WT68" s="621"/>
      <c r="WU68" s="621"/>
      <c r="WV68" s="621"/>
      <c r="WW68" s="621"/>
      <c r="WX68" s="621"/>
      <c r="WY68" s="621"/>
      <c r="WZ68" s="621"/>
      <c r="XA68" s="621"/>
      <c r="XB68" s="621"/>
      <c r="XC68" s="621"/>
      <c r="XD68" s="621"/>
      <c r="XE68" s="621"/>
      <c r="XF68" s="621"/>
      <c r="XG68" s="621"/>
      <c r="XH68" s="621"/>
      <c r="XI68" s="621"/>
      <c r="XJ68" s="621"/>
      <c r="XK68" s="621"/>
      <c r="XL68" s="621"/>
      <c r="XM68" s="621"/>
      <c r="XN68" s="621"/>
      <c r="XO68" s="621"/>
      <c r="XP68" s="621"/>
      <c r="XQ68" s="621"/>
      <c r="XR68" s="621"/>
      <c r="XS68" s="621"/>
      <c r="XT68" s="621"/>
      <c r="XU68" s="621"/>
      <c r="XV68" s="621"/>
      <c r="XW68" s="621"/>
      <c r="XX68" s="621"/>
      <c r="XY68" s="621"/>
      <c r="XZ68" s="621"/>
      <c r="YA68" s="621"/>
      <c r="YB68" s="621"/>
      <c r="YC68" s="621"/>
      <c r="YD68" s="621"/>
      <c r="YE68" s="621"/>
      <c r="YF68" s="621"/>
      <c r="YG68" s="621"/>
      <c r="YH68" s="621"/>
      <c r="YI68" s="621"/>
      <c r="YJ68" s="621"/>
      <c r="YK68" s="621"/>
      <c r="YL68" s="621"/>
      <c r="YM68" s="621"/>
      <c r="YN68" s="621"/>
      <c r="YO68" s="621"/>
      <c r="YP68" s="621"/>
      <c r="YQ68" s="621"/>
      <c r="YR68" s="621"/>
      <c r="YS68" s="621"/>
      <c r="YT68" s="621"/>
      <c r="YU68" s="621"/>
      <c r="YV68" s="621"/>
      <c r="YW68" s="621"/>
      <c r="YX68" s="621"/>
      <c r="YY68" s="621"/>
      <c r="YZ68" s="621"/>
      <c r="ZA68" s="621"/>
      <c r="ZB68" s="621"/>
      <c r="ZC68" s="621"/>
      <c r="ZD68" s="621"/>
      <c r="ZE68" s="621"/>
      <c r="ZF68" s="621"/>
      <c r="ZG68" s="621"/>
      <c r="ZH68" s="621"/>
      <c r="ZI68" s="621"/>
      <c r="ZJ68" s="621"/>
      <c r="ZK68" s="621"/>
      <c r="ZL68" s="621"/>
      <c r="ZM68" s="621"/>
      <c r="ZN68" s="621"/>
      <c r="ZO68" s="621"/>
      <c r="ZP68" s="621"/>
      <c r="ZQ68" s="621"/>
      <c r="ZR68" s="621"/>
      <c r="ZS68" s="621"/>
      <c r="ZT68" s="621"/>
      <c r="ZU68" s="621"/>
      <c r="ZV68" s="621"/>
      <c r="ZW68" s="621"/>
      <c r="ZX68" s="621"/>
      <c r="ZY68" s="621"/>
      <c r="ZZ68" s="621"/>
      <c r="AAA68" s="621"/>
      <c r="AAB68" s="621"/>
      <c r="AAC68" s="621"/>
      <c r="AAD68" s="621"/>
      <c r="AAE68" s="621"/>
      <c r="AAF68" s="621"/>
      <c r="AAG68" s="621"/>
      <c r="AAH68" s="621"/>
      <c r="AAI68" s="621"/>
      <c r="AAJ68" s="621"/>
      <c r="AAK68" s="621"/>
      <c r="AAL68" s="621"/>
      <c r="AAM68" s="621"/>
      <c r="AAN68" s="621"/>
      <c r="AAO68" s="621"/>
      <c r="AAP68" s="621"/>
      <c r="AAQ68" s="621"/>
      <c r="AAR68" s="621"/>
      <c r="AAS68" s="621"/>
      <c r="AAT68" s="621"/>
      <c r="AAU68" s="621"/>
      <c r="AAV68" s="621"/>
      <c r="AAW68" s="621"/>
      <c r="AAX68" s="621"/>
      <c r="AAY68" s="621"/>
      <c r="AAZ68" s="621"/>
      <c r="ABA68" s="621"/>
      <c r="ABB68" s="621"/>
      <c r="ABC68" s="621"/>
      <c r="ABD68" s="621"/>
      <c r="ABE68" s="621"/>
      <c r="ABF68" s="621"/>
      <c r="ABG68" s="621"/>
      <c r="ABH68" s="621"/>
      <c r="ABI68" s="621"/>
      <c r="ABJ68" s="621"/>
      <c r="ABK68" s="621"/>
      <c r="ABL68" s="621"/>
      <c r="ABM68" s="621"/>
      <c r="ABN68" s="621"/>
      <c r="ABO68" s="621"/>
      <c r="ABP68" s="621"/>
      <c r="ABQ68" s="621"/>
      <c r="ABR68" s="621"/>
      <c r="ABS68" s="621"/>
      <c r="ABT68" s="621"/>
      <c r="ABU68" s="621"/>
      <c r="ABV68" s="621"/>
      <c r="ABW68" s="621"/>
      <c r="ABX68" s="621"/>
      <c r="ABY68" s="621"/>
      <c r="ABZ68" s="621"/>
      <c r="ACA68" s="621"/>
      <c r="ACB68" s="621"/>
      <c r="ACC68" s="621"/>
      <c r="ACD68" s="621"/>
      <c r="ACE68" s="621"/>
      <c r="ACF68" s="621"/>
      <c r="ACG68" s="621"/>
      <c r="ACH68" s="621"/>
      <c r="ACI68" s="621"/>
      <c r="ACJ68" s="621"/>
      <c r="ACK68" s="621"/>
      <c r="ACL68" s="621"/>
      <c r="ACM68" s="621"/>
      <c r="ACN68" s="621"/>
      <c r="ACO68" s="621"/>
      <c r="ACP68" s="621"/>
      <c r="ACQ68" s="621"/>
      <c r="ACR68" s="621"/>
      <c r="ACS68" s="621"/>
      <c r="ACT68" s="621"/>
      <c r="ACU68" s="621"/>
      <c r="ACV68" s="621"/>
      <c r="ACW68" s="621"/>
      <c r="ACX68" s="621"/>
      <c r="ACY68" s="621"/>
      <c r="ACZ68" s="621"/>
      <c r="ADA68" s="621"/>
      <c r="ADB68" s="621"/>
      <c r="ADC68" s="621"/>
      <c r="ADD68" s="621"/>
      <c r="ADE68" s="621"/>
      <c r="ADF68" s="621"/>
      <c r="ADG68" s="621"/>
      <c r="ADH68" s="621"/>
      <c r="ADI68" s="621"/>
      <c r="ADJ68" s="621"/>
      <c r="ADK68" s="621"/>
      <c r="ADL68" s="621"/>
      <c r="ADM68" s="621"/>
      <c r="ADN68" s="621"/>
      <c r="ADO68" s="621"/>
      <c r="ADP68" s="621"/>
      <c r="ADQ68" s="621"/>
      <c r="ADR68" s="621"/>
      <c r="ADS68" s="621"/>
      <c r="ADT68" s="621"/>
      <c r="ADU68" s="621"/>
      <c r="ADV68" s="621"/>
      <c r="ADW68" s="621"/>
      <c r="ADX68" s="621"/>
      <c r="ADY68" s="621"/>
      <c r="ADZ68" s="621"/>
      <c r="AEA68" s="621"/>
      <c r="AEB68" s="621"/>
      <c r="AEC68" s="621"/>
      <c r="AED68" s="621"/>
      <c r="AEE68" s="621"/>
      <c r="AEF68" s="621"/>
      <c r="AEG68" s="621"/>
      <c r="AEH68" s="621"/>
      <c r="AEI68" s="621"/>
      <c r="AEJ68" s="621"/>
      <c r="AEK68" s="621"/>
      <c r="AEL68" s="621"/>
      <c r="AEM68" s="621"/>
      <c r="AEN68" s="621"/>
      <c r="AEO68" s="621"/>
      <c r="AEP68" s="621"/>
      <c r="AEQ68" s="621"/>
      <c r="AER68" s="621"/>
      <c r="AES68" s="621"/>
      <c r="AET68" s="621"/>
      <c r="AEU68" s="621"/>
      <c r="AEV68" s="621"/>
      <c r="AEW68" s="621"/>
      <c r="AEX68" s="621"/>
      <c r="AEY68" s="621"/>
      <c r="AEZ68" s="621"/>
      <c r="AFA68" s="621"/>
      <c r="AFB68" s="621"/>
      <c r="AFC68" s="621"/>
      <c r="AFD68" s="621"/>
      <c r="AFE68" s="621"/>
      <c r="AFF68" s="621"/>
      <c r="AFG68" s="621"/>
      <c r="AFH68" s="621"/>
      <c r="AFI68" s="621"/>
      <c r="AFJ68" s="621"/>
      <c r="AFK68" s="621"/>
      <c r="AFL68" s="621"/>
      <c r="AFM68" s="621"/>
      <c r="AFN68" s="621"/>
      <c r="AFO68" s="621"/>
      <c r="AFP68" s="621"/>
      <c r="AFQ68" s="621"/>
      <c r="AFR68" s="621"/>
      <c r="AFS68" s="621"/>
      <c r="AFT68" s="621"/>
      <c r="AFU68" s="621"/>
      <c r="AFV68" s="621"/>
      <c r="AFW68" s="621"/>
      <c r="AFX68" s="621"/>
      <c r="AFY68" s="621"/>
      <c r="AFZ68" s="621"/>
      <c r="AGA68" s="621"/>
      <c r="AGB68" s="621"/>
      <c r="AGC68" s="621"/>
      <c r="AGD68" s="621"/>
      <c r="AGE68" s="621"/>
      <c r="AGF68" s="621"/>
      <c r="AGG68" s="621"/>
      <c r="AGH68" s="621"/>
      <c r="AGI68" s="621"/>
      <c r="AGJ68" s="621"/>
      <c r="AGK68" s="621"/>
      <c r="AGL68" s="621"/>
      <c r="AGM68" s="621"/>
      <c r="AGN68" s="621"/>
      <c r="AGO68" s="621"/>
      <c r="AGP68" s="621"/>
      <c r="AGQ68" s="621"/>
      <c r="AGR68" s="621"/>
      <c r="AGS68" s="621"/>
      <c r="AGT68" s="621"/>
      <c r="AGU68" s="621"/>
      <c r="AGV68" s="621"/>
      <c r="AGW68" s="621"/>
      <c r="AGX68" s="621"/>
      <c r="AGY68" s="621"/>
      <c r="AGZ68" s="621"/>
      <c r="AHA68" s="621"/>
      <c r="AHB68" s="621"/>
      <c r="AHC68" s="621"/>
      <c r="AHD68" s="621"/>
      <c r="AHE68" s="621"/>
      <c r="AHF68" s="621"/>
      <c r="AHG68" s="621"/>
      <c r="AHH68" s="621"/>
      <c r="AHI68" s="621"/>
      <c r="AHJ68" s="621"/>
      <c r="AHK68" s="621"/>
      <c r="AHL68" s="621"/>
      <c r="AHM68" s="621"/>
      <c r="AHN68" s="621"/>
      <c r="AHO68" s="621"/>
      <c r="AHP68" s="621"/>
      <c r="AHQ68" s="621"/>
      <c r="AHR68" s="621"/>
      <c r="AHS68" s="621"/>
      <c r="AHT68" s="621"/>
      <c r="AHU68" s="621"/>
      <c r="AHV68" s="621"/>
      <c r="AHW68" s="621"/>
      <c r="AHX68" s="621"/>
      <c r="AHY68" s="621"/>
      <c r="AHZ68" s="621"/>
      <c r="AIA68" s="621"/>
      <c r="AIB68" s="621"/>
      <c r="AIC68" s="621"/>
      <c r="AID68" s="621"/>
      <c r="AIE68" s="621"/>
      <c r="AIF68" s="621"/>
      <c r="AIG68" s="621"/>
      <c r="AIH68" s="621"/>
      <c r="AII68" s="621"/>
      <c r="AIJ68" s="621"/>
      <c r="AIK68" s="621"/>
      <c r="AIL68" s="621"/>
      <c r="AIM68" s="621"/>
      <c r="AIN68" s="621"/>
      <c r="AIO68" s="621"/>
      <c r="AIP68" s="621"/>
      <c r="AIQ68" s="621"/>
      <c r="AIR68" s="621"/>
      <c r="AIS68" s="621"/>
      <c r="AIT68" s="621"/>
      <c r="AIU68" s="621"/>
      <c r="AIV68" s="621"/>
      <c r="AIW68" s="621"/>
      <c r="AIX68" s="621"/>
      <c r="AIY68" s="621"/>
      <c r="AIZ68" s="621"/>
      <c r="AJA68" s="621"/>
      <c r="AJB68" s="621"/>
      <c r="AJC68" s="621"/>
      <c r="AJD68" s="621"/>
      <c r="AJE68" s="621"/>
      <c r="AJF68" s="621"/>
      <c r="AJG68" s="621"/>
      <c r="AJH68" s="621"/>
      <c r="AJI68" s="621"/>
      <c r="AJJ68" s="621"/>
      <c r="AJK68" s="621"/>
      <c r="AJL68" s="621"/>
      <c r="AJM68" s="621"/>
      <c r="AJN68" s="621"/>
      <c r="AJO68" s="621"/>
      <c r="AJP68" s="621"/>
      <c r="AJQ68" s="621"/>
      <c r="AJR68" s="621"/>
      <c r="AJS68" s="621"/>
      <c r="AJT68" s="621"/>
      <c r="AJU68" s="621"/>
      <c r="AJV68" s="621"/>
      <c r="AJW68" s="621"/>
      <c r="AJX68" s="621"/>
      <c r="AJY68" s="621"/>
      <c r="AJZ68" s="621"/>
      <c r="AKA68" s="621"/>
      <c r="AKB68" s="621"/>
      <c r="AKC68" s="621"/>
      <c r="AKD68" s="621"/>
      <c r="AKE68" s="621"/>
      <c r="AKF68" s="621"/>
      <c r="AKG68" s="621"/>
      <c r="AKH68" s="621"/>
      <c r="AKI68" s="621"/>
      <c r="AKJ68" s="621"/>
      <c r="AKK68" s="621"/>
      <c r="AKL68" s="621"/>
      <c r="AKM68" s="621"/>
      <c r="AKN68" s="621"/>
      <c r="AKO68" s="621"/>
      <c r="AKP68" s="621"/>
      <c r="AKQ68" s="621"/>
      <c r="AKR68" s="621"/>
      <c r="AKS68" s="621"/>
      <c r="AKT68" s="621"/>
      <c r="AKU68" s="621"/>
      <c r="AKV68" s="621"/>
      <c r="AKW68" s="621"/>
      <c r="AKX68" s="621"/>
      <c r="AKY68" s="621"/>
      <c r="AKZ68" s="621"/>
      <c r="ALA68" s="621"/>
      <c r="ALB68" s="621"/>
      <c r="ALC68" s="621"/>
      <c r="ALD68" s="621"/>
      <c r="ALE68" s="621"/>
      <c r="ALF68" s="621"/>
      <c r="ALG68" s="621"/>
      <c r="ALH68" s="621"/>
      <c r="ALI68" s="621"/>
      <c r="ALJ68" s="621"/>
      <c r="ALK68" s="621"/>
      <c r="ALL68" s="621"/>
      <c r="ALM68" s="621"/>
      <c r="ALN68" s="621"/>
      <c r="ALO68" s="621"/>
      <c r="ALP68" s="621"/>
      <c r="ALQ68" s="621"/>
      <c r="ALR68" s="621"/>
      <c r="ALS68" s="621"/>
      <c r="ALT68" s="621"/>
      <c r="ALU68" s="621"/>
      <c r="ALV68" s="621"/>
      <c r="ALW68" s="621"/>
      <c r="ALX68" s="621"/>
      <c r="ALY68" s="621"/>
      <c r="ALZ68" s="621"/>
      <c r="AMA68" s="621"/>
      <c r="AMB68" s="621"/>
      <c r="AMC68" s="621"/>
      <c r="AMD68" s="621"/>
      <c r="AME68" s="621"/>
      <c r="AMF68" s="621"/>
      <c r="AMG68" s="621"/>
      <c r="AMH68" s="621"/>
      <c r="AMI68" s="621"/>
      <c r="AMJ68" s="621"/>
      <c r="AMK68" s="621"/>
    </row>
    <row r="69" spans="1:1025" ht="30.75" customHeight="1">
      <c r="A69" s="460"/>
      <c r="B69" s="448" t="s">
        <v>783</v>
      </c>
      <c r="C69" s="461">
        <f>D69*1.1</f>
        <v>1980.0000000000002</v>
      </c>
      <c r="D69" s="423">
        <v>1800</v>
      </c>
      <c r="E69" s="2042"/>
      <c r="F69" s="2042"/>
      <c r="G69" s="392"/>
      <c r="H69" s="429"/>
      <c r="I69" s="1497"/>
      <c r="J69" s="1495">
        <v>6992</v>
      </c>
      <c r="K69" s="594">
        <f>+D69-J69</f>
        <v>-5192</v>
      </c>
      <c r="L69" s="462"/>
      <c r="M69" s="1495"/>
      <c r="N69" s="272"/>
      <c r="O69" s="272"/>
      <c r="P69" s="272"/>
      <c r="AE69" s="1471"/>
      <c r="AF69" s="1493"/>
      <c r="AG69" s="1494"/>
      <c r="AH69" s="1494"/>
      <c r="AI69" s="1494"/>
      <c r="AJ69" s="1494"/>
      <c r="AK69" s="1494"/>
      <c r="AL69" s="1494"/>
      <c r="AM69" s="1475">
        <f t="shared" si="13"/>
        <v>0</v>
      </c>
      <c r="AN69" s="1493"/>
      <c r="AO69" s="1475"/>
      <c r="AP69" s="289"/>
      <c r="AU69" s="621"/>
      <c r="AV69" s="621"/>
      <c r="AW69" s="621"/>
      <c r="AX69" s="621"/>
      <c r="AY69" s="621"/>
      <c r="AZ69" s="621"/>
      <c r="BA69" s="621"/>
      <c r="BB69" s="621"/>
      <c r="BC69" s="621"/>
      <c r="BD69" s="621"/>
      <c r="BE69" s="621"/>
      <c r="BF69" s="621"/>
      <c r="BG69" s="621"/>
      <c r="BH69" s="621"/>
      <c r="BI69" s="621"/>
      <c r="BJ69" s="621"/>
      <c r="BK69" s="621"/>
      <c r="BL69" s="621"/>
      <c r="BM69" s="621"/>
      <c r="BN69" s="621"/>
      <c r="BO69" s="621"/>
      <c r="BP69" s="621"/>
      <c r="BQ69" s="621"/>
      <c r="BR69" s="621"/>
      <c r="BS69" s="621"/>
      <c r="BT69" s="621"/>
      <c r="BU69" s="621"/>
      <c r="BV69" s="621"/>
      <c r="BW69" s="621"/>
      <c r="BX69" s="621"/>
      <c r="BY69" s="621"/>
      <c r="BZ69" s="621"/>
      <c r="CA69" s="621"/>
      <c r="CB69" s="621"/>
      <c r="CC69" s="621"/>
      <c r="CD69" s="621"/>
      <c r="CE69" s="621"/>
      <c r="CF69" s="621"/>
      <c r="CG69" s="621"/>
      <c r="CH69" s="621"/>
      <c r="CI69" s="621"/>
      <c r="CJ69" s="621"/>
      <c r="CK69" s="621"/>
      <c r="CL69" s="621"/>
      <c r="CM69" s="621"/>
      <c r="CN69" s="621"/>
      <c r="CO69" s="621"/>
      <c r="CP69" s="621"/>
      <c r="CQ69" s="621"/>
      <c r="CR69" s="621"/>
      <c r="CS69" s="621"/>
      <c r="CT69" s="621"/>
      <c r="CU69" s="621"/>
      <c r="CV69" s="621"/>
      <c r="CW69" s="621"/>
      <c r="CX69" s="621"/>
      <c r="CY69" s="621"/>
      <c r="CZ69" s="621"/>
      <c r="DA69" s="621"/>
      <c r="DB69" s="621"/>
      <c r="DC69" s="621"/>
      <c r="DD69" s="621"/>
      <c r="DE69" s="621"/>
      <c r="DF69" s="621"/>
      <c r="DG69" s="621"/>
      <c r="DH69" s="621"/>
      <c r="DI69" s="621"/>
      <c r="DJ69" s="621"/>
      <c r="DK69" s="621"/>
      <c r="DL69" s="621"/>
      <c r="DM69" s="621"/>
      <c r="DN69" s="621"/>
      <c r="DO69" s="621"/>
      <c r="DP69" s="621"/>
      <c r="DQ69" s="621"/>
      <c r="DR69" s="621"/>
      <c r="DS69" s="621"/>
      <c r="DT69" s="621"/>
      <c r="DU69" s="621"/>
      <c r="DV69" s="621"/>
      <c r="DW69" s="621"/>
      <c r="DX69" s="621"/>
      <c r="DY69" s="621"/>
      <c r="DZ69" s="621"/>
      <c r="EA69" s="621"/>
      <c r="EB69" s="621"/>
      <c r="EC69" s="621"/>
      <c r="ED69" s="621"/>
      <c r="EE69" s="621"/>
      <c r="EF69" s="621"/>
      <c r="EG69" s="621"/>
      <c r="EH69" s="621"/>
      <c r="EI69" s="621"/>
      <c r="EJ69" s="621"/>
      <c r="EK69" s="621"/>
      <c r="EL69" s="621"/>
      <c r="EM69" s="621"/>
      <c r="EN69" s="621"/>
      <c r="EO69" s="621"/>
      <c r="EP69" s="621"/>
      <c r="EQ69" s="621"/>
      <c r="ER69" s="621"/>
      <c r="ES69" s="621"/>
      <c r="ET69" s="621"/>
      <c r="EU69" s="621"/>
      <c r="EV69" s="621"/>
      <c r="EW69" s="621"/>
      <c r="EX69" s="621"/>
      <c r="EY69" s="621"/>
      <c r="EZ69" s="621"/>
      <c r="FA69" s="621"/>
      <c r="FB69" s="621"/>
      <c r="FC69" s="621"/>
      <c r="FD69" s="621"/>
      <c r="FE69" s="621"/>
      <c r="FF69" s="621"/>
      <c r="FG69" s="621"/>
      <c r="FH69" s="621"/>
      <c r="FI69" s="621"/>
      <c r="FJ69" s="621"/>
      <c r="FK69" s="621"/>
      <c r="FL69" s="621"/>
      <c r="FM69" s="621"/>
      <c r="FN69" s="621"/>
      <c r="FO69" s="621"/>
      <c r="FP69" s="621"/>
      <c r="FQ69" s="621"/>
      <c r="FR69" s="621"/>
      <c r="FS69" s="621"/>
      <c r="FT69" s="621"/>
      <c r="FU69" s="621"/>
      <c r="FV69" s="621"/>
      <c r="FW69" s="621"/>
      <c r="FX69" s="621"/>
      <c r="FY69" s="621"/>
      <c r="FZ69" s="621"/>
      <c r="GA69" s="621"/>
      <c r="GB69" s="621"/>
      <c r="GC69" s="621"/>
      <c r="GD69" s="621"/>
      <c r="GE69" s="621"/>
      <c r="GF69" s="621"/>
      <c r="GG69" s="621"/>
      <c r="GH69" s="621"/>
      <c r="GI69" s="621"/>
      <c r="GJ69" s="621"/>
      <c r="GK69" s="621"/>
      <c r="GL69" s="621"/>
      <c r="GM69" s="621"/>
      <c r="GN69" s="621"/>
      <c r="GO69" s="621"/>
      <c r="GP69" s="621"/>
      <c r="GQ69" s="621"/>
      <c r="GR69" s="621"/>
      <c r="GS69" s="621"/>
      <c r="GT69" s="621"/>
      <c r="GU69" s="621"/>
      <c r="GV69" s="621"/>
      <c r="GW69" s="621"/>
      <c r="GX69" s="621"/>
      <c r="GY69" s="621"/>
      <c r="GZ69" s="621"/>
      <c r="HA69" s="621"/>
      <c r="HB69" s="621"/>
      <c r="HC69" s="621"/>
      <c r="HD69" s="621"/>
      <c r="HE69" s="621"/>
      <c r="HF69" s="621"/>
      <c r="HG69" s="621"/>
      <c r="HH69" s="621"/>
      <c r="HI69" s="621"/>
      <c r="HJ69" s="621"/>
      <c r="HK69" s="621"/>
      <c r="HL69" s="621"/>
      <c r="HM69" s="621"/>
      <c r="HN69" s="621"/>
      <c r="HO69" s="621"/>
      <c r="HP69" s="621"/>
      <c r="HQ69" s="621"/>
      <c r="HR69" s="621"/>
      <c r="HS69" s="621"/>
      <c r="HT69" s="621"/>
      <c r="HU69" s="621"/>
      <c r="HV69" s="621"/>
      <c r="HW69" s="621"/>
      <c r="HX69" s="621"/>
      <c r="HY69" s="621"/>
      <c r="HZ69" s="621"/>
      <c r="IA69" s="621"/>
      <c r="IB69" s="621"/>
      <c r="IC69" s="621"/>
      <c r="ID69" s="621"/>
      <c r="IE69" s="621"/>
      <c r="IF69" s="621"/>
      <c r="IG69" s="621"/>
      <c r="IH69" s="621"/>
      <c r="II69" s="621"/>
      <c r="IJ69" s="621"/>
      <c r="IK69" s="621"/>
      <c r="IL69" s="621"/>
      <c r="IM69" s="621"/>
      <c r="IN69" s="621"/>
      <c r="IO69" s="621"/>
      <c r="IP69" s="621"/>
      <c r="IQ69" s="621"/>
      <c r="IR69" s="621"/>
      <c r="IS69" s="621"/>
      <c r="IT69" s="621"/>
      <c r="IU69" s="621"/>
      <c r="IV69" s="621"/>
      <c r="IW69" s="621"/>
      <c r="IX69" s="621"/>
      <c r="IY69" s="621"/>
      <c r="IZ69" s="621"/>
      <c r="JA69" s="621"/>
      <c r="JB69" s="621"/>
      <c r="JC69" s="621"/>
      <c r="JD69" s="621"/>
      <c r="JE69" s="621"/>
      <c r="JF69" s="621"/>
      <c r="JG69" s="621"/>
      <c r="JH69" s="621"/>
      <c r="JI69" s="621"/>
      <c r="JJ69" s="621"/>
      <c r="JK69" s="621"/>
      <c r="JL69" s="621"/>
      <c r="JM69" s="621"/>
      <c r="JN69" s="621"/>
      <c r="JO69" s="621"/>
      <c r="JP69" s="621"/>
      <c r="JQ69" s="621"/>
      <c r="JR69" s="621"/>
      <c r="JS69" s="621"/>
      <c r="JT69" s="621"/>
      <c r="JU69" s="621"/>
      <c r="JV69" s="621"/>
      <c r="JW69" s="621"/>
      <c r="JX69" s="621"/>
      <c r="JY69" s="621"/>
      <c r="JZ69" s="621"/>
      <c r="KA69" s="621"/>
      <c r="KB69" s="621"/>
      <c r="KC69" s="621"/>
      <c r="KD69" s="621"/>
      <c r="KE69" s="621"/>
      <c r="KF69" s="621"/>
      <c r="KG69" s="621"/>
      <c r="KH69" s="621"/>
      <c r="KI69" s="621"/>
      <c r="KJ69" s="621"/>
      <c r="KK69" s="621"/>
      <c r="KL69" s="621"/>
      <c r="KM69" s="621"/>
      <c r="KN69" s="621"/>
      <c r="KO69" s="621"/>
      <c r="KP69" s="621"/>
      <c r="KQ69" s="621"/>
      <c r="KR69" s="621"/>
      <c r="KS69" s="621"/>
      <c r="KT69" s="621"/>
      <c r="KU69" s="621"/>
      <c r="KV69" s="621"/>
      <c r="KW69" s="621"/>
      <c r="KX69" s="621"/>
      <c r="KY69" s="621"/>
      <c r="KZ69" s="621"/>
      <c r="LA69" s="621"/>
      <c r="LB69" s="621"/>
      <c r="LC69" s="621"/>
      <c r="LD69" s="621"/>
      <c r="LE69" s="621"/>
      <c r="LF69" s="621"/>
      <c r="LG69" s="621"/>
      <c r="LH69" s="621"/>
      <c r="LI69" s="621"/>
      <c r="LJ69" s="621"/>
      <c r="LK69" s="621"/>
      <c r="LL69" s="621"/>
      <c r="LM69" s="621"/>
      <c r="LN69" s="621"/>
      <c r="LO69" s="621"/>
      <c r="LP69" s="621"/>
      <c r="LQ69" s="621"/>
      <c r="LR69" s="621"/>
      <c r="LS69" s="621"/>
      <c r="LT69" s="621"/>
      <c r="LU69" s="621"/>
      <c r="LV69" s="621"/>
      <c r="LW69" s="621"/>
      <c r="LX69" s="621"/>
      <c r="LY69" s="621"/>
      <c r="LZ69" s="621"/>
      <c r="MA69" s="621"/>
      <c r="MB69" s="621"/>
      <c r="MC69" s="621"/>
      <c r="MD69" s="621"/>
      <c r="ME69" s="621"/>
      <c r="MF69" s="621"/>
      <c r="MG69" s="621"/>
      <c r="MH69" s="621"/>
      <c r="MI69" s="621"/>
      <c r="MJ69" s="621"/>
      <c r="MK69" s="621"/>
      <c r="ML69" s="621"/>
      <c r="MM69" s="621"/>
      <c r="MN69" s="621"/>
      <c r="MO69" s="621"/>
      <c r="MP69" s="621"/>
      <c r="MQ69" s="621"/>
      <c r="MR69" s="621"/>
      <c r="MS69" s="621"/>
      <c r="MT69" s="621"/>
      <c r="MU69" s="621"/>
      <c r="MV69" s="621"/>
      <c r="MW69" s="621"/>
      <c r="MX69" s="621"/>
      <c r="MY69" s="621"/>
      <c r="MZ69" s="621"/>
      <c r="NA69" s="621"/>
      <c r="NB69" s="621"/>
      <c r="NC69" s="621"/>
      <c r="ND69" s="621"/>
      <c r="NE69" s="621"/>
      <c r="NF69" s="621"/>
      <c r="NG69" s="621"/>
      <c r="NH69" s="621"/>
      <c r="NI69" s="621"/>
      <c r="NJ69" s="621"/>
      <c r="NK69" s="621"/>
      <c r="NL69" s="621"/>
      <c r="NM69" s="621"/>
      <c r="NN69" s="621"/>
      <c r="NO69" s="621"/>
      <c r="NP69" s="621"/>
      <c r="NQ69" s="621"/>
      <c r="NR69" s="621"/>
      <c r="NS69" s="621"/>
      <c r="NT69" s="621"/>
      <c r="NU69" s="621"/>
      <c r="NV69" s="621"/>
      <c r="NW69" s="621"/>
      <c r="NX69" s="621"/>
      <c r="NY69" s="621"/>
      <c r="NZ69" s="621"/>
      <c r="OA69" s="621"/>
      <c r="OB69" s="621"/>
      <c r="OC69" s="621"/>
      <c r="OD69" s="621"/>
      <c r="OE69" s="621"/>
      <c r="OF69" s="621"/>
      <c r="OG69" s="621"/>
      <c r="OH69" s="621"/>
      <c r="OI69" s="621"/>
      <c r="OJ69" s="621"/>
      <c r="OK69" s="621"/>
      <c r="OL69" s="621"/>
      <c r="OM69" s="621"/>
      <c r="ON69" s="621"/>
      <c r="OO69" s="621"/>
      <c r="OP69" s="621"/>
      <c r="OQ69" s="621"/>
      <c r="OR69" s="621"/>
      <c r="OS69" s="621"/>
      <c r="OT69" s="621"/>
      <c r="OU69" s="621"/>
      <c r="OV69" s="621"/>
      <c r="OW69" s="621"/>
      <c r="OX69" s="621"/>
      <c r="OY69" s="621"/>
      <c r="OZ69" s="621"/>
      <c r="PA69" s="621"/>
      <c r="PB69" s="621"/>
      <c r="PC69" s="621"/>
      <c r="PD69" s="621"/>
      <c r="PE69" s="621"/>
      <c r="PF69" s="621"/>
      <c r="PG69" s="621"/>
      <c r="PH69" s="621"/>
      <c r="PI69" s="621"/>
      <c r="PJ69" s="621"/>
      <c r="PK69" s="621"/>
      <c r="PL69" s="621"/>
      <c r="PM69" s="621"/>
      <c r="PN69" s="621"/>
      <c r="PO69" s="621"/>
      <c r="PP69" s="621"/>
      <c r="PQ69" s="621"/>
      <c r="PR69" s="621"/>
      <c r="PS69" s="621"/>
      <c r="PT69" s="621"/>
      <c r="PU69" s="621"/>
      <c r="PV69" s="621"/>
      <c r="PW69" s="621"/>
      <c r="PX69" s="621"/>
      <c r="PY69" s="621"/>
      <c r="PZ69" s="621"/>
      <c r="QA69" s="621"/>
      <c r="QB69" s="621"/>
      <c r="QC69" s="621"/>
      <c r="QD69" s="621"/>
      <c r="QE69" s="621"/>
      <c r="QF69" s="621"/>
      <c r="QG69" s="621"/>
      <c r="QH69" s="621"/>
      <c r="QI69" s="621"/>
      <c r="QJ69" s="621"/>
      <c r="QK69" s="621"/>
      <c r="QL69" s="621"/>
      <c r="QM69" s="621"/>
      <c r="QN69" s="621"/>
      <c r="QO69" s="621"/>
      <c r="QP69" s="621"/>
      <c r="QQ69" s="621"/>
      <c r="QR69" s="621"/>
      <c r="QS69" s="621"/>
      <c r="QT69" s="621"/>
      <c r="QU69" s="621"/>
      <c r="QV69" s="621"/>
      <c r="QW69" s="621"/>
      <c r="QX69" s="621"/>
      <c r="QY69" s="621"/>
      <c r="QZ69" s="621"/>
      <c r="RA69" s="621"/>
      <c r="RB69" s="621"/>
      <c r="RC69" s="621"/>
      <c r="RD69" s="621"/>
      <c r="RE69" s="621"/>
      <c r="RF69" s="621"/>
      <c r="RG69" s="621"/>
      <c r="RH69" s="621"/>
      <c r="RI69" s="621"/>
      <c r="RJ69" s="621"/>
      <c r="RK69" s="621"/>
      <c r="RL69" s="621"/>
      <c r="RM69" s="621"/>
      <c r="RN69" s="621"/>
      <c r="RO69" s="621"/>
      <c r="RP69" s="621"/>
      <c r="RQ69" s="621"/>
      <c r="RR69" s="621"/>
      <c r="RS69" s="621"/>
      <c r="RT69" s="621"/>
      <c r="RU69" s="621"/>
      <c r="RV69" s="621"/>
      <c r="RW69" s="621"/>
      <c r="RX69" s="621"/>
      <c r="RY69" s="621"/>
      <c r="RZ69" s="621"/>
      <c r="SA69" s="621"/>
      <c r="SB69" s="621"/>
      <c r="SC69" s="621"/>
      <c r="SD69" s="621"/>
      <c r="SE69" s="621"/>
      <c r="SF69" s="621"/>
      <c r="SG69" s="621"/>
      <c r="SH69" s="621"/>
      <c r="SI69" s="621"/>
      <c r="SJ69" s="621"/>
      <c r="SK69" s="621"/>
      <c r="SL69" s="621"/>
      <c r="SM69" s="621"/>
      <c r="SN69" s="621"/>
      <c r="SO69" s="621"/>
      <c r="SP69" s="621"/>
      <c r="SQ69" s="621"/>
      <c r="SR69" s="621"/>
      <c r="SS69" s="621"/>
      <c r="ST69" s="621"/>
      <c r="SU69" s="621"/>
      <c r="SV69" s="621"/>
      <c r="SW69" s="621"/>
      <c r="SX69" s="621"/>
      <c r="SY69" s="621"/>
      <c r="SZ69" s="621"/>
      <c r="TA69" s="621"/>
      <c r="TB69" s="621"/>
      <c r="TC69" s="621"/>
      <c r="TD69" s="621"/>
      <c r="TE69" s="621"/>
      <c r="TF69" s="621"/>
      <c r="TG69" s="621"/>
      <c r="TH69" s="621"/>
      <c r="TI69" s="621"/>
      <c r="TJ69" s="621"/>
      <c r="TK69" s="621"/>
      <c r="TL69" s="621"/>
      <c r="TM69" s="621"/>
      <c r="TN69" s="621"/>
      <c r="TO69" s="621"/>
      <c r="TP69" s="621"/>
      <c r="TQ69" s="621"/>
      <c r="TR69" s="621"/>
      <c r="TS69" s="621"/>
      <c r="TT69" s="621"/>
      <c r="TU69" s="621"/>
      <c r="TV69" s="621"/>
      <c r="TW69" s="621"/>
      <c r="TX69" s="621"/>
      <c r="TY69" s="621"/>
      <c r="TZ69" s="621"/>
      <c r="UA69" s="621"/>
      <c r="UB69" s="621"/>
      <c r="UC69" s="621"/>
      <c r="UD69" s="621"/>
      <c r="UE69" s="621"/>
      <c r="UF69" s="621"/>
      <c r="UG69" s="621"/>
      <c r="UH69" s="621"/>
      <c r="UI69" s="621"/>
      <c r="UJ69" s="621"/>
      <c r="UK69" s="621"/>
      <c r="UL69" s="621"/>
      <c r="UM69" s="621"/>
      <c r="UN69" s="621"/>
      <c r="UO69" s="621"/>
      <c r="UP69" s="621"/>
      <c r="UQ69" s="621"/>
      <c r="UR69" s="621"/>
      <c r="US69" s="621"/>
      <c r="UT69" s="621"/>
      <c r="UU69" s="621"/>
      <c r="UV69" s="621"/>
      <c r="UW69" s="621"/>
      <c r="UX69" s="621"/>
      <c r="UY69" s="621"/>
      <c r="UZ69" s="621"/>
      <c r="VA69" s="621"/>
      <c r="VB69" s="621"/>
      <c r="VC69" s="621"/>
      <c r="VD69" s="621"/>
      <c r="VE69" s="621"/>
      <c r="VF69" s="621"/>
      <c r="VG69" s="621"/>
      <c r="VH69" s="621"/>
      <c r="VI69" s="621"/>
      <c r="VJ69" s="621"/>
      <c r="VK69" s="621"/>
      <c r="VL69" s="621"/>
      <c r="VM69" s="621"/>
      <c r="VN69" s="621"/>
      <c r="VO69" s="621"/>
      <c r="VP69" s="621"/>
      <c r="VQ69" s="621"/>
      <c r="VR69" s="621"/>
      <c r="VS69" s="621"/>
      <c r="VT69" s="621"/>
      <c r="VU69" s="621"/>
      <c r="VV69" s="621"/>
      <c r="VW69" s="621"/>
      <c r="VX69" s="621"/>
      <c r="VY69" s="621"/>
      <c r="VZ69" s="621"/>
      <c r="WA69" s="621"/>
      <c r="WB69" s="621"/>
      <c r="WC69" s="621"/>
      <c r="WD69" s="621"/>
      <c r="WE69" s="621"/>
      <c r="WF69" s="621"/>
      <c r="WG69" s="621"/>
      <c r="WH69" s="621"/>
      <c r="WI69" s="621"/>
      <c r="WJ69" s="621"/>
      <c r="WK69" s="621"/>
      <c r="WL69" s="621"/>
      <c r="WM69" s="621"/>
      <c r="WN69" s="621"/>
      <c r="WO69" s="621"/>
      <c r="WP69" s="621"/>
      <c r="WQ69" s="621"/>
      <c r="WR69" s="621"/>
      <c r="WS69" s="621"/>
      <c r="WT69" s="621"/>
      <c r="WU69" s="621"/>
      <c r="WV69" s="621"/>
      <c r="WW69" s="621"/>
      <c r="WX69" s="621"/>
      <c r="WY69" s="621"/>
      <c r="WZ69" s="621"/>
      <c r="XA69" s="621"/>
      <c r="XB69" s="621"/>
      <c r="XC69" s="621"/>
      <c r="XD69" s="621"/>
      <c r="XE69" s="621"/>
      <c r="XF69" s="621"/>
      <c r="XG69" s="621"/>
      <c r="XH69" s="621"/>
      <c r="XI69" s="621"/>
      <c r="XJ69" s="621"/>
      <c r="XK69" s="621"/>
      <c r="XL69" s="621"/>
      <c r="XM69" s="621"/>
      <c r="XN69" s="621"/>
      <c r="XO69" s="621"/>
      <c r="XP69" s="621"/>
      <c r="XQ69" s="621"/>
      <c r="XR69" s="621"/>
      <c r="XS69" s="621"/>
      <c r="XT69" s="621"/>
      <c r="XU69" s="621"/>
      <c r="XV69" s="621"/>
      <c r="XW69" s="621"/>
      <c r="XX69" s="621"/>
      <c r="XY69" s="621"/>
      <c r="XZ69" s="621"/>
      <c r="YA69" s="621"/>
      <c r="YB69" s="621"/>
      <c r="YC69" s="621"/>
      <c r="YD69" s="621"/>
      <c r="YE69" s="621"/>
      <c r="YF69" s="621"/>
      <c r="YG69" s="621"/>
      <c r="YH69" s="621"/>
      <c r="YI69" s="621"/>
      <c r="YJ69" s="621"/>
      <c r="YK69" s="621"/>
      <c r="YL69" s="621"/>
      <c r="YM69" s="621"/>
      <c r="YN69" s="621"/>
      <c r="YO69" s="621"/>
      <c r="YP69" s="621"/>
      <c r="YQ69" s="621"/>
      <c r="YR69" s="621"/>
      <c r="YS69" s="621"/>
      <c r="YT69" s="621"/>
      <c r="YU69" s="621"/>
      <c r="YV69" s="621"/>
      <c r="YW69" s="621"/>
      <c r="YX69" s="621"/>
      <c r="YY69" s="621"/>
      <c r="YZ69" s="621"/>
      <c r="ZA69" s="621"/>
      <c r="ZB69" s="621"/>
      <c r="ZC69" s="621"/>
      <c r="ZD69" s="621"/>
      <c r="ZE69" s="621"/>
      <c r="ZF69" s="621"/>
      <c r="ZG69" s="621"/>
      <c r="ZH69" s="621"/>
      <c r="ZI69" s="621"/>
      <c r="ZJ69" s="621"/>
      <c r="ZK69" s="621"/>
      <c r="ZL69" s="621"/>
      <c r="ZM69" s="621"/>
      <c r="ZN69" s="621"/>
      <c r="ZO69" s="621"/>
      <c r="ZP69" s="621"/>
      <c r="ZQ69" s="621"/>
      <c r="ZR69" s="621"/>
      <c r="ZS69" s="621"/>
      <c r="ZT69" s="621"/>
      <c r="ZU69" s="621"/>
      <c r="ZV69" s="621"/>
      <c r="ZW69" s="621"/>
      <c r="ZX69" s="621"/>
      <c r="ZY69" s="621"/>
      <c r="ZZ69" s="621"/>
      <c r="AAA69" s="621"/>
      <c r="AAB69" s="621"/>
      <c r="AAC69" s="621"/>
      <c r="AAD69" s="621"/>
      <c r="AAE69" s="621"/>
      <c r="AAF69" s="621"/>
      <c r="AAG69" s="621"/>
      <c r="AAH69" s="621"/>
      <c r="AAI69" s="621"/>
      <c r="AAJ69" s="621"/>
      <c r="AAK69" s="621"/>
      <c r="AAL69" s="621"/>
      <c r="AAM69" s="621"/>
      <c r="AAN69" s="621"/>
      <c r="AAO69" s="621"/>
      <c r="AAP69" s="621"/>
      <c r="AAQ69" s="621"/>
      <c r="AAR69" s="621"/>
      <c r="AAS69" s="621"/>
      <c r="AAT69" s="621"/>
      <c r="AAU69" s="621"/>
      <c r="AAV69" s="621"/>
      <c r="AAW69" s="621"/>
      <c r="AAX69" s="621"/>
      <c r="AAY69" s="621"/>
      <c r="AAZ69" s="621"/>
      <c r="ABA69" s="621"/>
      <c r="ABB69" s="621"/>
      <c r="ABC69" s="621"/>
      <c r="ABD69" s="621"/>
      <c r="ABE69" s="621"/>
      <c r="ABF69" s="621"/>
      <c r="ABG69" s="621"/>
      <c r="ABH69" s="621"/>
      <c r="ABI69" s="621"/>
      <c r="ABJ69" s="621"/>
      <c r="ABK69" s="621"/>
      <c r="ABL69" s="621"/>
      <c r="ABM69" s="621"/>
      <c r="ABN69" s="621"/>
      <c r="ABO69" s="621"/>
      <c r="ABP69" s="621"/>
      <c r="ABQ69" s="621"/>
      <c r="ABR69" s="621"/>
      <c r="ABS69" s="621"/>
      <c r="ABT69" s="621"/>
      <c r="ABU69" s="621"/>
      <c r="ABV69" s="621"/>
      <c r="ABW69" s="621"/>
      <c r="ABX69" s="621"/>
      <c r="ABY69" s="621"/>
      <c r="ABZ69" s="621"/>
      <c r="ACA69" s="621"/>
      <c r="ACB69" s="621"/>
      <c r="ACC69" s="621"/>
      <c r="ACD69" s="621"/>
      <c r="ACE69" s="621"/>
      <c r="ACF69" s="621"/>
      <c r="ACG69" s="621"/>
      <c r="ACH69" s="621"/>
      <c r="ACI69" s="621"/>
      <c r="ACJ69" s="621"/>
      <c r="ACK69" s="621"/>
      <c r="ACL69" s="621"/>
      <c r="ACM69" s="621"/>
      <c r="ACN69" s="621"/>
      <c r="ACO69" s="621"/>
      <c r="ACP69" s="621"/>
      <c r="ACQ69" s="621"/>
      <c r="ACR69" s="621"/>
      <c r="ACS69" s="621"/>
      <c r="ACT69" s="621"/>
      <c r="ACU69" s="621"/>
      <c r="ACV69" s="621"/>
      <c r="ACW69" s="621"/>
      <c r="ACX69" s="621"/>
      <c r="ACY69" s="621"/>
      <c r="ACZ69" s="621"/>
      <c r="ADA69" s="621"/>
      <c r="ADB69" s="621"/>
      <c r="ADC69" s="621"/>
      <c r="ADD69" s="621"/>
      <c r="ADE69" s="621"/>
      <c r="ADF69" s="621"/>
      <c r="ADG69" s="621"/>
      <c r="ADH69" s="621"/>
      <c r="ADI69" s="621"/>
      <c r="ADJ69" s="621"/>
      <c r="ADK69" s="621"/>
      <c r="ADL69" s="621"/>
      <c r="ADM69" s="621"/>
      <c r="ADN69" s="621"/>
      <c r="ADO69" s="621"/>
      <c r="ADP69" s="621"/>
      <c r="ADQ69" s="621"/>
      <c r="ADR69" s="621"/>
      <c r="ADS69" s="621"/>
      <c r="ADT69" s="621"/>
      <c r="ADU69" s="621"/>
      <c r="ADV69" s="621"/>
      <c r="ADW69" s="621"/>
      <c r="ADX69" s="621"/>
      <c r="ADY69" s="621"/>
      <c r="ADZ69" s="621"/>
      <c r="AEA69" s="621"/>
      <c r="AEB69" s="621"/>
      <c r="AEC69" s="621"/>
      <c r="AED69" s="621"/>
      <c r="AEE69" s="621"/>
      <c r="AEF69" s="621"/>
      <c r="AEG69" s="621"/>
      <c r="AEH69" s="621"/>
      <c r="AEI69" s="621"/>
      <c r="AEJ69" s="621"/>
      <c r="AEK69" s="621"/>
      <c r="AEL69" s="621"/>
      <c r="AEM69" s="621"/>
      <c r="AEN69" s="621"/>
      <c r="AEO69" s="621"/>
      <c r="AEP69" s="621"/>
      <c r="AEQ69" s="621"/>
      <c r="AER69" s="621"/>
      <c r="AES69" s="621"/>
      <c r="AET69" s="621"/>
      <c r="AEU69" s="621"/>
      <c r="AEV69" s="621"/>
      <c r="AEW69" s="621"/>
      <c r="AEX69" s="621"/>
      <c r="AEY69" s="621"/>
      <c r="AEZ69" s="621"/>
      <c r="AFA69" s="621"/>
      <c r="AFB69" s="621"/>
      <c r="AFC69" s="621"/>
      <c r="AFD69" s="621"/>
      <c r="AFE69" s="621"/>
      <c r="AFF69" s="621"/>
      <c r="AFG69" s="621"/>
      <c r="AFH69" s="621"/>
      <c r="AFI69" s="621"/>
      <c r="AFJ69" s="621"/>
      <c r="AFK69" s="621"/>
      <c r="AFL69" s="621"/>
      <c r="AFM69" s="621"/>
      <c r="AFN69" s="621"/>
      <c r="AFO69" s="621"/>
      <c r="AFP69" s="621"/>
      <c r="AFQ69" s="621"/>
      <c r="AFR69" s="621"/>
      <c r="AFS69" s="621"/>
      <c r="AFT69" s="621"/>
      <c r="AFU69" s="621"/>
      <c r="AFV69" s="621"/>
      <c r="AFW69" s="621"/>
      <c r="AFX69" s="621"/>
      <c r="AFY69" s="621"/>
      <c r="AFZ69" s="621"/>
      <c r="AGA69" s="621"/>
      <c r="AGB69" s="621"/>
      <c r="AGC69" s="621"/>
      <c r="AGD69" s="621"/>
      <c r="AGE69" s="621"/>
      <c r="AGF69" s="621"/>
      <c r="AGG69" s="621"/>
      <c r="AGH69" s="621"/>
      <c r="AGI69" s="621"/>
      <c r="AGJ69" s="621"/>
      <c r="AGK69" s="621"/>
      <c r="AGL69" s="621"/>
      <c r="AGM69" s="621"/>
      <c r="AGN69" s="621"/>
      <c r="AGO69" s="621"/>
      <c r="AGP69" s="621"/>
      <c r="AGQ69" s="621"/>
      <c r="AGR69" s="621"/>
      <c r="AGS69" s="621"/>
      <c r="AGT69" s="621"/>
      <c r="AGU69" s="621"/>
      <c r="AGV69" s="621"/>
      <c r="AGW69" s="621"/>
      <c r="AGX69" s="621"/>
      <c r="AGY69" s="621"/>
      <c r="AGZ69" s="621"/>
      <c r="AHA69" s="621"/>
      <c r="AHB69" s="621"/>
      <c r="AHC69" s="621"/>
      <c r="AHD69" s="621"/>
      <c r="AHE69" s="621"/>
      <c r="AHF69" s="621"/>
      <c r="AHG69" s="621"/>
      <c r="AHH69" s="621"/>
      <c r="AHI69" s="621"/>
      <c r="AHJ69" s="621"/>
      <c r="AHK69" s="621"/>
      <c r="AHL69" s="621"/>
      <c r="AHM69" s="621"/>
      <c r="AHN69" s="621"/>
      <c r="AHO69" s="621"/>
      <c r="AHP69" s="621"/>
      <c r="AHQ69" s="621"/>
      <c r="AHR69" s="621"/>
      <c r="AHS69" s="621"/>
      <c r="AHT69" s="621"/>
      <c r="AHU69" s="621"/>
      <c r="AHV69" s="621"/>
      <c r="AHW69" s="621"/>
      <c r="AHX69" s="621"/>
      <c r="AHY69" s="621"/>
      <c r="AHZ69" s="621"/>
      <c r="AIA69" s="621"/>
      <c r="AIB69" s="621"/>
      <c r="AIC69" s="621"/>
      <c r="AID69" s="621"/>
      <c r="AIE69" s="621"/>
      <c r="AIF69" s="621"/>
      <c r="AIG69" s="621"/>
      <c r="AIH69" s="621"/>
      <c r="AII69" s="621"/>
      <c r="AIJ69" s="621"/>
      <c r="AIK69" s="621"/>
      <c r="AIL69" s="621"/>
      <c r="AIM69" s="621"/>
      <c r="AIN69" s="621"/>
      <c r="AIO69" s="621"/>
      <c r="AIP69" s="621"/>
      <c r="AIQ69" s="621"/>
      <c r="AIR69" s="621"/>
      <c r="AIS69" s="621"/>
      <c r="AIT69" s="621"/>
      <c r="AIU69" s="621"/>
      <c r="AIV69" s="621"/>
      <c r="AIW69" s="621"/>
      <c r="AIX69" s="621"/>
      <c r="AIY69" s="621"/>
      <c r="AIZ69" s="621"/>
      <c r="AJA69" s="621"/>
      <c r="AJB69" s="621"/>
      <c r="AJC69" s="621"/>
      <c r="AJD69" s="621"/>
      <c r="AJE69" s="621"/>
      <c r="AJF69" s="621"/>
      <c r="AJG69" s="621"/>
      <c r="AJH69" s="621"/>
      <c r="AJI69" s="621"/>
      <c r="AJJ69" s="621"/>
      <c r="AJK69" s="621"/>
      <c r="AJL69" s="621"/>
      <c r="AJM69" s="621"/>
      <c r="AJN69" s="621"/>
      <c r="AJO69" s="621"/>
      <c r="AJP69" s="621"/>
      <c r="AJQ69" s="621"/>
      <c r="AJR69" s="621"/>
      <c r="AJS69" s="621"/>
      <c r="AJT69" s="621"/>
      <c r="AJU69" s="621"/>
      <c r="AJV69" s="621"/>
      <c r="AJW69" s="621"/>
      <c r="AJX69" s="621"/>
      <c r="AJY69" s="621"/>
      <c r="AJZ69" s="621"/>
      <c r="AKA69" s="621"/>
      <c r="AKB69" s="621"/>
      <c r="AKC69" s="621"/>
      <c r="AKD69" s="621"/>
      <c r="AKE69" s="621"/>
      <c r="AKF69" s="621"/>
      <c r="AKG69" s="621"/>
      <c r="AKH69" s="621"/>
      <c r="AKI69" s="621"/>
      <c r="AKJ69" s="621"/>
      <c r="AKK69" s="621"/>
      <c r="AKL69" s="621"/>
      <c r="AKM69" s="621"/>
      <c r="AKN69" s="621"/>
      <c r="AKO69" s="621"/>
      <c r="AKP69" s="621"/>
      <c r="AKQ69" s="621"/>
      <c r="AKR69" s="621"/>
      <c r="AKS69" s="621"/>
      <c r="AKT69" s="621"/>
      <c r="AKU69" s="621"/>
      <c r="AKV69" s="621"/>
      <c r="AKW69" s="621"/>
      <c r="AKX69" s="621"/>
      <c r="AKY69" s="621"/>
      <c r="AKZ69" s="621"/>
      <c r="ALA69" s="621"/>
      <c r="ALB69" s="621"/>
      <c r="ALC69" s="621"/>
      <c r="ALD69" s="621"/>
      <c r="ALE69" s="621"/>
      <c r="ALF69" s="621"/>
      <c r="ALG69" s="621"/>
      <c r="ALH69" s="621"/>
      <c r="ALI69" s="621"/>
      <c r="ALJ69" s="621"/>
      <c r="ALK69" s="621"/>
      <c r="ALL69" s="621"/>
      <c r="ALM69" s="621"/>
      <c r="ALN69" s="621"/>
      <c r="ALO69" s="621"/>
      <c r="ALP69" s="621"/>
      <c r="ALQ69" s="621"/>
      <c r="ALR69" s="621"/>
      <c r="ALS69" s="621"/>
      <c r="ALT69" s="621"/>
      <c r="ALU69" s="621"/>
      <c r="ALV69" s="621"/>
      <c r="ALW69" s="621"/>
      <c r="ALX69" s="621"/>
      <c r="ALY69" s="621"/>
      <c r="ALZ69" s="621"/>
      <c r="AMA69" s="621"/>
      <c r="AMB69" s="621"/>
      <c r="AMC69" s="621"/>
      <c r="AMD69" s="621"/>
      <c r="AME69" s="621"/>
      <c r="AMF69" s="621"/>
      <c r="AMG69" s="621"/>
      <c r="AMH69" s="621"/>
      <c r="AMI69" s="621"/>
      <c r="AMJ69" s="621"/>
      <c r="AMK69" s="621"/>
    </row>
    <row r="70" spans="1:1025" ht="30.75" customHeight="1">
      <c r="A70" s="460"/>
      <c r="B70" s="448" t="s">
        <v>794</v>
      </c>
      <c r="C70" s="461">
        <f>1.15*D70</f>
        <v>1782.4999999999998</v>
      </c>
      <c r="D70" s="423">
        <v>1550</v>
      </c>
      <c r="E70" s="1450"/>
      <c r="F70" s="1452"/>
      <c r="G70" s="392"/>
      <c r="H70" s="429"/>
      <c r="I70" s="1497"/>
      <c r="J70" s="1495"/>
      <c r="K70" s="594"/>
      <c r="L70" s="462"/>
      <c r="M70" s="1495"/>
      <c r="N70" s="272"/>
      <c r="O70" s="272"/>
      <c r="P70" s="272"/>
      <c r="AE70" s="1471"/>
      <c r="AF70" s="1493"/>
      <c r="AG70" s="1494"/>
      <c r="AH70" s="1494"/>
      <c r="AI70" s="1494"/>
      <c r="AJ70" s="1494"/>
      <c r="AK70" s="1494"/>
      <c r="AL70" s="1494"/>
      <c r="AM70" s="1475"/>
      <c r="AN70" s="1493"/>
      <c r="AO70" s="1475"/>
      <c r="AP70" s="289"/>
      <c r="AU70" s="621"/>
      <c r="AV70" s="621"/>
      <c r="AW70" s="621"/>
      <c r="AX70" s="621"/>
      <c r="AY70" s="621"/>
      <c r="AZ70" s="621"/>
      <c r="BA70" s="621"/>
      <c r="BB70" s="621"/>
      <c r="BC70" s="621"/>
      <c r="BD70" s="621"/>
      <c r="BE70" s="621"/>
      <c r="BF70" s="621"/>
      <c r="BG70" s="621"/>
      <c r="BH70" s="621"/>
      <c r="BI70" s="621"/>
      <c r="BJ70" s="621"/>
      <c r="BK70" s="621"/>
      <c r="BL70" s="621"/>
      <c r="BM70" s="621"/>
      <c r="BN70" s="621"/>
      <c r="BO70" s="621"/>
      <c r="BP70" s="621"/>
      <c r="BQ70" s="621"/>
      <c r="BR70" s="621"/>
      <c r="BS70" s="621"/>
      <c r="BT70" s="621"/>
      <c r="BU70" s="621"/>
      <c r="BV70" s="621"/>
      <c r="BW70" s="621"/>
      <c r="BX70" s="621"/>
      <c r="BY70" s="621"/>
      <c r="BZ70" s="621"/>
      <c r="CA70" s="621"/>
      <c r="CB70" s="621"/>
      <c r="CC70" s="621"/>
      <c r="CD70" s="621"/>
      <c r="CE70" s="621"/>
      <c r="CF70" s="621"/>
      <c r="CG70" s="621"/>
      <c r="CH70" s="621"/>
      <c r="CI70" s="621"/>
      <c r="CJ70" s="621"/>
      <c r="CK70" s="621"/>
      <c r="CL70" s="621"/>
      <c r="CM70" s="621"/>
      <c r="CN70" s="621"/>
      <c r="CO70" s="621"/>
      <c r="CP70" s="621"/>
      <c r="CQ70" s="621"/>
      <c r="CR70" s="621"/>
      <c r="CS70" s="621"/>
      <c r="CT70" s="621"/>
      <c r="CU70" s="621"/>
      <c r="CV70" s="621"/>
      <c r="CW70" s="621"/>
      <c r="CX70" s="621"/>
      <c r="CY70" s="621"/>
      <c r="CZ70" s="621"/>
      <c r="DA70" s="621"/>
      <c r="DB70" s="621"/>
      <c r="DC70" s="621"/>
      <c r="DD70" s="621"/>
      <c r="DE70" s="621"/>
      <c r="DF70" s="621"/>
      <c r="DG70" s="621"/>
      <c r="DH70" s="621"/>
      <c r="DI70" s="621"/>
      <c r="DJ70" s="621"/>
      <c r="DK70" s="621"/>
      <c r="DL70" s="621"/>
      <c r="DM70" s="621"/>
      <c r="DN70" s="621"/>
      <c r="DO70" s="621"/>
      <c r="DP70" s="621"/>
      <c r="DQ70" s="621"/>
      <c r="DR70" s="621"/>
      <c r="DS70" s="621"/>
      <c r="DT70" s="621"/>
      <c r="DU70" s="621"/>
      <c r="DV70" s="621"/>
      <c r="DW70" s="621"/>
      <c r="DX70" s="621"/>
      <c r="DY70" s="621"/>
      <c r="DZ70" s="621"/>
      <c r="EA70" s="621"/>
      <c r="EB70" s="621"/>
      <c r="EC70" s="621"/>
      <c r="ED70" s="621"/>
      <c r="EE70" s="621"/>
      <c r="EF70" s="621"/>
      <c r="EG70" s="621"/>
      <c r="EH70" s="621"/>
      <c r="EI70" s="621"/>
      <c r="EJ70" s="621"/>
      <c r="EK70" s="621"/>
      <c r="EL70" s="621"/>
      <c r="EM70" s="621"/>
      <c r="EN70" s="621"/>
      <c r="EO70" s="621"/>
      <c r="EP70" s="621"/>
      <c r="EQ70" s="621"/>
      <c r="ER70" s="621"/>
      <c r="ES70" s="621"/>
      <c r="ET70" s="621"/>
      <c r="EU70" s="621"/>
      <c r="EV70" s="621"/>
      <c r="EW70" s="621"/>
      <c r="EX70" s="621"/>
      <c r="EY70" s="621"/>
      <c r="EZ70" s="621"/>
      <c r="FA70" s="621"/>
      <c r="FB70" s="621"/>
      <c r="FC70" s="621"/>
      <c r="FD70" s="621"/>
      <c r="FE70" s="621"/>
      <c r="FF70" s="621"/>
      <c r="FG70" s="621"/>
      <c r="FH70" s="621"/>
      <c r="FI70" s="621"/>
      <c r="FJ70" s="621"/>
      <c r="FK70" s="621"/>
      <c r="FL70" s="621"/>
      <c r="FM70" s="621"/>
      <c r="FN70" s="621"/>
      <c r="FO70" s="621"/>
      <c r="FP70" s="621"/>
      <c r="FQ70" s="621"/>
      <c r="FR70" s="621"/>
      <c r="FS70" s="621"/>
      <c r="FT70" s="621"/>
      <c r="FU70" s="621"/>
      <c r="FV70" s="621"/>
      <c r="FW70" s="621"/>
      <c r="FX70" s="621"/>
      <c r="FY70" s="621"/>
      <c r="FZ70" s="621"/>
      <c r="GA70" s="621"/>
      <c r="GB70" s="621"/>
      <c r="GC70" s="621"/>
      <c r="GD70" s="621"/>
      <c r="GE70" s="621"/>
      <c r="GF70" s="621"/>
      <c r="GG70" s="621"/>
      <c r="GH70" s="621"/>
      <c r="GI70" s="621"/>
      <c r="GJ70" s="621"/>
      <c r="GK70" s="621"/>
      <c r="GL70" s="621"/>
      <c r="GM70" s="621"/>
      <c r="GN70" s="621"/>
      <c r="GO70" s="621"/>
      <c r="GP70" s="621"/>
      <c r="GQ70" s="621"/>
      <c r="GR70" s="621"/>
      <c r="GS70" s="621"/>
      <c r="GT70" s="621"/>
      <c r="GU70" s="621"/>
      <c r="GV70" s="621"/>
      <c r="GW70" s="621"/>
      <c r="GX70" s="621"/>
      <c r="GY70" s="621"/>
      <c r="GZ70" s="621"/>
      <c r="HA70" s="621"/>
      <c r="HB70" s="621"/>
      <c r="HC70" s="621"/>
      <c r="HD70" s="621"/>
      <c r="HE70" s="621"/>
      <c r="HF70" s="621"/>
      <c r="HG70" s="621"/>
      <c r="HH70" s="621"/>
      <c r="HI70" s="621"/>
      <c r="HJ70" s="621"/>
      <c r="HK70" s="621"/>
      <c r="HL70" s="621"/>
      <c r="HM70" s="621"/>
      <c r="HN70" s="621"/>
      <c r="HO70" s="621"/>
      <c r="HP70" s="621"/>
      <c r="HQ70" s="621"/>
      <c r="HR70" s="621"/>
      <c r="HS70" s="621"/>
      <c r="HT70" s="621"/>
      <c r="HU70" s="621"/>
      <c r="HV70" s="621"/>
      <c r="HW70" s="621"/>
      <c r="HX70" s="621"/>
      <c r="HY70" s="621"/>
      <c r="HZ70" s="621"/>
      <c r="IA70" s="621"/>
      <c r="IB70" s="621"/>
      <c r="IC70" s="621"/>
      <c r="ID70" s="621"/>
      <c r="IE70" s="621"/>
      <c r="IF70" s="621"/>
      <c r="IG70" s="621"/>
      <c r="IH70" s="621"/>
      <c r="II70" s="621"/>
      <c r="IJ70" s="621"/>
      <c r="IK70" s="621"/>
      <c r="IL70" s="621"/>
      <c r="IM70" s="621"/>
      <c r="IN70" s="621"/>
      <c r="IO70" s="621"/>
      <c r="IP70" s="621"/>
      <c r="IQ70" s="621"/>
      <c r="IR70" s="621"/>
      <c r="IS70" s="621"/>
      <c r="IT70" s="621"/>
      <c r="IU70" s="621"/>
      <c r="IV70" s="621"/>
      <c r="IW70" s="621"/>
      <c r="IX70" s="621"/>
      <c r="IY70" s="621"/>
      <c r="IZ70" s="621"/>
      <c r="JA70" s="621"/>
      <c r="JB70" s="621"/>
      <c r="JC70" s="621"/>
      <c r="JD70" s="621"/>
      <c r="JE70" s="621"/>
      <c r="JF70" s="621"/>
      <c r="JG70" s="621"/>
      <c r="JH70" s="621"/>
      <c r="JI70" s="621"/>
      <c r="JJ70" s="621"/>
      <c r="JK70" s="621"/>
      <c r="JL70" s="621"/>
      <c r="JM70" s="621"/>
      <c r="JN70" s="621"/>
      <c r="JO70" s="621"/>
      <c r="JP70" s="621"/>
      <c r="JQ70" s="621"/>
      <c r="JR70" s="621"/>
      <c r="JS70" s="621"/>
      <c r="JT70" s="621"/>
      <c r="JU70" s="621"/>
      <c r="JV70" s="621"/>
      <c r="JW70" s="621"/>
      <c r="JX70" s="621"/>
      <c r="JY70" s="621"/>
      <c r="JZ70" s="621"/>
      <c r="KA70" s="621"/>
      <c r="KB70" s="621"/>
      <c r="KC70" s="621"/>
      <c r="KD70" s="621"/>
      <c r="KE70" s="621"/>
      <c r="KF70" s="621"/>
      <c r="KG70" s="621"/>
      <c r="KH70" s="621"/>
      <c r="KI70" s="621"/>
      <c r="KJ70" s="621"/>
      <c r="KK70" s="621"/>
      <c r="KL70" s="621"/>
      <c r="KM70" s="621"/>
      <c r="KN70" s="621"/>
      <c r="KO70" s="621"/>
      <c r="KP70" s="621"/>
      <c r="KQ70" s="621"/>
      <c r="KR70" s="621"/>
      <c r="KS70" s="621"/>
      <c r="KT70" s="621"/>
      <c r="KU70" s="621"/>
      <c r="KV70" s="621"/>
      <c r="KW70" s="621"/>
      <c r="KX70" s="621"/>
      <c r="KY70" s="621"/>
      <c r="KZ70" s="621"/>
      <c r="LA70" s="621"/>
      <c r="LB70" s="621"/>
      <c r="LC70" s="621"/>
      <c r="LD70" s="621"/>
      <c r="LE70" s="621"/>
      <c r="LF70" s="621"/>
      <c r="LG70" s="621"/>
      <c r="LH70" s="621"/>
      <c r="LI70" s="621"/>
      <c r="LJ70" s="621"/>
      <c r="LK70" s="621"/>
      <c r="LL70" s="621"/>
      <c r="LM70" s="621"/>
      <c r="LN70" s="621"/>
      <c r="LO70" s="621"/>
      <c r="LP70" s="621"/>
      <c r="LQ70" s="621"/>
      <c r="LR70" s="621"/>
      <c r="LS70" s="621"/>
      <c r="LT70" s="621"/>
      <c r="LU70" s="621"/>
      <c r="LV70" s="621"/>
      <c r="LW70" s="621"/>
      <c r="LX70" s="621"/>
      <c r="LY70" s="621"/>
      <c r="LZ70" s="621"/>
      <c r="MA70" s="621"/>
      <c r="MB70" s="621"/>
      <c r="MC70" s="621"/>
      <c r="MD70" s="621"/>
      <c r="ME70" s="621"/>
      <c r="MF70" s="621"/>
      <c r="MG70" s="621"/>
      <c r="MH70" s="621"/>
      <c r="MI70" s="621"/>
      <c r="MJ70" s="621"/>
      <c r="MK70" s="621"/>
      <c r="ML70" s="621"/>
      <c r="MM70" s="621"/>
      <c r="MN70" s="621"/>
      <c r="MO70" s="621"/>
      <c r="MP70" s="621"/>
      <c r="MQ70" s="621"/>
      <c r="MR70" s="621"/>
      <c r="MS70" s="621"/>
      <c r="MT70" s="621"/>
      <c r="MU70" s="621"/>
      <c r="MV70" s="621"/>
      <c r="MW70" s="621"/>
      <c r="MX70" s="621"/>
      <c r="MY70" s="621"/>
      <c r="MZ70" s="621"/>
      <c r="NA70" s="621"/>
      <c r="NB70" s="621"/>
      <c r="NC70" s="621"/>
      <c r="ND70" s="621"/>
      <c r="NE70" s="621"/>
      <c r="NF70" s="621"/>
      <c r="NG70" s="621"/>
      <c r="NH70" s="621"/>
      <c r="NI70" s="621"/>
      <c r="NJ70" s="621"/>
      <c r="NK70" s="621"/>
      <c r="NL70" s="621"/>
      <c r="NM70" s="621"/>
      <c r="NN70" s="621"/>
      <c r="NO70" s="621"/>
      <c r="NP70" s="621"/>
      <c r="NQ70" s="621"/>
      <c r="NR70" s="621"/>
      <c r="NS70" s="621"/>
      <c r="NT70" s="621"/>
      <c r="NU70" s="621"/>
      <c r="NV70" s="621"/>
      <c r="NW70" s="621"/>
      <c r="NX70" s="621"/>
      <c r="NY70" s="621"/>
      <c r="NZ70" s="621"/>
      <c r="OA70" s="621"/>
      <c r="OB70" s="621"/>
      <c r="OC70" s="621"/>
      <c r="OD70" s="621"/>
      <c r="OE70" s="621"/>
      <c r="OF70" s="621"/>
      <c r="OG70" s="621"/>
      <c r="OH70" s="621"/>
      <c r="OI70" s="621"/>
      <c r="OJ70" s="621"/>
      <c r="OK70" s="621"/>
      <c r="OL70" s="621"/>
      <c r="OM70" s="621"/>
      <c r="ON70" s="621"/>
      <c r="OO70" s="621"/>
      <c r="OP70" s="621"/>
      <c r="OQ70" s="621"/>
      <c r="OR70" s="621"/>
      <c r="OS70" s="621"/>
      <c r="OT70" s="621"/>
      <c r="OU70" s="621"/>
      <c r="OV70" s="621"/>
      <c r="OW70" s="621"/>
      <c r="OX70" s="621"/>
      <c r="OY70" s="621"/>
      <c r="OZ70" s="621"/>
      <c r="PA70" s="621"/>
      <c r="PB70" s="621"/>
      <c r="PC70" s="621"/>
      <c r="PD70" s="621"/>
      <c r="PE70" s="621"/>
      <c r="PF70" s="621"/>
      <c r="PG70" s="621"/>
      <c r="PH70" s="621"/>
      <c r="PI70" s="621"/>
      <c r="PJ70" s="621"/>
      <c r="PK70" s="621"/>
      <c r="PL70" s="621"/>
      <c r="PM70" s="621"/>
      <c r="PN70" s="621"/>
      <c r="PO70" s="621"/>
      <c r="PP70" s="621"/>
      <c r="PQ70" s="621"/>
      <c r="PR70" s="621"/>
      <c r="PS70" s="621"/>
      <c r="PT70" s="621"/>
      <c r="PU70" s="621"/>
      <c r="PV70" s="621"/>
      <c r="PW70" s="621"/>
      <c r="PX70" s="621"/>
      <c r="PY70" s="621"/>
      <c r="PZ70" s="621"/>
      <c r="QA70" s="621"/>
      <c r="QB70" s="621"/>
      <c r="QC70" s="621"/>
      <c r="QD70" s="621"/>
      <c r="QE70" s="621"/>
      <c r="QF70" s="621"/>
      <c r="QG70" s="621"/>
      <c r="QH70" s="621"/>
      <c r="QI70" s="621"/>
      <c r="QJ70" s="621"/>
      <c r="QK70" s="621"/>
      <c r="QL70" s="621"/>
      <c r="QM70" s="621"/>
      <c r="QN70" s="621"/>
      <c r="QO70" s="621"/>
      <c r="QP70" s="621"/>
      <c r="QQ70" s="621"/>
      <c r="QR70" s="621"/>
      <c r="QS70" s="621"/>
      <c r="QT70" s="621"/>
      <c r="QU70" s="621"/>
      <c r="QV70" s="621"/>
      <c r="QW70" s="621"/>
      <c r="QX70" s="621"/>
      <c r="QY70" s="621"/>
      <c r="QZ70" s="621"/>
      <c r="RA70" s="621"/>
      <c r="RB70" s="621"/>
      <c r="RC70" s="621"/>
      <c r="RD70" s="621"/>
      <c r="RE70" s="621"/>
      <c r="RF70" s="621"/>
      <c r="RG70" s="621"/>
      <c r="RH70" s="621"/>
      <c r="RI70" s="621"/>
      <c r="RJ70" s="621"/>
      <c r="RK70" s="621"/>
      <c r="RL70" s="621"/>
      <c r="RM70" s="621"/>
      <c r="RN70" s="621"/>
      <c r="RO70" s="621"/>
      <c r="RP70" s="621"/>
      <c r="RQ70" s="621"/>
      <c r="RR70" s="621"/>
      <c r="RS70" s="621"/>
      <c r="RT70" s="621"/>
      <c r="RU70" s="621"/>
      <c r="RV70" s="621"/>
      <c r="RW70" s="621"/>
      <c r="RX70" s="621"/>
      <c r="RY70" s="621"/>
      <c r="RZ70" s="621"/>
      <c r="SA70" s="621"/>
      <c r="SB70" s="621"/>
      <c r="SC70" s="621"/>
      <c r="SD70" s="621"/>
      <c r="SE70" s="621"/>
      <c r="SF70" s="621"/>
      <c r="SG70" s="621"/>
      <c r="SH70" s="621"/>
      <c r="SI70" s="621"/>
      <c r="SJ70" s="621"/>
      <c r="SK70" s="621"/>
      <c r="SL70" s="621"/>
      <c r="SM70" s="621"/>
      <c r="SN70" s="621"/>
      <c r="SO70" s="621"/>
      <c r="SP70" s="621"/>
      <c r="SQ70" s="621"/>
      <c r="SR70" s="621"/>
      <c r="SS70" s="621"/>
      <c r="ST70" s="621"/>
      <c r="SU70" s="621"/>
      <c r="SV70" s="621"/>
      <c r="SW70" s="621"/>
      <c r="SX70" s="621"/>
      <c r="SY70" s="621"/>
      <c r="SZ70" s="621"/>
      <c r="TA70" s="621"/>
      <c r="TB70" s="621"/>
      <c r="TC70" s="621"/>
      <c r="TD70" s="621"/>
      <c r="TE70" s="621"/>
      <c r="TF70" s="621"/>
      <c r="TG70" s="621"/>
      <c r="TH70" s="621"/>
      <c r="TI70" s="621"/>
      <c r="TJ70" s="621"/>
      <c r="TK70" s="621"/>
      <c r="TL70" s="621"/>
      <c r="TM70" s="621"/>
      <c r="TN70" s="621"/>
      <c r="TO70" s="621"/>
      <c r="TP70" s="621"/>
      <c r="TQ70" s="621"/>
      <c r="TR70" s="621"/>
      <c r="TS70" s="621"/>
      <c r="TT70" s="621"/>
      <c r="TU70" s="621"/>
      <c r="TV70" s="621"/>
      <c r="TW70" s="621"/>
      <c r="TX70" s="621"/>
      <c r="TY70" s="621"/>
      <c r="TZ70" s="621"/>
      <c r="UA70" s="621"/>
      <c r="UB70" s="621"/>
      <c r="UC70" s="621"/>
      <c r="UD70" s="621"/>
      <c r="UE70" s="621"/>
      <c r="UF70" s="621"/>
      <c r="UG70" s="621"/>
      <c r="UH70" s="621"/>
      <c r="UI70" s="621"/>
      <c r="UJ70" s="621"/>
      <c r="UK70" s="621"/>
      <c r="UL70" s="621"/>
      <c r="UM70" s="621"/>
      <c r="UN70" s="621"/>
      <c r="UO70" s="621"/>
      <c r="UP70" s="621"/>
      <c r="UQ70" s="621"/>
      <c r="UR70" s="621"/>
      <c r="US70" s="621"/>
      <c r="UT70" s="621"/>
      <c r="UU70" s="621"/>
      <c r="UV70" s="621"/>
      <c r="UW70" s="621"/>
      <c r="UX70" s="621"/>
      <c r="UY70" s="621"/>
      <c r="UZ70" s="621"/>
      <c r="VA70" s="621"/>
      <c r="VB70" s="621"/>
      <c r="VC70" s="621"/>
      <c r="VD70" s="621"/>
      <c r="VE70" s="621"/>
      <c r="VF70" s="621"/>
      <c r="VG70" s="621"/>
      <c r="VH70" s="621"/>
      <c r="VI70" s="621"/>
      <c r="VJ70" s="621"/>
      <c r="VK70" s="621"/>
      <c r="VL70" s="621"/>
      <c r="VM70" s="621"/>
      <c r="VN70" s="621"/>
      <c r="VO70" s="621"/>
      <c r="VP70" s="621"/>
      <c r="VQ70" s="621"/>
      <c r="VR70" s="621"/>
      <c r="VS70" s="621"/>
      <c r="VT70" s="621"/>
      <c r="VU70" s="621"/>
      <c r="VV70" s="621"/>
      <c r="VW70" s="621"/>
      <c r="VX70" s="621"/>
      <c r="VY70" s="621"/>
      <c r="VZ70" s="621"/>
      <c r="WA70" s="621"/>
      <c r="WB70" s="621"/>
      <c r="WC70" s="621"/>
      <c r="WD70" s="621"/>
      <c r="WE70" s="621"/>
      <c r="WF70" s="621"/>
      <c r="WG70" s="621"/>
      <c r="WH70" s="621"/>
      <c r="WI70" s="621"/>
      <c r="WJ70" s="621"/>
      <c r="WK70" s="621"/>
      <c r="WL70" s="621"/>
      <c r="WM70" s="621"/>
      <c r="WN70" s="621"/>
      <c r="WO70" s="621"/>
      <c r="WP70" s="621"/>
      <c r="WQ70" s="621"/>
      <c r="WR70" s="621"/>
      <c r="WS70" s="621"/>
      <c r="WT70" s="621"/>
      <c r="WU70" s="621"/>
      <c r="WV70" s="621"/>
      <c r="WW70" s="621"/>
      <c r="WX70" s="621"/>
      <c r="WY70" s="621"/>
      <c r="WZ70" s="621"/>
      <c r="XA70" s="621"/>
      <c r="XB70" s="621"/>
      <c r="XC70" s="621"/>
      <c r="XD70" s="621"/>
      <c r="XE70" s="621"/>
      <c r="XF70" s="621"/>
      <c r="XG70" s="621"/>
      <c r="XH70" s="621"/>
      <c r="XI70" s="621"/>
      <c r="XJ70" s="621"/>
      <c r="XK70" s="621"/>
      <c r="XL70" s="621"/>
      <c r="XM70" s="621"/>
      <c r="XN70" s="621"/>
      <c r="XO70" s="621"/>
      <c r="XP70" s="621"/>
      <c r="XQ70" s="621"/>
      <c r="XR70" s="621"/>
      <c r="XS70" s="621"/>
      <c r="XT70" s="621"/>
      <c r="XU70" s="621"/>
      <c r="XV70" s="621"/>
      <c r="XW70" s="621"/>
      <c r="XX70" s="621"/>
      <c r="XY70" s="621"/>
      <c r="XZ70" s="621"/>
      <c r="YA70" s="621"/>
      <c r="YB70" s="621"/>
      <c r="YC70" s="621"/>
      <c r="YD70" s="621"/>
      <c r="YE70" s="621"/>
      <c r="YF70" s="621"/>
      <c r="YG70" s="621"/>
      <c r="YH70" s="621"/>
      <c r="YI70" s="621"/>
      <c r="YJ70" s="621"/>
      <c r="YK70" s="621"/>
      <c r="YL70" s="621"/>
      <c r="YM70" s="621"/>
      <c r="YN70" s="621"/>
      <c r="YO70" s="621"/>
      <c r="YP70" s="621"/>
      <c r="YQ70" s="621"/>
      <c r="YR70" s="621"/>
      <c r="YS70" s="621"/>
      <c r="YT70" s="621"/>
      <c r="YU70" s="621"/>
      <c r="YV70" s="621"/>
      <c r="YW70" s="621"/>
      <c r="YX70" s="621"/>
      <c r="YY70" s="621"/>
      <c r="YZ70" s="621"/>
      <c r="ZA70" s="621"/>
      <c r="ZB70" s="621"/>
      <c r="ZC70" s="621"/>
      <c r="ZD70" s="621"/>
      <c r="ZE70" s="621"/>
      <c r="ZF70" s="621"/>
      <c r="ZG70" s="621"/>
      <c r="ZH70" s="621"/>
      <c r="ZI70" s="621"/>
      <c r="ZJ70" s="621"/>
      <c r="ZK70" s="621"/>
      <c r="ZL70" s="621"/>
      <c r="ZM70" s="621"/>
      <c r="ZN70" s="621"/>
      <c r="ZO70" s="621"/>
      <c r="ZP70" s="621"/>
      <c r="ZQ70" s="621"/>
      <c r="ZR70" s="621"/>
      <c r="ZS70" s="621"/>
      <c r="ZT70" s="621"/>
      <c r="ZU70" s="621"/>
      <c r="ZV70" s="621"/>
      <c r="ZW70" s="621"/>
      <c r="ZX70" s="621"/>
      <c r="ZY70" s="621"/>
      <c r="ZZ70" s="621"/>
      <c r="AAA70" s="621"/>
      <c r="AAB70" s="621"/>
      <c r="AAC70" s="621"/>
      <c r="AAD70" s="621"/>
      <c r="AAE70" s="621"/>
      <c r="AAF70" s="621"/>
      <c r="AAG70" s="621"/>
      <c r="AAH70" s="621"/>
      <c r="AAI70" s="621"/>
      <c r="AAJ70" s="621"/>
      <c r="AAK70" s="621"/>
      <c r="AAL70" s="621"/>
      <c r="AAM70" s="621"/>
      <c r="AAN70" s="621"/>
      <c r="AAO70" s="621"/>
      <c r="AAP70" s="621"/>
      <c r="AAQ70" s="621"/>
      <c r="AAR70" s="621"/>
      <c r="AAS70" s="621"/>
      <c r="AAT70" s="621"/>
      <c r="AAU70" s="621"/>
      <c r="AAV70" s="621"/>
      <c r="AAW70" s="621"/>
      <c r="AAX70" s="621"/>
      <c r="AAY70" s="621"/>
      <c r="AAZ70" s="621"/>
      <c r="ABA70" s="621"/>
      <c r="ABB70" s="621"/>
      <c r="ABC70" s="621"/>
      <c r="ABD70" s="621"/>
      <c r="ABE70" s="621"/>
      <c r="ABF70" s="621"/>
      <c r="ABG70" s="621"/>
      <c r="ABH70" s="621"/>
      <c r="ABI70" s="621"/>
      <c r="ABJ70" s="621"/>
      <c r="ABK70" s="621"/>
      <c r="ABL70" s="621"/>
      <c r="ABM70" s="621"/>
      <c r="ABN70" s="621"/>
      <c r="ABO70" s="621"/>
      <c r="ABP70" s="621"/>
      <c r="ABQ70" s="621"/>
      <c r="ABR70" s="621"/>
      <c r="ABS70" s="621"/>
      <c r="ABT70" s="621"/>
      <c r="ABU70" s="621"/>
      <c r="ABV70" s="621"/>
      <c r="ABW70" s="621"/>
      <c r="ABX70" s="621"/>
      <c r="ABY70" s="621"/>
      <c r="ABZ70" s="621"/>
      <c r="ACA70" s="621"/>
      <c r="ACB70" s="621"/>
      <c r="ACC70" s="621"/>
      <c r="ACD70" s="621"/>
      <c r="ACE70" s="621"/>
      <c r="ACF70" s="621"/>
      <c r="ACG70" s="621"/>
      <c r="ACH70" s="621"/>
      <c r="ACI70" s="621"/>
      <c r="ACJ70" s="621"/>
      <c r="ACK70" s="621"/>
      <c r="ACL70" s="621"/>
      <c r="ACM70" s="621"/>
      <c r="ACN70" s="621"/>
      <c r="ACO70" s="621"/>
      <c r="ACP70" s="621"/>
      <c r="ACQ70" s="621"/>
      <c r="ACR70" s="621"/>
      <c r="ACS70" s="621"/>
      <c r="ACT70" s="621"/>
      <c r="ACU70" s="621"/>
      <c r="ACV70" s="621"/>
      <c r="ACW70" s="621"/>
      <c r="ACX70" s="621"/>
      <c r="ACY70" s="621"/>
      <c r="ACZ70" s="621"/>
      <c r="ADA70" s="621"/>
      <c r="ADB70" s="621"/>
      <c r="ADC70" s="621"/>
      <c r="ADD70" s="621"/>
      <c r="ADE70" s="621"/>
      <c r="ADF70" s="621"/>
      <c r="ADG70" s="621"/>
      <c r="ADH70" s="621"/>
      <c r="ADI70" s="621"/>
      <c r="ADJ70" s="621"/>
      <c r="ADK70" s="621"/>
      <c r="ADL70" s="621"/>
      <c r="ADM70" s="621"/>
      <c r="ADN70" s="621"/>
      <c r="ADO70" s="621"/>
      <c r="ADP70" s="621"/>
      <c r="ADQ70" s="621"/>
      <c r="ADR70" s="621"/>
      <c r="ADS70" s="621"/>
      <c r="ADT70" s="621"/>
      <c r="ADU70" s="621"/>
      <c r="ADV70" s="621"/>
      <c r="ADW70" s="621"/>
      <c r="ADX70" s="621"/>
      <c r="ADY70" s="621"/>
      <c r="ADZ70" s="621"/>
      <c r="AEA70" s="621"/>
      <c r="AEB70" s="621"/>
      <c r="AEC70" s="621"/>
      <c r="AED70" s="621"/>
      <c r="AEE70" s="621"/>
      <c r="AEF70" s="621"/>
      <c r="AEG70" s="621"/>
      <c r="AEH70" s="621"/>
      <c r="AEI70" s="621"/>
      <c r="AEJ70" s="621"/>
      <c r="AEK70" s="621"/>
      <c r="AEL70" s="621"/>
      <c r="AEM70" s="621"/>
      <c r="AEN70" s="621"/>
      <c r="AEO70" s="621"/>
      <c r="AEP70" s="621"/>
      <c r="AEQ70" s="621"/>
      <c r="AER70" s="621"/>
      <c r="AES70" s="621"/>
      <c r="AET70" s="621"/>
      <c r="AEU70" s="621"/>
      <c r="AEV70" s="621"/>
      <c r="AEW70" s="621"/>
      <c r="AEX70" s="621"/>
      <c r="AEY70" s="621"/>
      <c r="AEZ70" s="621"/>
      <c r="AFA70" s="621"/>
      <c r="AFB70" s="621"/>
      <c r="AFC70" s="621"/>
      <c r="AFD70" s="621"/>
      <c r="AFE70" s="621"/>
      <c r="AFF70" s="621"/>
      <c r="AFG70" s="621"/>
      <c r="AFH70" s="621"/>
      <c r="AFI70" s="621"/>
      <c r="AFJ70" s="621"/>
      <c r="AFK70" s="621"/>
      <c r="AFL70" s="621"/>
      <c r="AFM70" s="621"/>
      <c r="AFN70" s="621"/>
      <c r="AFO70" s="621"/>
      <c r="AFP70" s="621"/>
      <c r="AFQ70" s="621"/>
      <c r="AFR70" s="621"/>
      <c r="AFS70" s="621"/>
      <c r="AFT70" s="621"/>
      <c r="AFU70" s="621"/>
      <c r="AFV70" s="621"/>
      <c r="AFW70" s="621"/>
      <c r="AFX70" s="621"/>
      <c r="AFY70" s="621"/>
      <c r="AFZ70" s="621"/>
      <c r="AGA70" s="621"/>
      <c r="AGB70" s="621"/>
      <c r="AGC70" s="621"/>
      <c r="AGD70" s="621"/>
      <c r="AGE70" s="621"/>
      <c r="AGF70" s="621"/>
      <c r="AGG70" s="621"/>
      <c r="AGH70" s="621"/>
      <c r="AGI70" s="621"/>
      <c r="AGJ70" s="621"/>
      <c r="AGK70" s="621"/>
      <c r="AGL70" s="621"/>
      <c r="AGM70" s="621"/>
      <c r="AGN70" s="621"/>
      <c r="AGO70" s="621"/>
      <c r="AGP70" s="621"/>
      <c r="AGQ70" s="621"/>
      <c r="AGR70" s="621"/>
      <c r="AGS70" s="621"/>
      <c r="AGT70" s="621"/>
      <c r="AGU70" s="621"/>
      <c r="AGV70" s="621"/>
      <c r="AGW70" s="621"/>
      <c r="AGX70" s="621"/>
      <c r="AGY70" s="621"/>
      <c r="AGZ70" s="621"/>
      <c r="AHA70" s="621"/>
      <c r="AHB70" s="621"/>
      <c r="AHC70" s="621"/>
      <c r="AHD70" s="621"/>
      <c r="AHE70" s="621"/>
      <c r="AHF70" s="621"/>
      <c r="AHG70" s="621"/>
      <c r="AHH70" s="621"/>
      <c r="AHI70" s="621"/>
      <c r="AHJ70" s="621"/>
      <c r="AHK70" s="621"/>
      <c r="AHL70" s="621"/>
      <c r="AHM70" s="621"/>
      <c r="AHN70" s="621"/>
      <c r="AHO70" s="621"/>
      <c r="AHP70" s="621"/>
      <c r="AHQ70" s="621"/>
      <c r="AHR70" s="621"/>
      <c r="AHS70" s="621"/>
      <c r="AHT70" s="621"/>
      <c r="AHU70" s="621"/>
      <c r="AHV70" s="621"/>
      <c r="AHW70" s="621"/>
      <c r="AHX70" s="621"/>
      <c r="AHY70" s="621"/>
      <c r="AHZ70" s="621"/>
      <c r="AIA70" s="621"/>
      <c r="AIB70" s="621"/>
      <c r="AIC70" s="621"/>
      <c r="AID70" s="621"/>
      <c r="AIE70" s="621"/>
      <c r="AIF70" s="621"/>
      <c r="AIG70" s="621"/>
      <c r="AIH70" s="621"/>
      <c r="AII70" s="621"/>
      <c r="AIJ70" s="621"/>
      <c r="AIK70" s="621"/>
      <c r="AIL70" s="621"/>
      <c r="AIM70" s="621"/>
      <c r="AIN70" s="621"/>
      <c r="AIO70" s="621"/>
      <c r="AIP70" s="621"/>
      <c r="AIQ70" s="621"/>
      <c r="AIR70" s="621"/>
      <c r="AIS70" s="621"/>
      <c r="AIT70" s="621"/>
      <c r="AIU70" s="621"/>
      <c r="AIV70" s="621"/>
      <c r="AIW70" s="621"/>
      <c r="AIX70" s="621"/>
      <c r="AIY70" s="621"/>
      <c r="AIZ70" s="621"/>
      <c r="AJA70" s="621"/>
      <c r="AJB70" s="621"/>
      <c r="AJC70" s="621"/>
      <c r="AJD70" s="621"/>
      <c r="AJE70" s="621"/>
      <c r="AJF70" s="621"/>
      <c r="AJG70" s="621"/>
      <c r="AJH70" s="621"/>
      <c r="AJI70" s="621"/>
      <c r="AJJ70" s="621"/>
      <c r="AJK70" s="621"/>
      <c r="AJL70" s="621"/>
      <c r="AJM70" s="621"/>
      <c r="AJN70" s="621"/>
      <c r="AJO70" s="621"/>
      <c r="AJP70" s="621"/>
      <c r="AJQ70" s="621"/>
      <c r="AJR70" s="621"/>
      <c r="AJS70" s="621"/>
      <c r="AJT70" s="621"/>
      <c r="AJU70" s="621"/>
      <c r="AJV70" s="621"/>
      <c r="AJW70" s="621"/>
      <c r="AJX70" s="621"/>
      <c r="AJY70" s="621"/>
      <c r="AJZ70" s="621"/>
      <c r="AKA70" s="621"/>
      <c r="AKB70" s="621"/>
      <c r="AKC70" s="621"/>
      <c r="AKD70" s="621"/>
      <c r="AKE70" s="621"/>
      <c r="AKF70" s="621"/>
      <c r="AKG70" s="621"/>
      <c r="AKH70" s="621"/>
      <c r="AKI70" s="621"/>
      <c r="AKJ70" s="621"/>
      <c r="AKK70" s="621"/>
      <c r="AKL70" s="621"/>
      <c r="AKM70" s="621"/>
      <c r="AKN70" s="621"/>
      <c r="AKO70" s="621"/>
      <c r="AKP70" s="621"/>
      <c r="AKQ70" s="621"/>
      <c r="AKR70" s="621"/>
      <c r="AKS70" s="621"/>
      <c r="AKT70" s="621"/>
      <c r="AKU70" s="621"/>
      <c r="AKV70" s="621"/>
      <c r="AKW70" s="621"/>
      <c r="AKX70" s="621"/>
      <c r="AKY70" s="621"/>
      <c r="AKZ70" s="621"/>
      <c r="ALA70" s="621"/>
      <c r="ALB70" s="621"/>
      <c r="ALC70" s="621"/>
      <c r="ALD70" s="621"/>
      <c r="ALE70" s="621"/>
      <c r="ALF70" s="621"/>
      <c r="ALG70" s="621"/>
      <c r="ALH70" s="621"/>
      <c r="ALI70" s="621"/>
      <c r="ALJ70" s="621"/>
      <c r="ALK70" s="621"/>
      <c r="ALL70" s="621"/>
      <c r="ALM70" s="621"/>
      <c r="ALN70" s="621"/>
      <c r="ALO70" s="621"/>
      <c r="ALP70" s="621"/>
      <c r="ALQ70" s="621"/>
      <c r="ALR70" s="621"/>
      <c r="ALS70" s="621"/>
      <c r="ALT70" s="621"/>
      <c r="ALU70" s="621"/>
      <c r="ALV70" s="621"/>
      <c r="ALW70" s="621"/>
      <c r="ALX70" s="621"/>
      <c r="ALY70" s="621"/>
      <c r="ALZ70" s="621"/>
      <c r="AMA70" s="621"/>
      <c r="AMB70" s="621"/>
      <c r="AMC70" s="621"/>
      <c r="AMD70" s="621"/>
      <c r="AME70" s="621"/>
      <c r="AMF70" s="621"/>
      <c r="AMG70" s="621"/>
      <c r="AMH70" s="621"/>
      <c r="AMI70" s="621"/>
      <c r="AMJ70" s="621"/>
      <c r="AMK70" s="621"/>
    </row>
    <row r="71" spans="1:1025" ht="27.75" customHeight="1">
      <c r="A71" s="460"/>
      <c r="B71" s="448" t="s">
        <v>778</v>
      </c>
      <c r="C71" s="461">
        <f>D71*1.1</f>
        <v>1954.15</v>
      </c>
      <c r="D71" s="423">
        <v>1776.5</v>
      </c>
      <c r="E71" s="1554"/>
      <c r="F71" s="1554"/>
      <c r="G71" s="392"/>
      <c r="H71" s="429"/>
      <c r="I71" s="1497"/>
      <c r="J71" s="1495">
        <v>811</v>
      </c>
      <c r="K71" s="594">
        <f>+D71-J71</f>
        <v>965.5</v>
      </c>
      <c r="L71" s="413"/>
      <c r="M71" s="1495"/>
      <c r="N71" s="272"/>
      <c r="O71" s="272"/>
      <c r="P71" s="272"/>
      <c r="AE71" s="1471"/>
      <c r="AF71" s="1493"/>
      <c r="AG71" s="1494"/>
      <c r="AH71" s="1494"/>
      <c r="AI71" s="1494"/>
      <c r="AJ71" s="1494"/>
      <c r="AK71" s="1494"/>
      <c r="AL71" s="1494"/>
      <c r="AM71" s="1475">
        <f t="shared" ref="AM71:AM76" si="15">AL71*9.55</f>
        <v>0</v>
      </c>
      <c r="AN71" s="1493"/>
      <c r="AO71" s="1475"/>
      <c r="AP71" s="289"/>
      <c r="AU71" s="621"/>
      <c r="AV71" s="621"/>
      <c r="AW71" s="621"/>
      <c r="AX71" s="621"/>
      <c r="AY71" s="621"/>
      <c r="AZ71" s="621"/>
      <c r="BA71" s="621"/>
      <c r="BB71" s="621"/>
      <c r="BC71" s="621"/>
      <c r="BD71" s="621"/>
      <c r="BE71" s="621"/>
      <c r="BF71" s="621"/>
      <c r="BG71" s="621"/>
      <c r="BH71" s="621"/>
      <c r="BI71" s="621"/>
      <c r="BJ71" s="621"/>
      <c r="BK71" s="621"/>
      <c r="BL71" s="621"/>
      <c r="BM71" s="621"/>
      <c r="BN71" s="621"/>
      <c r="BO71" s="621"/>
      <c r="BP71" s="621"/>
      <c r="BQ71" s="621"/>
      <c r="BR71" s="621"/>
      <c r="BS71" s="621"/>
      <c r="BT71" s="621"/>
      <c r="BU71" s="621"/>
      <c r="BV71" s="621"/>
      <c r="BW71" s="621"/>
      <c r="BX71" s="621"/>
      <c r="BY71" s="621"/>
      <c r="BZ71" s="621"/>
      <c r="CA71" s="621"/>
      <c r="CB71" s="621"/>
      <c r="CC71" s="621"/>
      <c r="CD71" s="621"/>
      <c r="CE71" s="621"/>
      <c r="CF71" s="621"/>
      <c r="CG71" s="621"/>
      <c r="CH71" s="621"/>
      <c r="CI71" s="621"/>
      <c r="CJ71" s="621"/>
      <c r="CK71" s="621"/>
      <c r="CL71" s="621"/>
      <c r="CM71" s="621"/>
      <c r="CN71" s="621"/>
      <c r="CO71" s="621"/>
      <c r="CP71" s="621"/>
      <c r="CQ71" s="621"/>
      <c r="CR71" s="621"/>
      <c r="CS71" s="621"/>
      <c r="CT71" s="621"/>
      <c r="CU71" s="621"/>
      <c r="CV71" s="621"/>
      <c r="CW71" s="621"/>
      <c r="CX71" s="621"/>
      <c r="CY71" s="621"/>
      <c r="CZ71" s="621"/>
      <c r="DA71" s="621"/>
      <c r="DB71" s="621"/>
      <c r="DC71" s="621"/>
      <c r="DD71" s="621"/>
      <c r="DE71" s="621"/>
      <c r="DF71" s="621"/>
      <c r="DG71" s="621"/>
      <c r="DH71" s="621"/>
      <c r="DI71" s="621"/>
      <c r="DJ71" s="621"/>
      <c r="DK71" s="621"/>
      <c r="DL71" s="621"/>
      <c r="DM71" s="621"/>
      <c r="DN71" s="621"/>
      <c r="DO71" s="621"/>
      <c r="DP71" s="621"/>
      <c r="DQ71" s="621"/>
      <c r="DR71" s="621"/>
      <c r="DS71" s="621"/>
      <c r="DT71" s="621"/>
      <c r="DU71" s="621"/>
      <c r="DV71" s="621"/>
      <c r="DW71" s="621"/>
      <c r="DX71" s="621"/>
      <c r="DY71" s="621"/>
      <c r="DZ71" s="621"/>
      <c r="EA71" s="621"/>
      <c r="EB71" s="621"/>
      <c r="EC71" s="621"/>
      <c r="ED71" s="621"/>
      <c r="EE71" s="621"/>
      <c r="EF71" s="621"/>
      <c r="EG71" s="621"/>
      <c r="EH71" s="621"/>
      <c r="EI71" s="621"/>
      <c r="EJ71" s="621"/>
      <c r="EK71" s="621"/>
      <c r="EL71" s="621"/>
      <c r="EM71" s="621"/>
      <c r="EN71" s="621"/>
      <c r="EO71" s="621"/>
      <c r="EP71" s="621"/>
      <c r="EQ71" s="621"/>
      <c r="ER71" s="621"/>
      <c r="ES71" s="621"/>
      <c r="ET71" s="621"/>
      <c r="EU71" s="621"/>
      <c r="EV71" s="621"/>
      <c r="EW71" s="621"/>
      <c r="EX71" s="621"/>
      <c r="EY71" s="621"/>
      <c r="EZ71" s="621"/>
      <c r="FA71" s="621"/>
      <c r="FB71" s="621"/>
      <c r="FC71" s="621"/>
      <c r="FD71" s="621"/>
      <c r="FE71" s="621"/>
      <c r="FF71" s="621"/>
      <c r="FG71" s="621"/>
      <c r="FH71" s="621"/>
      <c r="FI71" s="621"/>
      <c r="FJ71" s="621"/>
      <c r="FK71" s="621"/>
      <c r="FL71" s="621"/>
      <c r="FM71" s="621"/>
      <c r="FN71" s="621"/>
      <c r="FO71" s="621"/>
      <c r="FP71" s="621"/>
      <c r="FQ71" s="621"/>
      <c r="FR71" s="621"/>
      <c r="FS71" s="621"/>
      <c r="FT71" s="621"/>
      <c r="FU71" s="621"/>
      <c r="FV71" s="621"/>
      <c r="FW71" s="621"/>
      <c r="FX71" s="621"/>
      <c r="FY71" s="621"/>
      <c r="FZ71" s="621"/>
      <c r="GA71" s="621"/>
      <c r="GB71" s="621"/>
      <c r="GC71" s="621"/>
      <c r="GD71" s="621"/>
      <c r="GE71" s="621"/>
      <c r="GF71" s="621"/>
      <c r="GG71" s="621"/>
      <c r="GH71" s="621"/>
      <c r="GI71" s="621"/>
      <c r="GJ71" s="621"/>
      <c r="GK71" s="621"/>
      <c r="GL71" s="621"/>
      <c r="GM71" s="621"/>
      <c r="GN71" s="621"/>
      <c r="GO71" s="621"/>
      <c r="GP71" s="621"/>
      <c r="GQ71" s="621"/>
      <c r="GR71" s="621"/>
      <c r="GS71" s="621"/>
      <c r="GT71" s="621"/>
      <c r="GU71" s="621"/>
      <c r="GV71" s="621"/>
      <c r="GW71" s="621"/>
      <c r="GX71" s="621"/>
      <c r="GY71" s="621"/>
      <c r="GZ71" s="621"/>
      <c r="HA71" s="621"/>
      <c r="HB71" s="621"/>
      <c r="HC71" s="621"/>
      <c r="HD71" s="621"/>
      <c r="HE71" s="621"/>
      <c r="HF71" s="621"/>
      <c r="HG71" s="621"/>
      <c r="HH71" s="621"/>
      <c r="HI71" s="621"/>
      <c r="HJ71" s="621"/>
      <c r="HK71" s="621"/>
      <c r="HL71" s="621"/>
      <c r="HM71" s="621"/>
      <c r="HN71" s="621"/>
      <c r="HO71" s="621"/>
      <c r="HP71" s="621"/>
      <c r="HQ71" s="621"/>
      <c r="HR71" s="621"/>
      <c r="HS71" s="621"/>
      <c r="HT71" s="621"/>
      <c r="HU71" s="621"/>
      <c r="HV71" s="621"/>
      <c r="HW71" s="621"/>
      <c r="HX71" s="621"/>
      <c r="HY71" s="621"/>
      <c r="HZ71" s="621"/>
      <c r="IA71" s="621"/>
      <c r="IB71" s="621"/>
      <c r="IC71" s="621"/>
      <c r="ID71" s="621"/>
      <c r="IE71" s="621"/>
      <c r="IF71" s="621"/>
      <c r="IG71" s="621"/>
      <c r="IH71" s="621"/>
      <c r="II71" s="621"/>
      <c r="IJ71" s="621"/>
      <c r="IK71" s="621"/>
      <c r="IL71" s="621"/>
      <c r="IM71" s="621"/>
      <c r="IN71" s="621"/>
      <c r="IO71" s="621"/>
      <c r="IP71" s="621"/>
      <c r="IQ71" s="621"/>
      <c r="IR71" s="621"/>
      <c r="IS71" s="621"/>
      <c r="IT71" s="621"/>
      <c r="IU71" s="621"/>
      <c r="IV71" s="621"/>
      <c r="IW71" s="621"/>
      <c r="IX71" s="621"/>
      <c r="IY71" s="621"/>
      <c r="IZ71" s="621"/>
      <c r="JA71" s="621"/>
      <c r="JB71" s="621"/>
      <c r="JC71" s="621"/>
      <c r="JD71" s="621"/>
      <c r="JE71" s="621"/>
      <c r="JF71" s="621"/>
      <c r="JG71" s="621"/>
      <c r="JH71" s="621"/>
      <c r="JI71" s="621"/>
      <c r="JJ71" s="621"/>
      <c r="JK71" s="621"/>
      <c r="JL71" s="621"/>
      <c r="JM71" s="621"/>
      <c r="JN71" s="621"/>
      <c r="JO71" s="621"/>
      <c r="JP71" s="621"/>
      <c r="JQ71" s="621"/>
      <c r="JR71" s="621"/>
      <c r="JS71" s="621"/>
      <c r="JT71" s="621"/>
      <c r="JU71" s="621"/>
      <c r="JV71" s="621"/>
      <c r="JW71" s="621"/>
      <c r="JX71" s="621"/>
      <c r="JY71" s="621"/>
      <c r="JZ71" s="621"/>
      <c r="KA71" s="621"/>
      <c r="KB71" s="621"/>
      <c r="KC71" s="621"/>
      <c r="KD71" s="621"/>
      <c r="KE71" s="621"/>
      <c r="KF71" s="621"/>
      <c r="KG71" s="621"/>
      <c r="KH71" s="621"/>
      <c r="KI71" s="621"/>
      <c r="KJ71" s="621"/>
      <c r="KK71" s="621"/>
      <c r="KL71" s="621"/>
      <c r="KM71" s="621"/>
      <c r="KN71" s="621"/>
      <c r="KO71" s="621"/>
      <c r="KP71" s="621"/>
      <c r="KQ71" s="621"/>
      <c r="KR71" s="621"/>
      <c r="KS71" s="621"/>
      <c r="KT71" s="621"/>
      <c r="KU71" s="621"/>
      <c r="KV71" s="621"/>
      <c r="KW71" s="621"/>
      <c r="KX71" s="621"/>
      <c r="KY71" s="621"/>
      <c r="KZ71" s="621"/>
      <c r="LA71" s="621"/>
      <c r="LB71" s="621"/>
      <c r="LC71" s="621"/>
      <c r="LD71" s="621"/>
      <c r="LE71" s="621"/>
      <c r="LF71" s="621"/>
      <c r="LG71" s="621"/>
      <c r="LH71" s="621"/>
      <c r="LI71" s="621"/>
      <c r="LJ71" s="621"/>
      <c r="LK71" s="621"/>
      <c r="LL71" s="621"/>
      <c r="LM71" s="621"/>
      <c r="LN71" s="621"/>
      <c r="LO71" s="621"/>
      <c r="LP71" s="621"/>
      <c r="LQ71" s="621"/>
      <c r="LR71" s="621"/>
      <c r="LS71" s="621"/>
      <c r="LT71" s="621"/>
      <c r="LU71" s="621"/>
      <c r="LV71" s="621"/>
      <c r="LW71" s="621"/>
      <c r="LX71" s="621"/>
      <c r="LY71" s="621"/>
      <c r="LZ71" s="621"/>
      <c r="MA71" s="621"/>
      <c r="MB71" s="621"/>
      <c r="MC71" s="621"/>
      <c r="MD71" s="621"/>
      <c r="ME71" s="621"/>
      <c r="MF71" s="621"/>
      <c r="MG71" s="621"/>
      <c r="MH71" s="621"/>
      <c r="MI71" s="621"/>
      <c r="MJ71" s="621"/>
      <c r="MK71" s="621"/>
      <c r="ML71" s="621"/>
      <c r="MM71" s="621"/>
      <c r="MN71" s="621"/>
      <c r="MO71" s="621"/>
      <c r="MP71" s="621"/>
      <c r="MQ71" s="621"/>
      <c r="MR71" s="621"/>
      <c r="MS71" s="621"/>
      <c r="MT71" s="621"/>
      <c r="MU71" s="621"/>
      <c r="MV71" s="621"/>
      <c r="MW71" s="621"/>
      <c r="MX71" s="621"/>
      <c r="MY71" s="621"/>
      <c r="MZ71" s="621"/>
      <c r="NA71" s="621"/>
      <c r="NB71" s="621"/>
      <c r="NC71" s="621"/>
      <c r="ND71" s="621"/>
      <c r="NE71" s="621"/>
      <c r="NF71" s="621"/>
      <c r="NG71" s="621"/>
      <c r="NH71" s="621"/>
      <c r="NI71" s="621"/>
      <c r="NJ71" s="621"/>
      <c r="NK71" s="621"/>
      <c r="NL71" s="621"/>
      <c r="NM71" s="621"/>
      <c r="NN71" s="621"/>
      <c r="NO71" s="621"/>
      <c r="NP71" s="621"/>
      <c r="NQ71" s="621"/>
      <c r="NR71" s="621"/>
      <c r="NS71" s="621"/>
      <c r="NT71" s="621"/>
      <c r="NU71" s="621"/>
      <c r="NV71" s="621"/>
      <c r="NW71" s="621"/>
      <c r="NX71" s="621"/>
      <c r="NY71" s="621"/>
      <c r="NZ71" s="621"/>
      <c r="OA71" s="621"/>
      <c r="OB71" s="621"/>
      <c r="OC71" s="621"/>
      <c r="OD71" s="621"/>
      <c r="OE71" s="621"/>
      <c r="OF71" s="621"/>
      <c r="OG71" s="621"/>
      <c r="OH71" s="621"/>
      <c r="OI71" s="621"/>
      <c r="OJ71" s="621"/>
      <c r="OK71" s="621"/>
      <c r="OL71" s="621"/>
      <c r="OM71" s="621"/>
      <c r="ON71" s="621"/>
      <c r="OO71" s="621"/>
      <c r="OP71" s="621"/>
      <c r="OQ71" s="621"/>
      <c r="OR71" s="621"/>
      <c r="OS71" s="621"/>
      <c r="OT71" s="621"/>
      <c r="OU71" s="621"/>
      <c r="OV71" s="621"/>
      <c r="OW71" s="621"/>
      <c r="OX71" s="621"/>
      <c r="OY71" s="621"/>
      <c r="OZ71" s="621"/>
      <c r="PA71" s="621"/>
      <c r="PB71" s="621"/>
      <c r="PC71" s="621"/>
      <c r="PD71" s="621"/>
      <c r="PE71" s="621"/>
      <c r="PF71" s="621"/>
      <c r="PG71" s="621"/>
      <c r="PH71" s="621"/>
      <c r="PI71" s="621"/>
      <c r="PJ71" s="621"/>
      <c r="PK71" s="621"/>
      <c r="PL71" s="621"/>
      <c r="PM71" s="621"/>
      <c r="PN71" s="621"/>
      <c r="PO71" s="621"/>
      <c r="PP71" s="621"/>
      <c r="PQ71" s="621"/>
      <c r="PR71" s="621"/>
      <c r="PS71" s="621"/>
      <c r="PT71" s="621"/>
      <c r="PU71" s="621"/>
      <c r="PV71" s="621"/>
      <c r="PW71" s="621"/>
      <c r="PX71" s="621"/>
      <c r="PY71" s="621"/>
      <c r="PZ71" s="621"/>
      <c r="QA71" s="621"/>
      <c r="QB71" s="621"/>
      <c r="QC71" s="621"/>
      <c r="QD71" s="621"/>
      <c r="QE71" s="621"/>
      <c r="QF71" s="621"/>
      <c r="QG71" s="621"/>
      <c r="QH71" s="621"/>
      <c r="QI71" s="621"/>
      <c r="QJ71" s="621"/>
      <c r="QK71" s="621"/>
      <c r="QL71" s="621"/>
      <c r="QM71" s="621"/>
      <c r="QN71" s="621"/>
      <c r="QO71" s="621"/>
      <c r="QP71" s="621"/>
      <c r="QQ71" s="621"/>
      <c r="QR71" s="621"/>
      <c r="QS71" s="621"/>
      <c r="QT71" s="621"/>
      <c r="QU71" s="621"/>
      <c r="QV71" s="621"/>
      <c r="QW71" s="621"/>
      <c r="QX71" s="621"/>
      <c r="QY71" s="621"/>
      <c r="QZ71" s="621"/>
      <c r="RA71" s="621"/>
      <c r="RB71" s="621"/>
      <c r="RC71" s="621"/>
      <c r="RD71" s="621"/>
      <c r="RE71" s="621"/>
      <c r="RF71" s="621"/>
      <c r="RG71" s="621"/>
      <c r="RH71" s="621"/>
      <c r="RI71" s="621"/>
      <c r="RJ71" s="621"/>
      <c r="RK71" s="621"/>
      <c r="RL71" s="621"/>
      <c r="RM71" s="621"/>
      <c r="RN71" s="621"/>
      <c r="RO71" s="621"/>
      <c r="RP71" s="621"/>
      <c r="RQ71" s="621"/>
      <c r="RR71" s="621"/>
      <c r="RS71" s="621"/>
      <c r="RT71" s="621"/>
      <c r="RU71" s="621"/>
      <c r="RV71" s="621"/>
      <c r="RW71" s="621"/>
      <c r="RX71" s="621"/>
      <c r="RY71" s="621"/>
      <c r="RZ71" s="621"/>
      <c r="SA71" s="621"/>
      <c r="SB71" s="621"/>
      <c r="SC71" s="621"/>
      <c r="SD71" s="621"/>
      <c r="SE71" s="621"/>
      <c r="SF71" s="621"/>
      <c r="SG71" s="621"/>
      <c r="SH71" s="621"/>
      <c r="SI71" s="621"/>
      <c r="SJ71" s="621"/>
      <c r="SK71" s="621"/>
      <c r="SL71" s="621"/>
      <c r="SM71" s="621"/>
      <c r="SN71" s="621"/>
      <c r="SO71" s="621"/>
      <c r="SP71" s="621"/>
      <c r="SQ71" s="621"/>
      <c r="SR71" s="621"/>
      <c r="SS71" s="621"/>
      <c r="ST71" s="621"/>
      <c r="SU71" s="621"/>
      <c r="SV71" s="621"/>
      <c r="SW71" s="621"/>
      <c r="SX71" s="621"/>
      <c r="SY71" s="621"/>
      <c r="SZ71" s="621"/>
      <c r="TA71" s="621"/>
      <c r="TB71" s="621"/>
      <c r="TC71" s="621"/>
      <c r="TD71" s="621"/>
      <c r="TE71" s="621"/>
      <c r="TF71" s="621"/>
      <c r="TG71" s="621"/>
      <c r="TH71" s="621"/>
      <c r="TI71" s="621"/>
      <c r="TJ71" s="621"/>
      <c r="TK71" s="621"/>
      <c r="TL71" s="621"/>
      <c r="TM71" s="621"/>
      <c r="TN71" s="621"/>
      <c r="TO71" s="621"/>
      <c r="TP71" s="621"/>
      <c r="TQ71" s="621"/>
      <c r="TR71" s="621"/>
      <c r="TS71" s="621"/>
      <c r="TT71" s="621"/>
      <c r="TU71" s="621"/>
      <c r="TV71" s="621"/>
      <c r="TW71" s="621"/>
      <c r="TX71" s="621"/>
      <c r="TY71" s="621"/>
      <c r="TZ71" s="621"/>
      <c r="UA71" s="621"/>
      <c r="UB71" s="621"/>
      <c r="UC71" s="621"/>
      <c r="UD71" s="621"/>
      <c r="UE71" s="621"/>
      <c r="UF71" s="621"/>
      <c r="UG71" s="621"/>
      <c r="UH71" s="621"/>
      <c r="UI71" s="621"/>
      <c r="UJ71" s="621"/>
      <c r="UK71" s="621"/>
      <c r="UL71" s="621"/>
      <c r="UM71" s="621"/>
      <c r="UN71" s="621"/>
      <c r="UO71" s="621"/>
      <c r="UP71" s="621"/>
      <c r="UQ71" s="621"/>
      <c r="UR71" s="621"/>
      <c r="US71" s="621"/>
      <c r="UT71" s="621"/>
      <c r="UU71" s="621"/>
      <c r="UV71" s="621"/>
      <c r="UW71" s="621"/>
      <c r="UX71" s="621"/>
      <c r="UY71" s="621"/>
      <c r="UZ71" s="621"/>
      <c r="VA71" s="621"/>
      <c r="VB71" s="621"/>
      <c r="VC71" s="621"/>
      <c r="VD71" s="621"/>
      <c r="VE71" s="621"/>
      <c r="VF71" s="621"/>
      <c r="VG71" s="621"/>
      <c r="VH71" s="621"/>
      <c r="VI71" s="621"/>
      <c r="VJ71" s="621"/>
      <c r="VK71" s="621"/>
      <c r="VL71" s="621"/>
      <c r="VM71" s="621"/>
      <c r="VN71" s="621"/>
      <c r="VO71" s="621"/>
      <c r="VP71" s="621"/>
      <c r="VQ71" s="621"/>
      <c r="VR71" s="621"/>
      <c r="VS71" s="621"/>
      <c r="VT71" s="621"/>
      <c r="VU71" s="621"/>
      <c r="VV71" s="621"/>
      <c r="VW71" s="621"/>
      <c r="VX71" s="621"/>
      <c r="VY71" s="621"/>
      <c r="VZ71" s="621"/>
      <c r="WA71" s="621"/>
      <c r="WB71" s="621"/>
      <c r="WC71" s="621"/>
      <c r="WD71" s="621"/>
      <c r="WE71" s="621"/>
      <c r="WF71" s="621"/>
      <c r="WG71" s="621"/>
      <c r="WH71" s="621"/>
      <c r="WI71" s="621"/>
      <c r="WJ71" s="621"/>
      <c r="WK71" s="621"/>
      <c r="WL71" s="621"/>
      <c r="WM71" s="621"/>
      <c r="WN71" s="621"/>
      <c r="WO71" s="621"/>
      <c r="WP71" s="621"/>
      <c r="WQ71" s="621"/>
      <c r="WR71" s="621"/>
      <c r="WS71" s="621"/>
      <c r="WT71" s="621"/>
      <c r="WU71" s="621"/>
      <c r="WV71" s="621"/>
      <c r="WW71" s="621"/>
      <c r="WX71" s="621"/>
      <c r="WY71" s="621"/>
      <c r="WZ71" s="621"/>
      <c r="XA71" s="621"/>
      <c r="XB71" s="621"/>
      <c r="XC71" s="621"/>
      <c r="XD71" s="621"/>
      <c r="XE71" s="621"/>
      <c r="XF71" s="621"/>
      <c r="XG71" s="621"/>
      <c r="XH71" s="621"/>
      <c r="XI71" s="621"/>
      <c r="XJ71" s="621"/>
      <c r="XK71" s="621"/>
      <c r="XL71" s="621"/>
      <c r="XM71" s="621"/>
      <c r="XN71" s="621"/>
      <c r="XO71" s="621"/>
      <c r="XP71" s="621"/>
      <c r="XQ71" s="621"/>
      <c r="XR71" s="621"/>
      <c r="XS71" s="621"/>
      <c r="XT71" s="621"/>
      <c r="XU71" s="621"/>
      <c r="XV71" s="621"/>
      <c r="XW71" s="621"/>
      <c r="XX71" s="621"/>
      <c r="XY71" s="621"/>
      <c r="XZ71" s="621"/>
      <c r="YA71" s="621"/>
      <c r="YB71" s="621"/>
      <c r="YC71" s="621"/>
      <c r="YD71" s="621"/>
      <c r="YE71" s="621"/>
      <c r="YF71" s="621"/>
      <c r="YG71" s="621"/>
      <c r="YH71" s="621"/>
      <c r="YI71" s="621"/>
      <c r="YJ71" s="621"/>
      <c r="YK71" s="621"/>
      <c r="YL71" s="621"/>
      <c r="YM71" s="621"/>
      <c r="YN71" s="621"/>
      <c r="YO71" s="621"/>
      <c r="YP71" s="621"/>
      <c r="YQ71" s="621"/>
      <c r="YR71" s="621"/>
      <c r="YS71" s="621"/>
      <c r="YT71" s="621"/>
      <c r="YU71" s="621"/>
      <c r="YV71" s="621"/>
      <c r="YW71" s="621"/>
      <c r="YX71" s="621"/>
      <c r="YY71" s="621"/>
      <c r="YZ71" s="621"/>
      <c r="ZA71" s="621"/>
      <c r="ZB71" s="621"/>
      <c r="ZC71" s="621"/>
      <c r="ZD71" s="621"/>
      <c r="ZE71" s="621"/>
      <c r="ZF71" s="621"/>
      <c r="ZG71" s="621"/>
      <c r="ZH71" s="621"/>
      <c r="ZI71" s="621"/>
      <c r="ZJ71" s="621"/>
      <c r="ZK71" s="621"/>
      <c r="ZL71" s="621"/>
      <c r="ZM71" s="621"/>
      <c r="ZN71" s="621"/>
      <c r="ZO71" s="621"/>
      <c r="ZP71" s="621"/>
      <c r="ZQ71" s="621"/>
      <c r="ZR71" s="621"/>
      <c r="ZS71" s="621"/>
      <c r="ZT71" s="621"/>
      <c r="ZU71" s="621"/>
      <c r="ZV71" s="621"/>
      <c r="ZW71" s="621"/>
      <c r="ZX71" s="621"/>
      <c r="ZY71" s="621"/>
      <c r="ZZ71" s="621"/>
      <c r="AAA71" s="621"/>
      <c r="AAB71" s="621"/>
      <c r="AAC71" s="621"/>
      <c r="AAD71" s="621"/>
      <c r="AAE71" s="621"/>
      <c r="AAF71" s="621"/>
      <c r="AAG71" s="621"/>
      <c r="AAH71" s="621"/>
      <c r="AAI71" s="621"/>
      <c r="AAJ71" s="621"/>
      <c r="AAK71" s="621"/>
      <c r="AAL71" s="621"/>
      <c r="AAM71" s="621"/>
      <c r="AAN71" s="621"/>
      <c r="AAO71" s="621"/>
      <c r="AAP71" s="621"/>
      <c r="AAQ71" s="621"/>
      <c r="AAR71" s="621"/>
      <c r="AAS71" s="621"/>
      <c r="AAT71" s="621"/>
      <c r="AAU71" s="621"/>
      <c r="AAV71" s="621"/>
      <c r="AAW71" s="621"/>
      <c r="AAX71" s="621"/>
      <c r="AAY71" s="621"/>
      <c r="AAZ71" s="621"/>
      <c r="ABA71" s="621"/>
      <c r="ABB71" s="621"/>
      <c r="ABC71" s="621"/>
      <c r="ABD71" s="621"/>
      <c r="ABE71" s="621"/>
      <c r="ABF71" s="621"/>
      <c r="ABG71" s="621"/>
      <c r="ABH71" s="621"/>
      <c r="ABI71" s="621"/>
      <c r="ABJ71" s="621"/>
      <c r="ABK71" s="621"/>
      <c r="ABL71" s="621"/>
      <c r="ABM71" s="621"/>
      <c r="ABN71" s="621"/>
      <c r="ABO71" s="621"/>
      <c r="ABP71" s="621"/>
      <c r="ABQ71" s="621"/>
      <c r="ABR71" s="621"/>
      <c r="ABS71" s="621"/>
      <c r="ABT71" s="621"/>
      <c r="ABU71" s="621"/>
      <c r="ABV71" s="621"/>
      <c r="ABW71" s="621"/>
      <c r="ABX71" s="621"/>
      <c r="ABY71" s="621"/>
      <c r="ABZ71" s="621"/>
      <c r="ACA71" s="621"/>
      <c r="ACB71" s="621"/>
      <c r="ACC71" s="621"/>
      <c r="ACD71" s="621"/>
      <c r="ACE71" s="621"/>
      <c r="ACF71" s="621"/>
      <c r="ACG71" s="621"/>
      <c r="ACH71" s="621"/>
      <c r="ACI71" s="621"/>
      <c r="ACJ71" s="621"/>
      <c r="ACK71" s="621"/>
      <c r="ACL71" s="621"/>
      <c r="ACM71" s="621"/>
      <c r="ACN71" s="621"/>
      <c r="ACO71" s="621"/>
      <c r="ACP71" s="621"/>
      <c r="ACQ71" s="621"/>
      <c r="ACR71" s="621"/>
      <c r="ACS71" s="621"/>
      <c r="ACT71" s="621"/>
      <c r="ACU71" s="621"/>
      <c r="ACV71" s="621"/>
      <c r="ACW71" s="621"/>
      <c r="ACX71" s="621"/>
      <c r="ACY71" s="621"/>
      <c r="ACZ71" s="621"/>
      <c r="ADA71" s="621"/>
      <c r="ADB71" s="621"/>
      <c r="ADC71" s="621"/>
      <c r="ADD71" s="621"/>
      <c r="ADE71" s="621"/>
      <c r="ADF71" s="621"/>
      <c r="ADG71" s="621"/>
      <c r="ADH71" s="621"/>
      <c r="ADI71" s="621"/>
      <c r="ADJ71" s="621"/>
      <c r="ADK71" s="621"/>
      <c r="ADL71" s="621"/>
      <c r="ADM71" s="621"/>
      <c r="ADN71" s="621"/>
      <c r="ADO71" s="621"/>
      <c r="ADP71" s="621"/>
      <c r="ADQ71" s="621"/>
      <c r="ADR71" s="621"/>
      <c r="ADS71" s="621"/>
      <c r="ADT71" s="621"/>
      <c r="ADU71" s="621"/>
      <c r="ADV71" s="621"/>
      <c r="ADW71" s="621"/>
      <c r="ADX71" s="621"/>
      <c r="ADY71" s="621"/>
      <c r="ADZ71" s="621"/>
      <c r="AEA71" s="621"/>
      <c r="AEB71" s="621"/>
      <c r="AEC71" s="621"/>
      <c r="AED71" s="621"/>
      <c r="AEE71" s="621"/>
      <c r="AEF71" s="621"/>
      <c r="AEG71" s="621"/>
      <c r="AEH71" s="621"/>
      <c r="AEI71" s="621"/>
      <c r="AEJ71" s="621"/>
      <c r="AEK71" s="621"/>
      <c r="AEL71" s="621"/>
      <c r="AEM71" s="621"/>
      <c r="AEN71" s="621"/>
      <c r="AEO71" s="621"/>
      <c r="AEP71" s="621"/>
      <c r="AEQ71" s="621"/>
      <c r="AER71" s="621"/>
      <c r="AES71" s="621"/>
      <c r="AET71" s="621"/>
      <c r="AEU71" s="621"/>
      <c r="AEV71" s="621"/>
      <c r="AEW71" s="621"/>
      <c r="AEX71" s="621"/>
      <c r="AEY71" s="621"/>
      <c r="AEZ71" s="621"/>
      <c r="AFA71" s="621"/>
      <c r="AFB71" s="621"/>
      <c r="AFC71" s="621"/>
      <c r="AFD71" s="621"/>
      <c r="AFE71" s="621"/>
      <c r="AFF71" s="621"/>
      <c r="AFG71" s="621"/>
      <c r="AFH71" s="621"/>
      <c r="AFI71" s="621"/>
      <c r="AFJ71" s="621"/>
      <c r="AFK71" s="621"/>
      <c r="AFL71" s="621"/>
      <c r="AFM71" s="621"/>
      <c r="AFN71" s="621"/>
      <c r="AFO71" s="621"/>
      <c r="AFP71" s="621"/>
      <c r="AFQ71" s="621"/>
      <c r="AFR71" s="621"/>
      <c r="AFS71" s="621"/>
      <c r="AFT71" s="621"/>
      <c r="AFU71" s="621"/>
      <c r="AFV71" s="621"/>
      <c r="AFW71" s="621"/>
      <c r="AFX71" s="621"/>
      <c r="AFY71" s="621"/>
      <c r="AFZ71" s="621"/>
      <c r="AGA71" s="621"/>
      <c r="AGB71" s="621"/>
      <c r="AGC71" s="621"/>
      <c r="AGD71" s="621"/>
      <c r="AGE71" s="621"/>
      <c r="AGF71" s="621"/>
      <c r="AGG71" s="621"/>
      <c r="AGH71" s="621"/>
      <c r="AGI71" s="621"/>
      <c r="AGJ71" s="621"/>
      <c r="AGK71" s="621"/>
      <c r="AGL71" s="621"/>
      <c r="AGM71" s="621"/>
      <c r="AGN71" s="621"/>
      <c r="AGO71" s="621"/>
      <c r="AGP71" s="621"/>
      <c r="AGQ71" s="621"/>
      <c r="AGR71" s="621"/>
      <c r="AGS71" s="621"/>
      <c r="AGT71" s="621"/>
      <c r="AGU71" s="621"/>
      <c r="AGV71" s="621"/>
      <c r="AGW71" s="621"/>
      <c r="AGX71" s="621"/>
      <c r="AGY71" s="621"/>
      <c r="AGZ71" s="621"/>
      <c r="AHA71" s="621"/>
      <c r="AHB71" s="621"/>
      <c r="AHC71" s="621"/>
      <c r="AHD71" s="621"/>
      <c r="AHE71" s="621"/>
      <c r="AHF71" s="621"/>
      <c r="AHG71" s="621"/>
      <c r="AHH71" s="621"/>
      <c r="AHI71" s="621"/>
      <c r="AHJ71" s="621"/>
      <c r="AHK71" s="621"/>
      <c r="AHL71" s="621"/>
      <c r="AHM71" s="621"/>
      <c r="AHN71" s="621"/>
      <c r="AHO71" s="621"/>
      <c r="AHP71" s="621"/>
      <c r="AHQ71" s="621"/>
      <c r="AHR71" s="621"/>
      <c r="AHS71" s="621"/>
      <c r="AHT71" s="621"/>
      <c r="AHU71" s="621"/>
      <c r="AHV71" s="621"/>
      <c r="AHW71" s="621"/>
      <c r="AHX71" s="621"/>
      <c r="AHY71" s="621"/>
      <c r="AHZ71" s="621"/>
      <c r="AIA71" s="621"/>
      <c r="AIB71" s="621"/>
      <c r="AIC71" s="621"/>
      <c r="AID71" s="621"/>
      <c r="AIE71" s="621"/>
      <c r="AIF71" s="621"/>
      <c r="AIG71" s="621"/>
      <c r="AIH71" s="621"/>
      <c r="AII71" s="621"/>
      <c r="AIJ71" s="621"/>
      <c r="AIK71" s="621"/>
      <c r="AIL71" s="621"/>
      <c r="AIM71" s="621"/>
      <c r="AIN71" s="621"/>
      <c r="AIO71" s="621"/>
      <c r="AIP71" s="621"/>
      <c r="AIQ71" s="621"/>
      <c r="AIR71" s="621"/>
      <c r="AIS71" s="621"/>
      <c r="AIT71" s="621"/>
      <c r="AIU71" s="621"/>
      <c r="AIV71" s="621"/>
      <c r="AIW71" s="621"/>
      <c r="AIX71" s="621"/>
      <c r="AIY71" s="621"/>
      <c r="AIZ71" s="621"/>
      <c r="AJA71" s="621"/>
      <c r="AJB71" s="621"/>
      <c r="AJC71" s="621"/>
      <c r="AJD71" s="621"/>
      <c r="AJE71" s="621"/>
      <c r="AJF71" s="621"/>
      <c r="AJG71" s="621"/>
      <c r="AJH71" s="621"/>
      <c r="AJI71" s="621"/>
      <c r="AJJ71" s="621"/>
      <c r="AJK71" s="621"/>
      <c r="AJL71" s="621"/>
      <c r="AJM71" s="621"/>
      <c r="AJN71" s="621"/>
      <c r="AJO71" s="621"/>
      <c r="AJP71" s="621"/>
      <c r="AJQ71" s="621"/>
      <c r="AJR71" s="621"/>
      <c r="AJS71" s="621"/>
      <c r="AJT71" s="621"/>
      <c r="AJU71" s="621"/>
      <c r="AJV71" s="621"/>
      <c r="AJW71" s="621"/>
      <c r="AJX71" s="621"/>
      <c r="AJY71" s="621"/>
      <c r="AJZ71" s="621"/>
      <c r="AKA71" s="621"/>
      <c r="AKB71" s="621"/>
      <c r="AKC71" s="621"/>
      <c r="AKD71" s="621"/>
      <c r="AKE71" s="621"/>
      <c r="AKF71" s="621"/>
      <c r="AKG71" s="621"/>
      <c r="AKH71" s="621"/>
      <c r="AKI71" s="621"/>
      <c r="AKJ71" s="621"/>
      <c r="AKK71" s="621"/>
      <c r="AKL71" s="621"/>
      <c r="AKM71" s="621"/>
      <c r="AKN71" s="621"/>
      <c r="AKO71" s="621"/>
      <c r="AKP71" s="621"/>
      <c r="AKQ71" s="621"/>
      <c r="AKR71" s="621"/>
      <c r="AKS71" s="621"/>
      <c r="AKT71" s="621"/>
      <c r="AKU71" s="621"/>
      <c r="AKV71" s="621"/>
      <c r="AKW71" s="621"/>
      <c r="AKX71" s="621"/>
      <c r="AKY71" s="621"/>
      <c r="AKZ71" s="621"/>
      <c r="ALA71" s="621"/>
      <c r="ALB71" s="621"/>
      <c r="ALC71" s="621"/>
      <c r="ALD71" s="621"/>
      <c r="ALE71" s="621"/>
      <c r="ALF71" s="621"/>
      <c r="ALG71" s="621"/>
      <c r="ALH71" s="621"/>
      <c r="ALI71" s="621"/>
      <c r="ALJ71" s="621"/>
      <c r="ALK71" s="621"/>
      <c r="ALL71" s="621"/>
      <c r="ALM71" s="621"/>
      <c r="ALN71" s="621"/>
      <c r="ALO71" s="621"/>
      <c r="ALP71" s="621"/>
      <c r="ALQ71" s="621"/>
      <c r="ALR71" s="621"/>
      <c r="ALS71" s="621"/>
      <c r="ALT71" s="621"/>
      <c r="ALU71" s="621"/>
      <c r="ALV71" s="621"/>
      <c r="ALW71" s="621"/>
      <c r="ALX71" s="621"/>
      <c r="ALY71" s="621"/>
      <c r="ALZ71" s="621"/>
      <c r="AMA71" s="621"/>
      <c r="AMB71" s="621"/>
      <c r="AMC71" s="621"/>
      <c r="AMD71" s="621"/>
      <c r="AME71" s="621"/>
      <c r="AMF71" s="621"/>
      <c r="AMG71" s="621"/>
      <c r="AMH71" s="621"/>
      <c r="AMI71" s="621"/>
      <c r="AMJ71" s="621"/>
      <c r="AMK71" s="621"/>
    </row>
    <row r="72" spans="1:1025" ht="30" customHeight="1">
      <c r="A72" s="460"/>
      <c r="B72" s="448" t="s">
        <v>762</v>
      </c>
      <c r="C72" s="461">
        <f>D72*1.1</f>
        <v>9043.1</v>
      </c>
      <c r="D72" s="377">
        <v>8221</v>
      </c>
      <c r="E72" s="2043"/>
      <c r="F72" s="2043"/>
      <c r="G72" s="392"/>
      <c r="H72" s="429"/>
      <c r="I72" s="1497"/>
      <c r="J72" s="1495">
        <v>15000</v>
      </c>
      <c r="K72" s="1472"/>
      <c r="L72" s="413"/>
      <c r="M72" s="1495"/>
      <c r="N72" s="272"/>
      <c r="O72" s="272"/>
      <c r="P72" s="272"/>
      <c r="AE72" s="1471"/>
      <c r="AF72" s="1493"/>
      <c r="AG72" s="1494"/>
      <c r="AH72" s="1494"/>
      <c r="AI72" s="1494"/>
      <c r="AJ72" s="1494"/>
      <c r="AK72" s="1494"/>
      <c r="AL72" s="1494"/>
      <c r="AM72" s="1475">
        <f t="shared" si="15"/>
        <v>0</v>
      </c>
      <c r="AN72" s="1493"/>
      <c r="AO72" s="1475"/>
      <c r="AP72" s="289"/>
      <c r="AU72" s="621"/>
      <c r="AV72" s="621"/>
      <c r="AW72" s="621"/>
      <c r="AX72" s="621"/>
      <c r="AY72" s="621"/>
      <c r="AZ72" s="621"/>
      <c r="BA72" s="621"/>
      <c r="BB72" s="621"/>
      <c r="BC72" s="621"/>
      <c r="BD72" s="621"/>
      <c r="BE72" s="621"/>
      <c r="BF72" s="621"/>
      <c r="BG72" s="621"/>
      <c r="BH72" s="621"/>
      <c r="BI72" s="621"/>
      <c r="BJ72" s="621"/>
      <c r="BK72" s="621"/>
      <c r="BL72" s="621"/>
      <c r="BM72" s="621"/>
      <c r="BN72" s="621"/>
      <c r="BO72" s="621"/>
      <c r="BP72" s="621"/>
      <c r="BQ72" s="621"/>
      <c r="BR72" s="621"/>
      <c r="BS72" s="621"/>
      <c r="BT72" s="621"/>
      <c r="BU72" s="621"/>
      <c r="BV72" s="621"/>
      <c r="BW72" s="621"/>
      <c r="BX72" s="621"/>
      <c r="BY72" s="621"/>
      <c r="BZ72" s="621"/>
      <c r="CA72" s="621"/>
      <c r="CB72" s="621"/>
      <c r="CC72" s="621"/>
      <c r="CD72" s="621"/>
      <c r="CE72" s="621"/>
      <c r="CF72" s="621"/>
      <c r="CG72" s="621"/>
      <c r="CH72" s="621"/>
      <c r="CI72" s="621"/>
      <c r="CJ72" s="621"/>
      <c r="CK72" s="621"/>
      <c r="CL72" s="621"/>
      <c r="CM72" s="621"/>
      <c r="CN72" s="621"/>
      <c r="CO72" s="621"/>
      <c r="CP72" s="621"/>
      <c r="CQ72" s="621"/>
      <c r="CR72" s="621"/>
      <c r="CS72" s="621"/>
      <c r="CT72" s="621"/>
      <c r="CU72" s="621"/>
      <c r="CV72" s="621"/>
      <c r="CW72" s="621"/>
      <c r="CX72" s="621"/>
      <c r="CY72" s="621"/>
      <c r="CZ72" s="621"/>
      <c r="DA72" s="621"/>
      <c r="DB72" s="621"/>
      <c r="DC72" s="621"/>
      <c r="DD72" s="621"/>
      <c r="DE72" s="621"/>
      <c r="DF72" s="621"/>
      <c r="DG72" s="621"/>
      <c r="DH72" s="621"/>
      <c r="DI72" s="621"/>
      <c r="DJ72" s="621"/>
      <c r="DK72" s="621"/>
      <c r="DL72" s="621"/>
      <c r="DM72" s="621"/>
      <c r="DN72" s="621"/>
      <c r="DO72" s="621"/>
      <c r="DP72" s="621"/>
      <c r="DQ72" s="621"/>
      <c r="DR72" s="621"/>
      <c r="DS72" s="621"/>
      <c r="DT72" s="621"/>
      <c r="DU72" s="621"/>
      <c r="DV72" s="621"/>
      <c r="DW72" s="621"/>
      <c r="DX72" s="621"/>
      <c r="DY72" s="621"/>
      <c r="DZ72" s="621"/>
      <c r="EA72" s="621"/>
      <c r="EB72" s="621"/>
      <c r="EC72" s="621"/>
      <c r="ED72" s="621"/>
      <c r="EE72" s="621"/>
      <c r="EF72" s="621"/>
      <c r="EG72" s="621"/>
      <c r="EH72" s="621"/>
      <c r="EI72" s="621"/>
      <c r="EJ72" s="621"/>
      <c r="EK72" s="621"/>
      <c r="EL72" s="621"/>
      <c r="EM72" s="621"/>
      <c r="EN72" s="621"/>
      <c r="EO72" s="621"/>
      <c r="EP72" s="621"/>
      <c r="EQ72" s="621"/>
      <c r="ER72" s="621"/>
      <c r="ES72" s="621"/>
      <c r="ET72" s="621"/>
      <c r="EU72" s="621"/>
      <c r="EV72" s="621"/>
      <c r="EW72" s="621"/>
      <c r="EX72" s="621"/>
      <c r="EY72" s="621"/>
      <c r="EZ72" s="621"/>
      <c r="FA72" s="621"/>
      <c r="FB72" s="621"/>
      <c r="FC72" s="621"/>
      <c r="FD72" s="621"/>
      <c r="FE72" s="621"/>
      <c r="FF72" s="621"/>
      <c r="FG72" s="621"/>
      <c r="FH72" s="621"/>
      <c r="FI72" s="621"/>
      <c r="FJ72" s="621"/>
      <c r="FK72" s="621"/>
      <c r="FL72" s="621"/>
      <c r="FM72" s="621"/>
      <c r="FN72" s="621"/>
      <c r="FO72" s="621"/>
      <c r="FP72" s="621"/>
      <c r="FQ72" s="621"/>
      <c r="FR72" s="621"/>
      <c r="FS72" s="621"/>
      <c r="FT72" s="621"/>
      <c r="FU72" s="621"/>
      <c r="FV72" s="621"/>
      <c r="FW72" s="621"/>
      <c r="FX72" s="621"/>
      <c r="FY72" s="621"/>
      <c r="FZ72" s="621"/>
      <c r="GA72" s="621"/>
      <c r="GB72" s="621"/>
      <c r="GC72" s="621"/>
      <c r="GD72" s="621"/>
      <c r="GE72" s="621"/>
      <c r="GF72" s="621"/>
      <c r="GG72" s="621"/>
      <c r="GH72" s="621"/>
      <c r="GI72" s="621"/>
      <c r="GJ72" s="621"/>
      <c r="GK72" s="621"/>
      <c r="GL72" s="621"/>
      <c r="GM72" s="621"/>
      <c r="GN72" s="621"/>
      <c r="GO72" s="621"/>
      <c r="GP72" s="621"/>
      <c r="GQ72" s="621"/>
      <c r="GR72" s="621"/>
      <c r="GS72" s="621"/>
      <c r="GT72" s="621"/>
      <c r="GU72" s="621"/>
      <c r="GV72" s="621"/>
      <c r="GW72" s="621"/>
      <c r="GX72" s="621"/>
      <c r="GY72" s="621"/>
      <c r="GZ72" s="621"/>
      <c r="HA72" s="621"/>
      <c r="HB72" s="621"/>
      <c r="HC72" s="621"/>
      <c r="HD72" s="621"/>
      <c r="HE72" s="621"/>
      <c r="HF72" s="621"/>
      <c r="HG72" s="621"/>
      <c r="HH72" s="621"/>
      <c r="HI72" s="621"/>
      <c r="HJ72" s="621"/>
      <c r="HK72" s="621"/>
      <c r="HL72" s="621"/>
      <c r="HM72" s="621"/>
      <c r="HN72" s="621"/>
      <c r="HO72" s="621"/>
      <c r="HP72" s="621"/>
      <c r="HQ72" s="621"/>
      <c r="HR72" s="621"/>
      <c r="HS72" s="621"/>
      <c r="HT72" s="621"/>
      <c r="HU72" s="621"/>
      <c r="HV72" s="621"/>
      <c r="HW72" s="621"/>
      <c r="HX72" s="621"/>
      <c r="HY72" s="621"/>
      <c r="HZ72" s="621"/>
      <c r="IA72" s="621"/>
      <c r="IB72" s="621"/>
      <c r="IC72" s="621"/>
      <c r="ID72" s="621"/>
      <c r="IE72" s="621"/>
      <c r="IF72" s="621"/>
      <c r="IG72" s="621"/>
      <c r="IH72" s="621"/>
      <c r="II72" s="621"/>
      <c r="IJ72" s="621"/>
      <c r="IK72" s="621"/>
      <c r="IL72" s="621"/>
      <c r="IM72" s="621"/>
      <c r="IN72" s="621"/>
      <c r="IO72" s="621"/>
      <c r="IP72" s="621"/>
      <c r="IQ72" s="621"/>
      <c r="IR72" s="621"/>
      <c r="IS72" s="621"/>
      <c r="IT72" s="621"/>
      <c r="IU72" s="621"/>
      <c r="IV72" s="621"/>
      <c r="IW72" s="621"/>
      <c r="IX72" s="621"/>
      <c r="IY72" s="621"/>
      <c r="IZ72" s="621"/>
      <c r="JA72" s="621"/>
      <c r="JB72" s="621"/>
      <c r="JC72" s="621"/>
      <c r="JD72" s="621"/>
      <c r="JE72" s="621"/>
      <c r="JF72" s="621"/>
      <c r="JG72" s="621"/>
      <c r="JH72" s="621"/>
      <c r="JI72" s="621"/>
      <c r="JJ72" s="621"/>
      <c r="JK72" s="621"/>
      <c r="JL72" s="621"/>
      <c r="JM72" s="621"/>
      <c r="JN72" s="621"/>
      <c r="JO72" s="621"/>
      <c r="JP72" s="621"/>
      <c r="JQ72" s="621"/>
      <c r="JR72" s="621"/>
      <c r="JS72" s="621"/>
      <c r="JT72" s="621"/>
      <c r="JU72" s="621"/>
      <c r="JV72" s="621"/>
      <c r="JW72" s="621"/>
      <c r="JX72" s="621"/>
      <c r="JY72" s="621"/>
      <c r="JZ72" s="621"/>
      <c r="KA72" s="621"/>
      <c r="KB72" s="621"/>
      <c r="KC72" s="621"/>
      <c r="KD72" s="621"/>
      <c r="KE72" s="621"/>
      <c r="KF72" s="621"/>
      <c r="KG72" s="621"/>
      <c r="KH72" s="621"/>
      <c r="KI72" s="621"/>
      <c r="KJ72" s="621"/>
      <c r="KK72" s="621"/>
      <c r="KL72" s="621"/>
      <c r="KM72" s="621"/>
      <c r="KN72" s="621"/>
      <c r="KO72" s="621"/>
      <c r="KP72" s="621"/>
      <c r="KQ72" s="621"/>
      <c r="KR72" s="621"/>
      <c r="KS72" s="621"/>
      <c r="KT72" s="621"/>
      <c r="KU72" s="621"/>
      <c r="KV72" s="621"/>
      <c r="KW72" s="621"/>
      <c r="KX72" s="621"/>
      <c r="KY72" s="621"/>
      <c r="KZ72" s="621"/>
      <c r="LA72" s="621"/>
      <c r="LB72" s="621"/>
      <c r="LC72" s="621"/>
      <c r="LD72" s="621"/>
      <c r="LE72" s="621"/>
      <c r="LF72" s="621"/>
      <c r="LG72" s="621"/>
      <c r="LH72" s="621"/>
      <c r="LI72" s="621"/>
      <c r="LJ72" s="621"/>
      <c r="LK72" s="621"/>
      <c r="LL72" s="621"/>
      <c r="LM72" s="621"/>
      <c r="LN72" s="621"/>
      <c r="LO72" s="621"/>
      <c r="LP72" s="621"/>
      <c r="LQ72" s="621"/>
      <c r="LR72" s="621"/>
      <c r="LS72" s="621"/>
      <c r="LT72" s="621"/>
      <c r="LU72" s="621"/>
      <c r="LV72" s="621"/>
      <c r="LW72" s="621"/>
      <c r="LX72" s="621"/>
      <c r="LY72" s="621"/>
      <c r="LZ72" s="621"/>
      <c r="MA72" s="621"/>
      <c r="MB72" s="621"/>
      <c r="MC72" s="621"/>
      <c r="MD72" s="621"/>
      <c r="ME72" s="621"/>
      <c r="MF72" s="621"/>
      <c r="MG72" s="621"/>
      <c r="MH72" s="621"/>
      <c r="MI72" s="621"/>
      <c r="MJ72" s="621"/>
      <c r="MK72" s="621"/>
      <c r="ML72" s="621"/>
      <c r="MM72" s="621"/>
      <c r="MN72" s="621"/>
      <c r="MO72" s="621"/>
      <c r="MP72" s="621"/>
      <c r="MQ72" s="621"/>
      <c r="MR72" s="621"/>
      <c r="MS72" s="621"/>
      <c r="MT72" s="621"/>
      <c r="MU72" s="621"/>
      <c r="MV72" s="621"/>
      <c r="MW72" s="621"/>
      <c r="MX72" s="621"/>
      <c r="MY72" s="621"/>
      <c r="MZ72" s="621"/>
      <c r="NA72" s="621"/>
      <c r="NB72" s="621"/>
      <c r="NC72" s="621"/>
      <c r="ND72" s="621"/>
      <c r="NE72" s="621"/>
      <c r="NF72" s="621"/>
      <c r="NG72" s="621"/>
      <c r="NH72" s="621"/>
      <c r="NI72" s="621"/>
      <c r="NJ72" s="621"/>
      <c r="NK72" s="621"/>
      <c r="NL72" s="621"/>
      <c r="NM72" s="621"/>
      <c r="NN72" s="621"/>
      <c r="NO72" s="621"/>
      <c r="NP72" s="621"/>
      <c r="NQ72" s="621"/>
      <c r="NR72" s="621"/>
      <c r="NS72" s="621"/>
      <c r="NT72" s="621"/>
      <c r="NU72" s="621"/>
      <c r="NV72" s="621"/>
      <c r="NW72" s="621"/>
      <c r="NX72" s="621"/>
      <c r="NY72" s="621"/>
      <c r="NZ72" s="621"/>
      <c r="OA72" s="621"/>
      <c r="OB72" s="621"/>
      <c r="OC72" s="621"/>
      <c r="OD72" s="621"/>
      <c r="OE72" s="621"/>
      <c r="OF72" s="621"/>
      <c r="OG72" s="621"/>
      <c r="OH72" s="621"/>
      <c r="OI72" s="621"/>
      <c r="OJ72" s="621"/>
      <c r="OK72" s="621"/>
      <c r="OL72" s="621"/>
      <c r="OM72" s="621"/>
      <c r="ON72" s="621"/>
      <c r="OO72" s="621"/>
      <c r="OP72" s="621"/>
      <c r="OQ72" s="621"/>
      <c r="OR72" s="621"/>
      <c r="OS72" s="621"/>
      <c r="OT72" s="621"/>
      <c r="OU72" s="621"/>
      <c r="OV72" s="621"/>
      <c r="OW72" s="621"/>
      <c r="OX72" s="621"/>
      <c r="OY72" s="621"/>
      <c r="OZ72" s="621"/>
      <c r="PA72" s="621"/>
      <c r="PB72" s="621"/>
      <c r="PC72" s="621"/>
      <c r="PD72" s="621"/>
      <c r="PE72" s="621"/>
      <c r="PF72" s="621"/>
      <c r="PG72" s="621"/>
      <c r="PH72" s="621"/>
      <c r="PI72" s="621"/>
      <c r="PJ72" s="621"/>
      <c r="PK72" s="621"/>
      <c r="PL72" s="621"/>
      <c r="PM72" s="621"/>
      <c r="PN72" s="621"/>
      <c r="PO72" s="621"/>
      <c r="PP72" s="621"/>
      <c r="PQ72" s="621"/>
      <c r="PR72" s="621"/>
      <c r="PS72" s="621"/>
      <c r="PT72" s="621"/>
      <c r="PU72" s="621"/>
      <c r="PV72" s="621"/>
      <c r="PW72" s="621"/>
      <c r="PX72" s="621"/>
      <c r="PY72" s="621"/>
      <c r="PZ72" s="621"/>
      <c r="QA72" s="621"/>
      <c r="QB72" s="621"/>
      <c r="QC72" s="621"/>
      <c r="QD72" s="621"/>
      <c r="QE72" s="621"/>
      <c r="QF72" s="621"/>
      <c r="QG72" s="621"/>
      <c r="QH72" s="621"/>
      <c r="QI72" s="621"/>
      <c r="QJ72" s="621"/>
      <c r="QK72" s="621"/>
      <c r="QL72" s="621"/>
      <c r="QM72" s="621"/>
      <c r="QN72" s="621"/>
      <c r="QO72" s="621"/>
      <c r="QP72" s="621"/>
      <c r="QQ72" s="621"/>
      <c r="QR72" s="621"/>
      <c r="QS72" s="621"/>
      <c r="QT72" s="621"/>
      <c r="QU72" s="621"/>
      <c r="QV72" s="621"/>
      <c r="QW72" s="621"/>
      <c r="QX72" s="621"/>
      <c r="QY72" s="621"/>
      <c r="QZ72" s="621"/>
      <c r="RA72" s="621"/>
      <c r="RB72" s="621"/>
      <c r="RC72" s="621"/>
      <c r="RD72" s="621"/>
      <c r="RE72" s="621"/>
      <c r="RF72" s="621"/>
      <c r="RG72" s="621"/>
      <c r="RH72" s="621"/>
      <c r="RI72" s="621"/>
      <c r="RJ72" s="621"/>
      <c r="RK72" s="621"/>
      <c r="RL72" s="621"/>
      <c r="RM72" s="621"/>
      <c r="RN72" s="621"/>
      <c r="RO72" s="621"/>
      <c r="RP72" s="621"/>
      <c r="RQ72" s="621"/>
      <c r="RR72" s="621"/>
      <c r="RS72" s="621"/>
      <c r="RT72" s="621"/>
      <c r="RU72" s="621"/>
      <c r="RV72" s="621"/>
      <c r="RW72" s="621"/>
      <c r="RX72" s="621"/>
      <c r="RY72" s="621"/>
      <c r="RZ72" s="621"/>
      <c r="SA72" s="621"/>
      <c r="SB72" s="621"/>
      <c r="SC72" s="621"/>
      <c r="SD72" s="621"/>
      <c r="SE72" s="621"/>
      <c r="SF72" s="621"/>
      <c r="SG72" s="621"/>
      <c r="SH72" s="621"/>
      <c r="SI72" s="621"/>
      <c r="SJ72" s="621"/>
      <c r="SK72" s="621"/>
      <c r="SL72" s="621"/>
      <c r="SM72" s="621"/>
      <c r="SN72" s="621"/>
      <c r="SO72" s="621"/>
      <c r="SP72" s="621"/>
      <c r="SQ72" s="621"/>
      <c r="SR72" s="621"/>
      <c r="SS72" s="621"/>
      <c r="ST72" s="621"/>
      <c r="SU72" s="621"/>
      <c r="SV72" s="621"/>
      <c r="SW72" s="621"/>
      <c r="SX72" s="621"/>
      <c r="SY72" s="621"/>
      <c r="SZ72" s="621"/>
      <c r="TA72" s="621"/>
      <c r="TB72" s="621"/>
      <c r="TC72" s="621"/>
      <c r="TD72" s="621"/>
      <c r="TE72" s="621"/>
      <c r="TF72" s="621"/>
      <c r="TG72" s="621"/>
      <c r="TH72" s="621"/>
      <c r="TI72" s="621"/>
      <c r="TJ72" s="621"/>
      <c r="TK72" s="621"/>
      <c r="TL72" s="621"/>
      <c r="TM72" s="621"/>
      <c r="TN72" s="621"/>
      <c r="TO72" s="621"/>
      <c r="TP72" s="621"/>
      <c r="TQ72" s="621"/>
      <c r="TR72" s="621"/>
      <c r="TS72" s="621"/>
      <c r="TT72" s="621"/>
      <c r="TU72" s="621"/>
      <c r="TV72" s="621"/>
      <c r="TW72" s="621"/>
      <c r="TX72" s="621"/>
      <c r="TY72" s="621"/>
      <c r="TZ72" s="621"/>
      <c r="UA72" s="621"/>
      <c r="UB72" s="621"/>
      <c r="UC72" s="621"/>
      <c r="UD72" s="621"/>
      <c r="UE72" s="621"/>
      <c r="UF72" s="621"/>
      <c r="UG72" s="621"/>
      <c r="UH72" s="621"/>
      <c r="UI72" s="621"/>
      <c r="UJ72" s="621"/>
      <c r="UK72" s="621"/>
      <c r="UL72" s="621"/>
      <c r="UM72" s="621"/>
      <c r="UN72" s="621"/>
      <c r="UO72" s="621"/>
      <c r="UP72" s="621"/>
      <c r="UQ72" s="621"/>
      <c r="UR72" s="621"/>
      <c r="US72" s="621"/>
      <c r="UT72" s="621"/>
      <c r="UU72" s="621"/>
      <c r="UV72" s="621"/>
      <c r="UW72" s="621"/>
      <c r="UX72" s="621"/>
      <c r="UY72" s="621"/>
      <c r="UZ72" s="621"/>
      <c r="VA72" s="621"/>
      <c r="VB72" s="621"/>
      <c r="VC72" s="621"/>
      <c r="VD72" s="621"/>
      <c r="VE72" s="621"/>
      <c r="VF72" s="621"/>
      <c r="VG72" s="621"/>
      <c r="VH72" s="621"/>
      <c r="VI72" s="621"/>
      <c r="VJ72" s="621"/>
      <c r="VK72" s="621"/>
      <c r="VL72" s="621"/>
      <c r="VM72" s="621"/>
      <c r="VN72" s="621"/>
      <c r="VO72" s="621"/>
      <c r="VP72" s="621"/>
      <c r="VQ72" s="621"/>
      <c r="VR72" s="621"/>
      <c r="VS72" s="621"/>
      <c r="VT72" s="621"/>
      <c r="VU72" s="621"/>
      <c r="VV72" s="621"/>
      <c r="VW72" s="621"/>
      <c r="VX72" s="621"/>
      <c r="VY72" s="621"/>
      <c r="VZ72" s="621"/>
      <c r="WA72" s="621"/>
      <c r="WB72" s="621"/>
      <c r="WC72" s="621"/>
      <c r="WD72" s="621"/>
      <c r="WE72" s="621"/>
      <c r="WF72" s="621"/>
      <c r="WG72" s="621"/>
      <c r="WH72" s="621"/>
      <c r="WI72" s="621"/>
      <c r="WJ72" s="621"/>
      <c r="WK72" s="621"/>
      <c r="WL72" s="621"/>
      <c r="WM72" s="621"/>
      <c r="WN72" s="621"/>
      <c r="WO72" s="621"/>
      <c r="WP72" s="621"/>
      <c r="WQ72" s="621"/>
      <c r="WR72" s="621"/>
      <c r="WS72" s="621"/>
      <c r="WT72" s="621"/>
      <c r="WU72" s="621"/>
      <c r="WV72" s="621"/>
      <c r="WW72" s="621"/>
      <c r="WX72" s="621"/>
      <c r="WY72" s="621"/>
      <c r="WZ72" s="621"/>
      <c r="XA72" s="621"/>
      <c r="XB72" s="621"/>
      <c r="XC72" s="621"/>
      <c r="XD72" s="621"/>
      <c r="XE72" s="621"/>
      <c r="XF72" s="621"/>
      <c r="XG72" s="621"/>
      <c r="XH72" s="621"/>
      <c r="XI72" s="621"/>
      <c r="XJ72" s="621"/>
      <c r="XK72" s="621"/>
      <c r="XL72" s="621"/>
      <c r="XM72" s="621"/>
      <c r="XN72" s="621"/>
      <c r="XO72" s="621"/>
      <c r="XP72" s="621"/>
      <c r="XQ72" s="621"/>
      <c r="XR72" s="621"/>
      <c r="XS72" s="621"/>
      <c r="XT72" s="621"/>
      <c r="XU72" s="621"/>
      <c r="XV72" s="621"/>
      <c r="XW72" s="621"/>
      <c r="XX72" s="621"/>
      <c r="XY72" s="621"/>
      <c r="XZ72" s="621"/>
      <c r="YA72" s="621"/>
      <c r="YB72" s="621"/>
      <c r="YC72" s="621"/>
      <c r="YD72" s="621"/>
      <c r="YE72" s="621"/>
      <c r="YF72" s="621"/>
      <c r="YG72" s="621"/>
      <c r="YH72" s="621"/>
      <c r="YI72" s="621"/>
      <c r="YJ72" s="621"/>
      <c r="YK72" s="621"/>
      <c r="YL72" s="621"/>
      <c r="YM72" s="621"/>
      <c r="YN72" s="621"/>
      <c r="YO72" s="621"/>
      <c r="YP72" s="621"/>
      <c r="YQ72" s="621"/>
      <c r="YR72" s="621"/>
      <c r="YS72" s="621"/>
      <c r="YT72" s="621"/>
      <c r="YU72" s="621"/>
      <c r="YV72" s="621"/>
      <c r="YW72" s="621"/>
      <c r="YX72" s="621"/>
      <c r="YY72" s="621"/>
      <c r="YZ72" s="621"/>
      <c r="ZA72" s="621"/>
      <c r="ZB72" s="621"/>
      <c r="ZC72" s="621"/>
      <c r="ZD72" s="621"/>
      <c r="ZE72" s="621"/>
      <c r="ZF72" s="621"/>
      <c r="ZG72" s="621"/>
      <c r="ZH72" s="621"/>
      <c r="ZI72" s="621"/>
      <c r="ZJ72" s="621"/>
      <c r="ZK72" s="621"/>
      <c r="ZL72" s="621"/>
      <c r="ZM72" s="621"/>
      <c r="ZN72" s="621"/>
      <c r="ZO72" s="621"/>
      <c r="ZP72" s="621"/>
      <c r="ZQ72" s="621"/>
      <c r="ZR72" s="621"/>
      <c r="ZS72" s="621"/>
      <c r="ZT72" s="621"/>
      <c r="ZU72" s="621"/>
      <c r="ZV72" s="621"/>
      <c r="ZW72" s="621"/>
      <c r="ZX72" s="621"/>
      <c r="ZY72" s="621"/>
      <c r="ZZ72" s="621"/>
      <c r="AAA72" s="621"/>
      <c r="AAB72" s="621"/>
      <c r="AAC72" s="621"/>
      <c r="AAD72" s="621"/>
      <c r="AAE72" s="621"/>
      <c r="AAF72" s="621"/>
      <c r="AAG72" s="621"/>
      <c r="AAH72" s="621"/>
      <c r="AAI72" s="621"/>
      <c r="AAJ72" s="621"/>
      <c r="AAK72" s="621"/>
      <c r="AAL72" s="621"/>
      <c r="AAM72" s="621"/>
      <c r="AAN72" s="621"/>
      <c r="AAO72" s="621"/>
      <c r="AAP72" s="621"/>
      <c r="AAQ72" s="621"/>
      <c r="AAR72" s="621"/>
      <c r="AAS72" s="621"/>
      <c r="AAT72" s="621"/>
      <c r="AAU72" s="621"/>
      <c r="AAV72" s="621"/>
      <c r="AAW72" s="621"/>
      <c r="AAX72" s="621"/>
      <c r="AAY72" s="621"/>
      <c r="AAZ72" s="621"/>
      <c r="ABA72" s="621"/>
      <c r="ABB72" s="621"/>
      <c r="ABC72" s="621"/>
      <c r="ABD72" s="621"/>
      <c r="ABE72" s="621"/>
      <c r="ABF72" s="621"/>
      <c r="ABG72" s="621"/>
      <c r="ABH72" s="621"/>
      <c r="ABI72" s="621"/>
      <c r="ABJ72" s="621"/>
      <c r="ABK72" s="621"/>
      <c r="ABL72" s="621"/>
      <c r="ABM72" s="621"/>
      <c r="ABN72" s="621"/>
      <c r="ABO72" s="621"/>
      <c r="ABP72" s="621"/>
      <c r="ABQ72" s="621"/>
      <c r="ABR72" s="621"/>
      <c r="ABS72" s="621"/>
      <c r="ABT72" s="621"/>
      <c r="ABU72" s="621"/>
      <c r="ABV72" s="621"/>
      <c r="ABW72" s="621"/>
      <c r="ABX72" s="621"/>
      <c r="ABY72" s="621"/>
      <c r="ABZ72" s="621"/>
      <c r="ACA72" s="621"/>
      <c r="ACB72" s="621"/>
      <c r="ACC72" s="621"/>
      <c r="ACD72" s="621"/>
      <c r="ACE72" s="621"/>
      <c r="ACF72" s="621"/>
      <c r="ACG72" s="621"/>
      <c r="ACH72" s="621"/>
      <c r="ACI72" s="621"/>
      <c r="ACJ72" s="621"/>
      <c r="ACK72" s="621"/>
      <c r="ACL72" s="621"/>
      <c r="ACM72" s="621"/>
      <c r="ACN72" s="621"/>
      <c r="ACO72" s="621"/>
      <c r="ACP72" s="621"/>
      <c r="ACQ72" s="621"/>
      <c r="ACR72" s="621"/>
      <c r="ACS72" s="621"/>
      <c r="ACT72" s="621"/>
      <c r="ACU72" s="621"/>
      <c r="ACV72" s="621"/>
      <c r="ACW72" s="621"/>
      <c r="ACX72" s="621"/>
      <c r="ACY72" s="621"/>
      <c r="ACZ72" s="621"/>
      <c r="ADA72" s="621"/>
      <c r="ADB72" s="621"/>
      <c r="ADC72" s="621"/>
      <c r="ADD72" s="621"/>
      <c r="ADE72" s="621"/>
      <c r="ADF72" s="621"/>
      <c r="ADG72" s="621"/>
      <c r="ADH72" s="621"/>
      <c r="ADI72" s="621"/>
      <c r="ADJ72" s="621"/>
      <c r="ADK72" s="621"/>
      <c r="ADL72" s="621"/>
      <c r="ADM72" s="621"/>
      <c r="ADN72" s="621"/>
      <c r="ADO72" s="621"/>
      <c r="ADP72" s="621"/>
      <c r="ADQ72" s="621"/>
      <c r="ADR72" s="621"/>
      <c r="ADS72" s="621"/>
      <c r="ADT72" s="621"/>
      <c r="ADU72" s="621"/>
      <c r="ADV72" s="621"/>
      <c r="ADW72" s="621"/>
      <c r="ADX72" s="621"/>
      <c r="ADY72" s="621"/>
      <c r="ADZ72" s="621"/>
      <c r="AEA72" s="621"/>
      <c r="AEB72" s="621"/>
      <c r="AEC72" s="621"/>
      <c r="AED72" s="621"/>
      <c r="AEE72" s="621"/>
      <c r="AEF72" s="621"/>
      <c r="AEG72" s="621"/>
      <c r="AEH72" s="621"/>
      <c r="AEI72" s="621"/>
      <c r="AEJ72" s="621"/>
      <c r="AEK72" s="621"/>
      <c r="AEL72" s="621"/>
      <c r="AEM72" s="621"/>
      <c r="AEN72" s="621"/>
      <c r="AEO72" s="621"/>
      <c r="AEP72" s="621"/>
      <c r="AEQ72" s="621"/>
      <c r="AER72" s="621"/>
      <c r="AES72" s="621"/>
      <c r="AET72" s="621"/>
      <c r="AEU72" s="621"/>
      <c r="AEV72" s="621"/>
      <c r="AEW72" s="621"/>
      <c r="AEX72" s="621"/>
      <c r="AEY72" s="621"/>
      <c r="AEZ72" s="621"/>
      <c r="AFA72" s="621"/>
      <c r="AFB72" s="621"/>
      <c r="AFC72" s="621"/>
      <c r="AFD72" s="621"/>
      <c r="AFE72" s="621"/>
      <c r="AFF72" s="621"/>
      <c r="AFG72" s="621"/>
      <c r="AFH72" s="621"/>
      <c r="AFI72" s="621"/>
      <c r="AFJ72" s="621"/>
      <c r="AFK72" s="621"/>
      <c r="AFL72" s="621"/>
      <c r="AFM72" s="621"/>
      <c r="AFN72" s="621"/>
      <c r="AFO72" s="621"/>
      <c r="AFP72" s="621"/>
      <c r="AFQ72" s="621"/>
      <c r="AFR72" s="621"/>
      <c r="AFS72" s="621"/>
      <c r="AFT72" s="621"/>
      <c r="AFU72" s="621"/>
      <c r="AFV72" s="621"/>
      <c r="AFW72" s="621"/>
      <c r="AFX72" s="621"/>
      <c r="AFY72" s="621"/>
      <c r="AFZ72" s="621"/>
      <c r="AGA72" s="621"/>
      <c r="AGB72" s="621"/>
      <c r="AGC72" s="621"/>
      <c r="AGD72" s="621"/>
      <c r="AGE72" s="621"/>
      <c r="AGF72" s="621"/>
      <c r="AGG72" s="621"/>
      <c r="AGH72" s="621"/>
      <c r="AGI72" s="621"/>
      <c r="AGJ72" s="621"/>
      <c r="AGK72" s="621"/>
      <c r="AGL72" s="621"/>
      <c r="AGM72" s="621"/>
      <c r="AGN72" s="621"/>
      <c r="AGO72" s="621"/>
      <c r="AGP72" s="621"/>
      <c r="AGQ72" s="621"/>
      <c r="AGR72" s="621"/>
      <c r="AGS72" s="621"/>
      <c r="AGT72" s="621"/>
      <c r="AGU72" s="621"/>
      <c r="AGV72" s="621"/>
      <c r="AGW72" s="621"/>
      <c r="AGX72" s="621"/>
      <c r="AGY72" s="621"/>
      <c r="AGZ72" s="621"/>
      <c r="AHA72" s="621"/>
      <c r="AHB72" s="621"/>
      <c r="AHC72" s="621"/>
      <c r="AHD72" s="621"/>
      <c r="AHE72" s="621"/>
      <c r="AHF72" s="621"/>
      <c r="AHG72" s="621"/>
      <c r="AHH72" s="621"/>
      <c r="AHI72" s="621"/>
      <c r="AHJ72" s="621"/>
      <c r="AHK72" s="621"/>
      <c r="AHL72" s="621"/>
      <c r="AHM72" s="621"/>
      <c r="AHN72" s="621"/>
      <c r="AHO72" s="621"/>
      <c r="AHP72" s="621"/>
      <c r="AHQ72" s="621"/>
      <c r="AHR72" s="621"/>
      <c r="AHS72" s="621"/>
      <c r="AHT72" s="621"/>
      <c r="AHU72" s="621"/>
      <c r="AHV72" s="621"/>
      <c r="AHW72" s="621"/>
      <c r="AHX72" s="621"/>
      <c r="AHY72" s="621"/>
      <c r="AHZ72" s="621"/>
      <c r="AIA72" s="621"/>
      <c r="AIB72" s="621"/>
      <c r="AIC72" s="621"/>
      <c r="AID72" s="621"/>
      <c r="AIE72" s="621"/>
      <c r="AIF72" s="621"/>
      <c r="AIG72" s="621"/>
      <c r="AIH72" s="621"/>
      <c r="AII72" s="621"/>
      <c r="AIJ72" s="621"/>
      <c r="AIK72" s="621"/>
      <c r="AIL72" s="621"/>
      <c r="AIM72" s="621"/>
      <c r="AIN72" s="621"/>
      <c r="AIO72" s="621"/>
      <c r="AIP72" s="621"/>
      <c r="AIQ72" s="621"/>
      <c r="AIR72" s="621"/>
      <c r="AIS72" s="621"/>
      <c r="AIT72" s="621"/>
      <c r="AIU72" s="621"/>
      <c r="AIV72" s="621"/>
      <c r="AIW72" s="621"/>
      <c r="AIX72" s="621"/>
      <c r="AIY72" s="621"/>
      <c r="AIZ72" s="621"/>
      <c r="AJA72" s="621"/>
      <c r="AJB72" s="621"/>
      <c r="AJC72" s="621"/>
      <c r="AJD72" s="621"/>
      <c r="AJE72" s="621"/>
      <c r="AJF72" s="621"/>
      <c r="AJG72" s="621"/>
      <c r="AJH72" s="621"/>
      <c r="AJI72" s="621"/>
      <c r="AJJ72" s="621"/>
      <c r="AJK72" s="621"/>
      <c r="AJL72" s="621"/>
      <c r="AJM72" s="621"/>
      <c r="AJN72" s="621"/>
      <c r="AJO72" s="621"/>
      <c r="AJP72" s="621"/>
      <c r="AJQ72" s="621"/>
      <c r="AJR72" s="621"/>
      <c r="AJS72" s="621"/>
      <c r="AJT72" s="621"/>
      <c r="AJU72" s="621"/>
      <c r="AJV72" s="621"/>
      <c r="AJW72" s="621"/>
      <c r="AJX72" s="621"/>
      <c r="AJY72" s="621"/>
      <c r="AJZ72" s="621"/>
      <c r="AKA72" s="621"/>
      <c r="AKB72" s="621"/>
      <c r="AKC72" s="621"/>
      <c r="AKD72" s="621"/>
      <c r="AKE72" s="621"/>
      <c r="AKF72" s="621"/>
      <c r="AKG72" s="621"/>
      <c r="AKH72" s="621"/>
      <c r="AKI72" s="621"/>
      <c r="AKJ72" s="621"/>
      <c r="AKK72" s="621"/>
      <c r="AKL72" s="621"/>
      <c r="AKM72" s="621"/>
      <c r="AKN72" s="621"/>
      <c r="AKO72" s="621"/>
      <c r="AKP72" s="621"/>
      <c r="AKQ72" s="621"/>
      <c r="AKR72" s="621"/>
      <c r="AKS72" s="621"/>
      <c r="AKT72" s="621"/>
      <c r="AKU72" s="621"/>
      <c r="AKV72" s="621"/>
      <c r="AKW72" s="621"/>
      <c r="AKX72" s="621"/>
      <c r="AKY72" s="621"/>
      <c r="AKZ72" s="621"/>
      <c r="ALA72" s="621"/>
      <c r="ALB72" s="621"/>
      <c r="ALC72" s="621"/>
      <c r="ALD72" s="621"/>
      <c r="ALE72" s="621"/>
      <c r="ALF72" s="621"/>
      <c r="ALG72" s="621"/>
      <c r="ALH72" s="621"/>
      <c r="ALI72" s="621"/>
      <c r="ALJ72" s="621"/>
      <c r="ALK72" s="621"/>
      <c r="ALL72" s="621"/>
      <c r="ALM72" s="621"/>
      <c r="ALN72" s="621"/>
      <c r="ALO72" s="621"/>
      <c r="ALP72" s="621"/>
      <c r="ALQ72" s="621"/>
      <c r="ALR72" s="621"/>
      <c r="ALS72" s="621"/>
      <c r="ALT72" s="621"/>
      <c r="ALU72" s="621"/>
      <c r="ALV72" s="621"/>
      <c r="ALW72" s="621"/>
      <c r="ALX72" s="621"/>
      <c r="ALY72" s="621"/>
      <c r="ALZ72" s="621"/>
      <c r="AMA72" s="621"/>
      <c r="AMB72" s="621"/>
      <c r="AMC72" s="621"/>
      <c r="AMD72" s="621"/>
      <c r="AME72" s="621"/>
      <c r="AMF72" s="621"/>
      <c r="AMG72" s="621"/>
      <c r="AMH72" s="621"/>
      <c r="AMI72" s="621"/>
      <c r="AMJ72" s="621"/>
      <c r="AMK72" s="621"/>
    </row>
    <row r="73" spans="1:1025" ht="33.75" customHeight="1" thickBot="1">
      <c r="A73" s="463"/>
      <c r="B73" s="448" t="s">
        <v>935</v>
      </c>
      <c r="C73" s="461">
        <f>D73*1.1</f>
        <v>550</v>
      </c>
      <c r="D73" s="464">
        <v>500</v>
      </c>
      <c r="E73" s="2044"/>
      <c r="F73" s="2044"/>
      <c r="G73" s="465"/>
      <c r="H73" s="466"/>
      <c r="I73" s="1496"/>
      <c r="J73" s="1495"/>
      <c r="K73" s="1472"/>
      <c r="L73" s="413"/>
      <c r="M73" s="1495"/>
      <c r="N73" s="272"/>
      <c r="O73" s="272"/>
      <c r="P73" s="272"/>
      <c r="AE73" s="1471"/>
      <c r="AF73" s="1493" t="s">
        <v>347</v>
      </c>
      <c r="AG73" s="1494"/>
      <c r="AH73" s="1494">
        <v>8</v>
      </c>
      <c r="AI73" s="1494">
        <v>6</v>
      </c>
      <c r="AJ73" s="1494">
        <f>AG73*AH73*AI73</f>
        <v>0</v>
      </c>
      <c r="AK73" s="1494">
        <v>5</v>
      </c>
      <c r="AL73" s="1494">
        <f>AJ73*AK73</f>
        <v>0</v>
      </c>
      <c r="AM73" s="1475">
        <f t="shared" si="15"/>
        <v>0</v>
      </c>
      <c r="AN73" s="1493">
        <v>2</v>
      </c>
      <c r="AO73" s="1475">
        <f>AJ73*AN73</f>
        <v>0</v>
      </c>
      <c r="AP73" s="289"/>
      <c r="AU73" s="621"/>
      <c r="AV73" s="621"/>
      <c r="AW73" s="621"/>
      <c r="AX73" s="621"/>
      <c r="AY73" s="621"/>
      <c r="AZ73" s="621"/>
      <c r="BA73" s="621"/>
      <c r="BB73" s="621"/>
      <c r="BC73" s="621"/>
      <c r="BD73" s="621"/>
      <c r="BE73" s="621"/>
      <c r="BF73" s="621"/>
      <c r="BG73" s="621"/>
      <c r="BH73" s="621"/>
      <c r="BI73" s="621"/>
      <c r="BJ73" s="621"/>
      <c r="BK73" s="621"/>
      <c r="BL73" s="621"/>
      <c r="BM73" s="621"/>
      <c r="BN73" s="621"/>
      <c r="BO73" s="621"/>
      <c r="BP73" s="621"/>
      <c r="BQ73" s="621"/>
      <c r="BR73" s="621"/>
      <c r="BS73" s="621"/>
      <c r="BT73" s="621"/>
      <c r="BU73" s="621"/>
      <c r="BV73" s="621"/>
      <c r="BW73" s="621"/>
      <c r="BX73" s="621"/>
      <c r="BY73" s="621"/>
      <c r="BZ73" s="621"/>
      <c r="CA73" s="621"/>
      <c r="CB73" s="621"/>
      <c r="CC73" s="621"/>
      <c r="CD73" s="621"/>
      <c r="CE73" s="621"/>
      <c r="CF73" s="621"/>
      <c r="CG73" s="621"/>
      <c r="CH73" s="621"/>
      <c r="CI73" s="621"/>
      <c r="CJ73" s="621"/>
      <c r="CK73" s="621"/>
      <c r="CL73" s="621"/>
      <c r="CM73" s="621"/>
      <c r="CN73" s="621"/>
      <c r="CO73" s="621"/>
      <c r="CP73" s="621"/>
      <c r="CQ73" s="621"/>
      <c r="CR73" s="621"/>
      <c r="CS73" s="621"/>
      <c r="CT73" s="621"/>
      <c r="CU73" s="621"/>
      <c r="CV73" s="621"/>
      <c r="CW73" s="621"/>
      <c r="CX73" s="621"/>
      <c r="CY73" s="621"/>
      <c r="CZ73" s="621"/>
      <c r="DA73" s="621"/>
      <c r="DB73" s="621"/>
      <c r="DC73" s="621"/>
      <c r="DD73" s="621"/>
      <c r="DE73" s="621"/>
      <c r="DF73" s="621"/>
      <c r="DG73" s="621"/>
      <c r="DH73" s="621"/>
      <c r="DI73" s="621"/>
      <c r="DJ73" s="621"/>
      <c r="DK73" s="621"/>
      <c r="DL73" s="621"/>
      <c r="DM73" s="621"/>
      <c r="DN73" s="621"/>
      <c r="DO73" s="621"/>
      <c r="DP73" s="621"/>
      <c r="DQ73" s="621"/>
      <c r="DR73" s="621"/>
      <c r="DS73" s="621"/>
      <c r="DT73" s="621"/>
      <c r="DU73" s="621"/>
      <c r="DV73" s="621"/>
      <c r="DW73" s="621"/>
      <c r="DX73" s="621"/>
      <c r="DY73" s="621"/>
      <c r="DZ73" s="621"/>
      <c r="EA73" s="621"/>
      <c r="EB73" s="621"/>
      <c r="EC73" s="621"/>
      <c r="ED73" s="621"/>
      <c r="EE73" s="621"/>
      <c r="EF73" s="621"/>
      <c r="EG73" s="621"/>
      <c r="EH73" s="621"/>
      <c r="EI73" s="621"/>
      <c r="EJ73" s="621"/>
      <c r="EK73" s="621"/>
      <c r="EL73" s="621"/>
      <c r="EM73" s="621"/>
      <c r="EN73" s="621"/>
      <c r="EO73" s="621"/>
      <c r="EP73" s="621"/>
      <c r="EQ73" s="621"/>
      <c r="ER73" s="621"/>
      <c r="ES73" s="621"/>
      <c r="ET73" s="621"/>
      <c r="EU73" s="621"/>
      <c r="EV73" s="621"/>
      <c r="EW73" s="621"/>
      <c r="EX73" s="621"/>
      <c r="EY73" s="621"/>
      <c r="EZ73" s="621"/>
      <c r="FA73" s="621"/>
      <c r="FB73" s="621"/>
      <c r="FC73" s="621"/>
      <c r="FD73" s="621"/>
      <c r="FE73" s="621"/>
      <c r="FF73" s="621"/>
      <c r="FG73" s="621"/>
      <c r="FH73" s="621"/>
      <c r="FI73" s="621"/>
      <c r="FJ73" s="621"/>
      <c r="FK73" s="621"/>
      <c r="FL73" s="621"/>
      <c r="FM73" s="621"/>
      <c r="FN73" s="621"/>
      <c r="FO73" s="621"/>
      <c r="FP73" s="621"/>
      <c r="FQ73" s="621"/>
      <c r="FR73" s="621"/>
      <c r="FS73" s="621"/>
      <c r="FT73" s="621"/>
      <c r="FU73" s="621"/>
      <c r="FV73" s="621"/>
      <c r="FW73" s="621"/>
      <c r="FX73" s="621"/>
      <c r="FY73" s="621"/>
      <c r="FZ73" s="621"/>
      <c r="GA73" s="621"/>
      <c r="GB73" s="621"/>
      <c r="GC73" s="621"/>
      <c r="GD73" s="621"/>
      <c r="GE73" s="621"/>
      <c r="GF73" s="621"/>
      <c r="GG73" s="621"/>
      <c r="GH73" s="621"/>
      <c r="GI73" s="621"/>
      <c r="GJ73" s="621"/>
      <c r="GK73" s="621"/>
      <c r="GL73" s="621"/>
      <c r="GM73" s="621"/>
      <c r="GN73" s="621"/>
      <c r="GO73" s="621"/>
      <c r="GP73" s="621"/>
      <c r="GQ73" s="621"/>
      <c r="GR73" s="621"/>
      <c r="GS73" s="621"/>
      <c r="GT73" s="621"/>
      <c r="GU73" s="621"/>
      <c r="GV73" s="621"/>
      <c r="GW73" s="621"/>
      <c r="GX73" s="621"/>
      <c r="GY73" s="621"/>
      <c r="GZ73" s="621"/>
      <c r="HA73" s="621"/>
      <c r="HB73" s="621"/>
      <c r="HC73" s="621"/>
      <c r="HD73" s="621"/>
      <c r="HE73" s="621"/>
      <c r="HF73" s="621"/>
      <c r="HG73" s="621"/>
      <c r="HH73" s="621"/>
      <c r="HI73" s="621"/>
      <c r="HJ73" s="621"/>
      <c r="HK73" s="621"/>
      <c r="HL73" s="621"/>
      <c r="HM73" s="621"/>
      <c r="HN73" s="621"/>
      <c r="HO73" s="621"/>
      <c r="HP73" s="621"/>
      <c r="HQ73" s="621"/>
      <c r="HR73" s="621"/>
      <c r="HS73" s="621"/>
      <c r="HT73" s="621"/>
      <c r="HU73" s="621"/>
      <c r="HV73" s="621"/>
      <c r="HW73" s="621"/>
      <c r="HX73" s="621"/>
      <c r="HY73" s="621"/>
      <c r="HZ73" s="621"/>
      <c r="IA73" s="621"/>
      <c r="IB73" s="621"/>
      <c r="IC73" s="621"/>
      <c r="ID73" s="621"/>
      <c r="IE73" s="621"/>
      <c r="IF73" s="621"/>
      <c r="IG73" s="621"/>
      <c r="IH73" s="621"/>
      <c r="II73" s="621"/>
      <c r="IJ73" s="621"/>
      <c r="IK73" s="621"/>
      <c r="IL73" s="621"/>
      <c r="IM73" s="621"/>
      <c r="IN73" s="621"/>
      <c r="IO73" s="621"/>
      <c r="IP73" s="621"/>
      <c r="IQ73" s="621"/>
      <c r="IR73" s="621"/>
      <c r="IS73" s="621"/>
      <c r="IT73" s="621"/>
      <c r="IU73" s="621"/>
      <c r="IV73" s="621"/>
      <c r="IW73" s="621"/>
      <c r="IX73" s="621"/>
      <c r="IY73" s="621"/>
      <c r="IZ73" s="621"/>
      <c r="JA73" s="621"/>
      <c r="JB73" s="621"/>
      <c r="JC73" s="621"/>
      <c r="JD73" s="621"/>
      <c r="JE73" s="621"/>
      <c r="JF73" s="621"/>
      <c r="JG73" s="621"/>
      <c r="JH73" s="621"/>
      <c r="JI73" s="621"/>
      <c r="JJ73" s="621"/>
      <c r="JK73" s="621"/>
      <c r="JL73" s="621"/>
      <c r="JM73" s="621"/>
      <c r="JN73" s="621"/>
      <c r="JO73" s="621"/>
      <c r="JP73" s="621"/>
      <c r="JQ73" s="621"/>
      <c r="JR73" s="621"/>
      <c r="JS73" s="621"/>
      <c r="JT73" s="621"/>
      <c r="JU73" s="621"/>
      <c r="JV73" s="621"/>
      <c r="JW73" s="621"/>
      <c r="JX73" s="621"/>
      <c r="JY73" s="621"/>
      <c r="JZ73" s="621"/>
      <c r="KA73" s="621"/>
      <c r="KB73" s="621"/>
      <c r="KC73" s="621"/>
      <c r="KD73" s="621"/>
      <c r="KE73" s="621"/>
      <c r="KF73" s="621"/>
      <c r="KG73" s="621"/>
      <c r="KH73" s="621"/>
      <c r="KI73" s="621"/>
      <c r="KJ73" s="621"/>
      <c r="KK73" s="621"/>
      <c r="KL73" s="621"/>
      <c r="KM73" s="621"/>
      <c r="KN73" s="621"/>
      <c r="KO73" s="621"/>
      <c r="KP73" s="621"/>
      <c r="KQ73" s="621"/>
      <c r="KR73" s="621"/>
      <c r="KS73" s="621"/>
      <c r="KT73" s="621"/>
      <c r="KU73" s="621"/>
      <c r="KV73" s="621"/>
      <c r="KW73" s="621"/>
      <c r="KX73" s="621"/>
      <c r="KY73" s="621"/>
      <c r="KZ73" s="621"/>
      <c r="LA73" s="621"/>
      <c r="LB73" s="621"/>
      <c r="LC73" s="621"/>
      <c r="LD73" s="621"/>
      <c r="LE73" s="621"/>
      <c r="LF73" s="621"/>
      <c r="LG73" s="621"/>
      <c r="LH73" s="621"/>
      <c r="LI73" s="621"/>
      <c r="LJ73" s="621"/>
      <c r="LK73" s="621"/>
      <c r="LL73" s="621"/>
      <c r="LM73" s="621"/>
      <c r="LN73" s="621"/>
      <c r="LO73" s="621"/>
      <c r="LP73" s="621"/>
      <c r="LQ73" s="621"/>
      <c r="LR73" s="621"/>
      <c r="LS73" s="621"/>
      <c r="LT73" s="621"/>
      <c r="LU73" s="621"/>
      <c r="LV73" s="621"/>
      <c r="LW73" s="621"/>
      <c r="LX73" s="621"/>
      <c r="LY73" s="621"/>
      <c r="LZ73" s="621"/>
      <c r="MA73" s="621"/>
      <c r="MB73" s="621"/>
      <c r="MC73" s="621"/>
      <c r="MD73" s="621"/>
      <c r="ME73" s="621"/>
      <c r="MF73" s="621"/>
      <c r="MG73" s="621"/>
      <c r="MH73" s="621"/>
      <c r="MI73" s="621"/>
      <c r="MJ73" s="621"/>
      <c r="MK73" s="621"/>
      <c r="ML73" s="621"/>
      <c r="MM73" s="621"/>
      <c r="MN73" s="621"/>
      <c r="MO73" s="621"/>
      <c r="MP73" s="621"/>
      <c r="MQ73" s="621"/>
      <c r="MR73" s="621"/>
      <c r="MS73" s="621"/>
      <c r="MT73" s="621"/>
      <c r="MU73" s="621"/>
      <c r="MV73" s="621"/>
      <c r="MW73" s="621"/>
      <c r="MX73" s="621"/>
      <c r="MY73" s="621"/>
      <c r="MZ73" s="621"/>
      <c r="NA73" s="621"/>
      <c r="NB73" s="621"/>
      <c r="NC73" s="621"/>
      <c r="ND73" s="621"/>
      <c r="NE73" s="621"/>
      <c r="NF73" s="621"/>
      <c r="NG73" s="621"/>
      <c r="NH73" s="621"/>
      <c r="NI73" s="621"/>
      <c r="NJ73" s="621"/>
      <c r="NK73" s="621"/>
      <c r="NL73" s="621"/>
      <c r="NM73" s="621"/>
      <c r="NN73" s="621"/>
      <c r="NO73" s="621"/>
      <c r="NP73" s="621"/>
      <c r="NQ73" s="621"/>
      <c r="NR73" s="621"/>
      <c r="NS73" s="621"/>
      <c r="NT73" s="621"/>
      <c r="NU73" s="621"/>
      <c r="NV73" s="621"/>
      <c r="NW73" s="621"/>
      <c r="NX73" s="621"/>
      <c r="NY73" s="621"/>
      <c r="NZ73" s="621"/>
      <c r="OA73" s="621"/>
      <c r="OB73" s="621"/>
      <c r="OC73" s="621"/>
      <c r="OD73" s="621"/>
      <c r="OE73" s="621"/>
      <c r="OF73" s="621"/>
      <c r="OG73" s="621"/>
      <c r="OH73" s="621"/>
      <c r="OI73" s="621"/>
      <c r="OJ73" s="621"/>
      <c r="OK73" s="621"/>
      <c r="OL73" s="621"/>
      <c r="OM73" s="621"/>
      <c r="ON73" s="621"/>
      <c r="OO73" s="621"/>
      <c r="OP73" s="621"/>
      <c r="OQ73" s="621"/>
      <c r="OR73" s="621"/>
      <c r="OS73" s="621"/>
      <c r="OT73" s="621"/>
      <c r="OU73" s="621"/>
      <c r="OV73" s="621"/>
      <c r="OW73" s="621"/>
      <c r="OX73" s="621"/>
      <c r="OY73" s="621"/>
      <c r="OZ73" s="621"/>
      <c r="PA73" s="621"/>
      <c r="PB73" s="621"/>
      <c r="PC73" s="621"/>
      <c r="PD73" s="621"/>
      <c r="PE73" s="621"/>
      <c r="PF73" s="621"/>
      <c r="PG73" s="621"/>
      <c r="PH73" s="621"/>
      <c r="PI73" s="621"/>
      <c r="PJ73" s="621"/>
      <c r="PK73" s="621"/>
      <c r="PL73" s="621"/>
      <c r="PM73" s="621"/>
      <c r="PN73" s="621"/>
      <c r="PO73" s="621"/>
      <c r="PP73" s="621"/>
      <c r="PQ73" s="621"/>
      <c r="PR73" s="621"/>
      <c r="PS73" s="621"/>
      <c r="PT73" s="621"/>
      <c r="PU73" s="621"/>
      <c r="PV73" s="621"/>
      <c r="PW73" s="621"/>
      <c r="PX73" s="621"/>
      <c r="PY73" s="621"/>
      <c r="PZ73" s="621"/>
      <c r="QA73" s="621"/>
      <c r="QB73" s="621"/>
      <c r="QC73" s="621"/>
      <c r="QD73" s="621"/>
      <c r="QE73" s="621"/>
      <c r="QF73" s="621"/>
      <c r="QG73" s="621"/>
      <c r="QH73" s="621"/>
      <c r="QI73" s="621"/>
      <c r="QJ73" s="621"/>
      <c r="QK73" s="621"/>
      <c r="QL73" s="621"/>
      <c r="QM73" s="621"/>
      <c r="QN73" s="621"/>
      <c r="QO73" s="621"/>
      <c r="QP73" s="621"/>
      <c r="QQ73" s="621"/>
      <c r="QR73" s="621"/>
      <c r="QS73" s="621"/>
      <c r="QT73" s="621"/>
      <c r="QU73" s="621"/>
      <c r="QV73" s="621"/>
      <c r="QW73" s="621"/>
      <c r="QX73" s="621"/>
      <c r="QY73" s="621"/>
      <c r="QZ73" s="621"/>
      <c r="RA73" s="621"/>
      <c r="RB73" s="621"/>
      <c r="RC73" s="621"/>
      <c r="RD73" s="621"/>
      <c r="RE73" s="621"/>
      <c r="RF73" s="621"/>
      <c r="RG73" s="621"/>
      <c r="RH73" s="621"/>
      <c r="RI73" s="621"/>
      <c r="RJ73" s="621"/>
      <c r="RK73" s="621"/>
      <c r="RL73" s="621"/>
      <c r="RM73" s="621"/>
      <c r="RN73" s="621"/>
      <c r="RO73" s="621"/>
      <c r="RP73" s="621"/>
      <c r="RQ73" s="621"/>
      <c r="RR73" s="621"/>
      <c r="RS73" s="621"/>
      <c r="RT73" s="621"/>
      <c r="RU73" s="621"/>
      <c r="RV73" s="621"/>
      <c r="RW73" s="621"/>
      <c r="RX73" s="621"/>
      <c r="RY73" s="621"/>
      <c r="RZ73" s="621"/>
      <c r="SA73" s="621"/>
      <c r="SB73" s="621"/>
      <c r="SC73" s="621"/>
      <c r="SD73" s="621"/>
      <c r="SE73" s="621"/>
      <c r="SF73" s="621"/>
      <c r="SG73" s="621"/>
      <c r="SH73" s="621"/>
      <c r="SI73" s="621"/>
      <c r="SJ73" s="621"/>
      <c r="SK73" s="621"/>
      <c r="SL73" s="621"/>
      <c r="SM73" s="621"/>
      <c r="SN73" s="621"/>
      <c r="SO73" s="621"/>
      <c r="SP73" s="621"/>
      <c r="SQ73" s="621"/>
      <c r="SR73" s="621"/>
      <c r="SS73" s="621"/>
      <c r="ST73" s="621"/>
      <c r="SU73" s="621"/>
      <c r="SV73" s="621"/>
      <c r="SW73" s="621"/>
      <c r="SX73" s="621"/>
      <c r="SY73" s="621"/>
      <c r="SZ73" s="621"/>
      <c r="TA73" s="621"/>
      <c r="TB73" s="621"/>
      <c r="TC73" s="621"/>
      <c r="TD73" s="621"/>
      <c r="TE73" s="621"/>
      <c r="TF73" s="621"/>
      <c r="TG73" s="621"/>
      <c r="TH73" s="621"/>
      <c r="TI73" s="621"/>
      <c r="TJ73" s="621"/>
      <c r="TK73" s="621"/>
      <c r="TL73" s="621"/>
      <c r="TM73" s="621"/>
      <c r="TN73" s="621"/>
      <c r="TO73" s="621"/>
      <c r="TP73" s="621"/>
      <c r="TQ73" s="621"/>
      <c r="TR73" s="621"/>
      <c r="TS73" s="621"/>
      <c r="TT73" s="621"/>
      <c r="TU73" s="621"/>
      <c r="TV73" s="621"/>
      <c r="TW73" s="621"/>
      <c r="TX73" s="621"/>
      <c r="TY73" s="621"/>
      <c r="TZ73" s="621"/>
      <c r="UA73" s="621"/>
      <c r="UB73" s="621"/>
      <c r="UC73" s="621"/>
      <c r="UD73" s="621"/>
      <c r="UE73" s="621"/>
      <c r="UF73" s="621"/>
      <c r="UG73" s="621"/>
      <c r="UH73" s="621"/>
      <c r="UI73" s="621"/>
      <c r="UJ73" s="621"/>
      <c r="UK73" s="621"/>
      <c r="UL73" s="621"/>
      <c r="UM73" s="621"/>
      <c r="UN73" s="621"/>
      <c r="UO73" s="621"/>
      <c r="UP73" s="621"/>
      <c r="UQ73" s="621"/>
      <c r="UR73" s="621"/>
      <c r="US73" s="621"/>
      <c r="UT73" s="621"/>
      <c r="UU73" s="621"/>
      <c r="UV73" s="621"/>
      <c r="UW73" s="621"/>
      <c r="UX73" s="621"/>
      <c r="UY73" s="621"/>
      <c r="UZ73" s="621"/>
      <c r="VA73" s="621"/>
      <c r="VB73" s="621"/>
      <c r="VC73" s="621"/>
      <c r="VD73" s="621"/>
      <c r="VE73" s="621"/>
      <c r="VF73" s="621"/>
      <c r="VG73" s="621"/>
      <c r="VH73" s="621"/>
      <c r="VI73" s="621"/>
      <c r="VJ73" s="621"/>
      <c r="VK73" s="621"/>
      <c r="VL73" s="621"/>
      <c r="VM73" s="621"/>
      <c r="VN73" s="621"/>
      <c r="VO73" s="621"/>
      <c r="VP73" s="621"/>
      <c r="VQ73" s="621"/>
      <c r="VR73" s="621"/>
      <c r="VS73" s="621"/>
      <c r="VT73" s="621"/>
      <c r="VU73" s="621"/>
      <c r="VV73" s="621"/>
      <c r="VW73" s="621"/>
      <c r="VX73" s="621"/>
      <c r="VY73" s="621"/>
      <c r="VZ73" s="621"/>
      <c r="WA73" s="621"/>
      <c r="WB73" s="621"/>
      <c r="WC73" s="621"/>
      <c r="WD73" s="621"/>
      <c r="WE73" s="621"/>
      <c r="WF73" s="621"/>
      <c r="WG73" s="621"/>
      <c r="WH73" s="621"/>
      <c r="WI73" s="621"/>
      <c r="WJ73" s="621"/>
      <c r="WK73" s="621"/>
      <c r="WL73" s="621"/>
      <c r="WM73" s="621"/>
      <c r="WN73" s="621"/>
      <c r="WO73" s="621"/>
      <c r="WP73" s="621"/>
      <c r="WQ73" s="621"/>
      <c r="WR73" s="621"/>
      <c r="WS73" s="621"/>
      <c r="WT73" s="621"/>
      <c r="WU73" s="621"/>
      <c r="WV73" s="621"/>
      <c r="WW73" s="621"/>
      <c r="WX73" s="621"/>
      <c r="WY73" s="621"/>
      <c r="WZ73" s="621"/>
      <c r="XA73" s="621"/>
      <c r="XB73" s="621"/>
      <c r="XC73" s="621"/>
      <c r="XD73" s="621"/>
      <c r="XE73" s="621"/>
      <c r="XF73" s="621"/>
      <c r="XG73" s="621"/>
      <c r="XH73" s="621"/>
      <c r="XI73" s="621"/>
      <c r="XJ73" s="621"/>
      <c r="XK73" s="621"/>
      <c r="XL73" s="621"/>
      <c r="XM73" s="621"/>
      <c r="XN73" s="621"/>
      <c r="XO73" s="621"/>
      <c r="XP73" s="621"/>
      <c r="XQ73" s="621"/>
      <c r="XR73" s="621"/>
      <c r="XS73" s="621"/>
      <c r="XT73" s="621"/>
      <c r="XU73" s="621"/>
      <c r="XV73" s="621"/>
      <c r="XW73" s="621"/>
      <c r="XX73" s="621"/>
      <c r="XY73" s="621"/>
      <c r="XZ73" s="621"/>
      <c r="YA73" s="621"/>
      <c r="YB73" s="621"/>
      <c r="YC73" s="621"/>
      <c r="YD73" s="621"/>
      <c r="YE73" s="621"/>
      <c r="YF73" s="621"/>
      <c r="YG73" s="621"/>
      <c r="YH73" s="621"/>
      <c r="YI73" s="621"/>
      <c r="YJ73" s="621"/>
      <c r="YK73" s="621"/>
      <c r="YL73" s="621"/>
      <c r="YM73" s="621"/>
      <c r="YN73" s="621"/>
      <c r="YO73" s="621"/>
      <c r="YP73" s="621"/>
      <c r="YQ73" s="621"/>
      <c r="YR73" s="621"/>
      <c r="YS73" s="621"/>
      <c r="YT73" s="621"/>
      <c r="YU73" s="621"/>
      <c r="YV73" s="621"/>
      <c r="YW73" s="621"/>
      <c r="YX73" s="621"/>
      <c r="YY73" s="621"/>
      <c r="YZ73" s="621"/>
      <c r="ZA73" s="621"/>
      <c r="ZB73" s="621"/>
      <c r="ZC73" s="621"/>
      <c r="ZD73" s="621"/>
      <c r="ZE73" s="621"/>
      <c r="ZF73" s="621"/>
      <c r="ZG73" s="621"/>
      <c r="ZH73" s="621"/>
      <c r="ZI73" s="621"/>
      <c r="ZJ73" s="621"/>
      <c r="ZK73" s="621"/>
      <c r="ZL73" s="621"/>
      <c r="ZM73" s="621"/>
      <c r="ZN73" s="621"/>
      <c r="ZO73" s="621"/>
      <c r="ZP73" s="621"/>
      <c r="ZQ73" s="621"/>
      <c r="ZR73" s="621"/>
      <c r="ZS73" s="621"/>
      <c r="ZT73" s="621"/>
      <c r="ZU73" s="621"/>
      <c r="ZV73" s="621"/>
      <c r="ZW73" s="621"/>
      <c r="ZX73" s="621"/>
      <c r="ZY73" s="621"/>
      <c r="ZZ73" s="621"/>
      <c r="AAA73" s="621"/>
      <c r="AAB73" s="621"/>
      <c r="AAC73" s="621"/>
      <c r="AAD73" s="621"/>
      <c r="AAE73" s="621"/>
      <c r="AAF73" s="621"/>
      <c r="AAG73" s="621"/>
      <c r="AAH73" s="621"/>
      <c r="AAI73" s="621"/>
      <c r="AAJ73" s="621"/>
      <c r="AAK73" s="621"/>
      <c r="AAL73" s="621"/>
      <c r="AAM73" s="621"/>
      <c r="AAN73" s="621"/>
      <c r="AAO73" s="621"/>
      <c r="AAP73" s="621"/>
      <c r="AAQ73" s="621"/>
      <c r="AAR73" s="621"/>
      <c r="AAS73" s="621"/>
      <c r="AAT73" s="621"/>
      <c r="AAU73" s="621"/>
      <c r="AAV73" s="621"/>
      <c r="AAW73" s="621"/>
      <c r="AAX73" s="621"/>
      <c r="AAY73" s="621"/>
      <c r="AAZ73" s="621"/>
      <c r="ABA73" s="621"/>
      <c r="ABB73" s="621"/>
      <c r="ABC73" s="621"/>
      <c r="ABD73" s="621"/>
      <c r="ABE73" s="621"/>
      <c r="ABF73" s="621"/>
      <c r="ABG73" s="621"/>
      <c r="ABH73" s="621"/>
      <c r="ABI73" s="621"/>
      <c r="ABJ73" s="621"/>
      <c r="ABK73" s="621"/>
      <c r="ABL73" s="621"/>
      <c r="ABM73" s="621"/>
      <c r="ABN73" s="621"/>
      <c r="ABO73" s="621"/>
      <c r="ABP73" s="621"/>
      <c r="ABQ73" s="621"/>
      <c r="ABR73" s="621"/>
      <c r="ABS73" s="621"/>
      <c r="ABT73" s="621"/>
      <c r="ABU73" s="621"/>
      <c r="ABV73" s="621"/>
      <c r="ABW73" s="621"/>
      <c r="ABX73" s="621"/>
      <c r="ABY73" s="621"/>
      <c r="ABZ73" s="621"/>
      <c r="ACA73" s="621"/>
      <c r="ACB73" s="621"/>
      <c r="ACC73" s="621"/>
      <c r="ACD73" s="621"/>
      <c r="ACE73" s="621"/>
      <c r="ACF73" s="621"/>
      <c r="ACG73" s="621"/>
      <c r="ACH73" s="621"/>
      <c r="ACI73" s="621"/>
      <c r="ACJ73" s="621"/>
      <c r="ACK73" s="621"/>
      <c r="ACL73" s="621"/>
      <c r="ACM73" s="621"/>
      <c r="ACN73" s="621"/>
      <c r="ACO73" s="621"/>
      <c r="ACP73" s="621"/>
      <c r="ACQ73" s="621"/>
      <c r="ACR73" s="621"/>
      <c r="ACS73" s="621"/>
      <c r="ACT73" s="621"/>
      <c r="ACU73" s="621"/>
      <c r="ACV73" s="621"/>
      <c r="ACW73" s="621"/>
      <c r="ACX73" s="621"/>
      <c r="ACY73" s="621"/>
      <c r="ACZ73" s="621"/>
      <c r="ADA73" s="621"/>
      <c r="ADB73" s="621"/>
      <c r="ADC73" s="621"/>
      <c r="ADD73" s="621"/>
      <c r="ADE73" s="621"/>
      <c r="ADF73" s="621"/>
      <c r="ADG73" s="621"/>
      <c r="ADH73" s="621"/>
      <c r="ADI73" s="621"/>
      <c r="ADJ73" s="621"/>
      <c r="ADK73" s="621"/>
      <c r="ADL73" s="621"/>
      <c r="ADM73" s="621"/>
      <c r="ADN73" s="621"/>
      <c r="ADO73" s="621"/>
      <c r="ADP73" s="621"/>
      <c r="ADQ73" s="621"/>
      <c r="ADR73" s="621"/>
      <c r="ADS73" s="621"/>
      <c r="ADT73" s="621"/>
      <c r="ADU73" s="621"/>
      <c r="ADV73" s="621"/>
      <c r="ADW73" s="621"/>
      <c r="ADX73" s="621"/>
      <c r="ADY73" s="621"/>
      <c r="ADZ73" s="621"/>
      <c r="AEA73" s="621"/>
      <c r="AEB73" s="621"/>
      <c r="AEC73" s="621"/>
      <c r="AED73" s="621"/>
      <c r="AEE73" s="621"/>
      <c r="AEF73" s="621"/>
      <c r="AEG73" s="621"/>
      <c r="AEH73" s="621"/>
      <c r="AEI73" s="621"/>
      <c r="AEJ73" s="621"/>
      <c r="AEK73" s="621"/>
      <c r="AEL73" s="621"/>
      <c r="AEM73" s="621"/>
      <c r="AEN73" s="621"/>
      <c r="AEO73" s="621"/>
      <c r="AEP73" s="621"/>
      <c r="AEQ73" s="621"/>
      <c r="AER73" s="621"/>
      <c r="AES73" s="621"/>
      <c r="AET73" s="621"/>
      <c r="AEU73" s="621"/>
      <c r="AEV73" s="621"/>
      <c r="AEW73" s="621"/>
      <c r="AEX73" s="621"/>
      <c r="AEY73" s="621"/>
      <c r="AEZ73" s="621"/>
      <c r="AFA73" s="621"/>
      <c r="AFB73" s="621"/>
      <c r="AFC73" s="621"/>
      <c r="AFD73" s="621"/>
      <c r="AFE73" s="621"/>
      <c r="AFF73" s="621"/>
      <c r="AFG73" s="621"/>
      <c r="AFH73" s="621"/>
      <c r="AFI73" s="621"/>
      <c r="AFJ73" s="621"/>
      <c r="AFK73" s="621"/>
      <c r="AFL73" s="621"/>
      <c r="AFM73" s="621"/>
      <c r="AFN73" s="621"/>
      <c r="AFO73" s="621"/>
      <c r="AFP73" s="621"/>
      <c r="AFQ73" s="621"/>
      <c r="AFR73" s="621"/>
      <c r="AFS73" s="621"/>
      <c r="AFT73" s="621"/>
      <c r="AFU73" s="621"/>
      <c r="AFV73" s="621"/>
      <c r="AFW73" s="621"/>
      <c r="AFX73" s="621"/>
      <c r="AFY73" s="621"/>
      <c r="AFZ73" s="621"/>
      <c r="AGA73" s="621"/>
      <c r="AGB73" s="621"/>
      <c r="AGC73" s="621"/>
      <c r="AGD73" s="621"/>
      <c r="AGE73" s="621"/>
      <c r="AGF73" s="621"/>
      <c r="AGG73" s="621"/>
      <c r="AGH73" s="621"/>
      <c r="AGI73" s="621"/>
      <c r="AGJ73" s="621"/>
      <c r="AGK73" s="621"/>
      <c r="AGL73" s="621"/>
      <c r="AGM73" s="621"/>
      <c r="AGN73" s="621"/>
      <c r="AGO73" s="621"/>
      <c r="AGP73" s="621"/>
      <c r="AGQ73" s="621"/>
      <c r="AGR73" s="621"/>
      <c r="AGS73" s="621"/>
      <c r="AGT73" s="621"/>
      <c r="AGU73" s="621"/>
      <c r="AGV73" s="621"/>
      <c r="AGW73" s="621"/>
      <c r="AGX73" s="621"/>
      <c r="AGY73" s="621"/>
      <c r="AGZ73" s="621"/>
      <c r="AHA73" s="621"/>
      <c r="AHB73" s="621"/>
      <c r="AHC73" s="621"/>
      <c r="AHD73" s="621"/>
      <c r="AHE73" s="621"/>
      <c r="AHF73" s="621"/>
      <c r="AHG73" s="621"/>
      <c r="AHH73" s="621"/>
      <c r="AHI73" s="621"/>
      <c r="AHJ73" s="621"/>
      <c r="AHK73" s="621"/>
      <c r="AHL73" s="621"/>
      <c r="AHM73" s="621"/>
      <c r="AHN73" s="621"/>
      <c r="AHO73" s="621"/>
      <c r="AHP73" s="621"/>
      <c r="AHQ73" s="621"/>
      <c r="AHR73" s="621"/>
      <c r="AHS73" s="621"/>
      <c r="AHT73" s="621"/>
      <c r="AHU73" s="621"/>
      <c r="AHV73" s="621"/>
      <c r="AHW73" s="621"/>
      <c r="AHX73" s="621"/>
      <c r="AHY73" s="621"/>
      <c r="AHZ73" s="621"/>
      <c r="AIA73" s="621"/>
      <c r="AIB73" s="621"/>
      <c r="AIC73" s="621"/>
      <c r="AID73" s="621"/>
      <c r="AIE73" s="621"/>
      <c r="AIF73" s="621"/>
      <c r="AIG73" s="621"/>
      <c r="AIH73" s="621"/>
      <c r="AII73" s="621"/>
      <c r="AIJ73" s="621"/>
      <c r="AIK73" s="621"/>
      <c r="AIL73" s="621"/>
      <c r="AIM73" s="621"/>
      <c r="AIN73" s="621"/>
      <c r="AIO73" s="621"/>
      <c r="AIP73" s="621"/>
      <c r="AIQ73" s="621"/>
      <c r="AIR73" s="621"/>
      <c r="AIS73" s="621"/>
      <c r="AIT73" s="621"/>
      <c r="AIU73" s="621"/>
      <c r="AIV73" s="621"/>
      <c r="AIW73" s="621"/>
      <c r="AIX73" s="621"/>
      <c r="AIY73" s="621"/>
      <c r="AIZ73" s="621"/>
      <c r="AJA73" s="621"/>
      <c r="AJB73" s="621"/>
      <c r="AJC73" s="621"/>
      <c r="AJD73" s="621"/>
      <c r="AJE73" s="621"/>
      <c r="AJF73" s="621"/>
      <c r="AJG73" s="621"/>
      <c r="AJH73" s="621"/>
      <c r="AJI73" s="621"/>
      <c r="AJJ73" s="621"/>
      <c r="AJK73" s="621"/>
      <c r="AJL73" s="621"/>
      <c r="AJM73" s="621"/>
      <c r="AJN73" s="621"/>
      <c r="AJO73" s="621"/>
      <c r="AJP73" s="621"/>
      <c r="AJQ73" s="621"/>
      <c r="AJR73" s="621"/>
      <c r="AJS73" s="621"/>
      <c r="AJT73" s="621"/>
      <c r="AJU73" s="621"/>
      <c r="AJV73" s="621"/>
      <c r="AJW73" s="621"/>
      <c r="AJX73" s="621"/>
      <c r="AJY73" s="621"/>
      <c r="AJZ73" s="621"/>
      <c r="AKA73" s="621"/>
      <c r="AKB73" s="621"/>
      <c r="AKC73" s="621"/>
      <c r="AKD73" s="621"/>
      <c r="AKE73" s="621"/>
      <c r="AKF73" s="621"/>
      <c r="AKG73" s="621"/>
      <c r="AKH73" s="621"/>
      <c r="AKI73" s="621"/>
      <c r="AKJ73" s="621"/>
      <c r="AKK73" s="621"/>
      <c r="AKL73" s="621"/>
      <c r="AKM73" s="621"/>
      <c r="AKN73" s="621"/>
      <c r="AKO73" s="621"/>
      <c r="AKP73" s="621"/>
      <c r="AKQ73" s="621"/>
      <c r="AKR73" s="621"/>
      <c r="AKS73" s="621"/>
      <c r="AKT73" s="621"/>
      <c r="AKU73" s="621"/>
      <c r="AKV73" s="621"/>
      <c r="AKW73" s="621"/>
      <c r="AKX73" s="621"/>
      <c r="AKY73" s="621"/>
      <c r="AKZ73" s="621"/>
      <c r="ALA73" s="621"/>
      <c r="ALB73" s="621"/>
      <c r="ALC73" s="621"/>
      <c r="ALD73" s="621"/>
      <c r="ALE73" s="621"/>
      <c r="ALF73" s="621"/>
      <c r="ALG73" s="621"/>
      <c r="ALH73" s="621"/>
      <c r="ALI73" s="621"/>
      <c r="ALJ73" s="621"/>
      <c r="ALK73" s="621"/>
      <c r="ALL73" s="621"/>
      <c r="ALM73" s="621"/>
      <c r="ALN73" s="621"/>
      <c r="ALO73" s="621"/>
      <c r="ALP73" s="621"/>
      <c r="ALQ73" s="621"/>
      <c r="ALR73" s="621"/>
      <c r="ALS73" s="621"/>
      <c r="ALT73" s="621"/>
      <c r="ALU73" s="621"/>
      <c r="ALV73" s="621"/>
      <c r="ALW73" s="621"/>
      <c r="ALX73" s="621"/>
      <c r="ALY73" s="621"/>
      <c r="ALZ73" s="621"/>
      <c r="AMA73" s="621"/>
      <c r="AMB73" s="621"/>
      <c r="AMC73" s="621"/>
      <c r="AMD73" s="621"/>
      <c r="AME73" s="621"/>
      <c r="AMF73" s="621"/>
      <c r="AMG73" s="621"/>
      <c r="AMH73" s="621"/>
      <c r="AMI73" s="621"/>
      <c r="AMJ73" s="621"/>
      <c r="AMK73" s="621"/>
    </row>
    <row r="74" spans="1:1025" ht="39" customHeight="1" thickBot="1">
      <c r="A74" s="468"/>
      <c r="B74" s="469" t="s">
        <v>406</v>
      </c>
      <c r="C74" s="1491">
        <f>C67+C62+C59+C56+C53+C40+C26</f>
        <v>1877590.0340999998</v>
      </c>
      <c r="D74" s="1492">
        <f>D67+D62+D59+D56+D53+D40+D26</f>
        <v>1515320.5319999999</v>
      </c>
      <c r="E74" s="2025"/>
      <c r="F74" s="2025"/>
      <c r="G74" s="1491">
        <f>SUM(G26:G73)</f>
        <v>2514309.1958500589</v>
      </c>
      <c r="H74" s="1570">
        <f>SUM(H26:H73)</f>
        <v>1669120.7125276423</v>
      </c>
      <c r="I74" s="1490"/>
      <c r="J74" s="542">
        <v>1576844.8871666701</v>
      </c>
      <c r="K74" s="594">
        <f>+D74-J74</f>
        <v>-61524.355166670168</v>
      </c>
      <c r="L74" s="413"/>
      <c r="M74" s="542"/>
      <c r="N74" s="272"/>
      <c r="O74" s="474"/>
      <c r="P74" s="272"/>
      <c r="AD74" s="1455"/>
      <c r="AE74" s="1486"/>
      <c r="AF74" s="1489" t="s">
        <v>133</v>
      </c>
      <c r="AG74" s="1485"/>
      <c r="AH74" s="1485">
        <v>8</v>
      </c>
      <c r="AI74" s="1485">
        <v>6</v>
      </c>
      <c r="AJ74" s="1485">
        <f>AG74*AH74*AI74</f>
        <v>0</v>
      </c>
      <c r="AK74" s="1485">
        <v>2</v>
      </c>
      <c r="AL74" s="1485">
        <f>AJ74*AK74</f>
        <v>0</v>
      </c>
      <c r="AM74" s="1475">
        <f t="shared" si="15"/>
        <v>0</v>
      </c>
      <c r="AN74" s="1484">
        <v>20</v>
      </c>
      <c r="AO74" s="1483">
        <f>AJ74*AN74</f>
        <v>0</v>
      </c>
      <c r="AP74" s="289"/>
      <c r="AU74" s="621"/>
      <c r="AV74" s="621"/>
      <c r="AW74" s="621"/>
      <c r="AX74" s="621"/>
      <c r="AY74" s="621"/>
      <c r="AZ74" s="621"/>
      <c r="BA74" s="621"/>
      <c r="BB74" s="621"/>
      <c r="BC74" s="621"/>
      <c r="BD74" s="621"/>
      <c r="BE74" s="621"/>
      <c r="BF74" s="621"/>
      <c r="BG74" s="621"/>
      <c r="BH74" s="621"/>
      <c r="BI74" s="621"/>
      <c r="BJ74" s="621"/>
      <c r="BK74" s="621"/>
      <c r="BL74" s="621"/>
      <c r="BM74" s="621"/>
      <c r="BN74" s="621"/>
      <c r="BO74" s="621"/>
      <c r="BP74" s="621"/>
      <c r="BQ74" s="621"/>
      <c r="BR74" s="621"/>
      <c r="BS74" s="621"/>
      <c r="BT74" s="621"/>
      <c r="BU74" s="621"/>
      <c r="BV74" s="621"/>
      <c r="BW74" s="621"/>
      <c r="BX74" s="621"/>
      <c r="BY74" s="621"/>
      <c r="BZ74" s="621"/>
      <c r="CA74" s="621"/>
      <c r="CB74" s="621"/>
      <c r="CC74" s="621"/>
      <c r="CD74" s="621"/>
      <c r="CE74" s="621"/>
      <c r="CF74" s="621"/>
      <c r="CG74" s="621"/>
      <c r="CH74" s="621"/>
      <c r="CI74" s="621"/>
      <c r="CJ74" s="621"/>
      <c r="CK74" s="621"/>
      <c r="CL74" s="621"/>
      <c r="CM74" s="621"/>
      <c r="CN74" s="621"/>
      <c r="CO74" s="621"/>
      <c r="CP74" s="621"/>
      <c r="CQ74" s="621"/>
      <c r="CR74" s="621"/>
      <c r="CS74" s="621"/>
      <c r="CT74" s="621"/>
      <c r="CU74" s="621"/>
      <c r="CV74" s="621"/>
      <c r="CW74" s="621"/>
      <c r="CX74" s="621"/>
      <c r="CY74" s="621"/>
      <c r="CZ74" s="621"/>
      <c r="DA74" s="621"/>
      <c r="DB74" s="621"/>
      <c r="DC74" s="621"/>
      <c r="DD74" s="621"/>
      <c r="DE74" s="621"/>
      <c r="DF74" s="621"/>
      <c r="DG74" s="621"/>
      <c r="DH74" s="621"/>
      <c r="DI74" s="621"/>
      <c r="DJ74" s="621"/>
      <c r="DK74" s="621"/>
      <c r="DL74" s="621"/>
      <c r="DM74" s="621"/>
      <c r="DN74" s="621"/>
      <c r="DO74" s="621"/>
      <c r="DP74" s="621"/>
      <c r="DQ74" s="621"/>
      <c r="DR74" s="621"/>
      <c r="DS74" s="621"/>
      <c r="DT74" s="621"/>
      <c r="DU74" s="621"/>
      <c r="DV74" s="621"/>
      <c r="DW74" s="621"/>
      <c r="DX74" s="621"/>
      <c r="DY74" s="621"/>
      <c r="DZ74" s="621"/>
      <c r="EA74" s="621"/>
      <c r="EB74" s="621"/>
      <c r="EC74" s="621"/>
      <c r="ED74" s="621"/>
      <c r="EE74" s="621"/>
      <c r="EF74" s="621"/>
      <c r="EG74" s="621"/>
      <c r="EH74" s="621"/>
      <c r="EI74" s="621"/>
      <c r="EJ74" s="621"/>
      <c r="EK74" s="621"/>
      <c r="EL74" s="621"/>
      <c r="EM74" s="621"/>
      <c r="EN74" s="621"/>
      <c r="EO74" s="621"/>
      <c r="EP74" s="621"/>
      <c r="EQ74" s="621"/>
      <c r="ER74" s="621"/>
      <c r="ES74" s="621"/>
      <c r="ET74" s="621"/>
      <c r="EU74" s="621"/>
      <c r="EV74" s="621"/>
      <c r="EW74" s="621"/>
      <c r="EX74" s="621"/>
      <c r="EY74" s="621"/>
      <c r="EZ74" s="621"/>
      <c r="FA74" s="621"/>
      <c r="FB74" s="621"/>
      <c r="FC74" s="621"/>
      <c r="FD74" s="621"/>
      <c r="FE74" s="621"/>
      <c r="FF74" s="621"/>
      <c r="FG74" s="621"/>
      <c r="FH74" s="621"/>
      <c r="FI74" s="621"/>
      <c r="FJ74" s="621"/>
      <c r="FK74" s="621"/>
      <c r="FL74" s="621"/>
      <c r="FM74" s="621"/>
      <c r="FN74" s="621"/>
      <c r="FO74" s="621"/>
      <c r="FP74" s="621"/>
      <c r="FQ74" s="621"/>
      <c r="FR74" s="621"/>
      <c r="FS74" s="621"/>
      <c r="FT74" s="621"/>
      <c r="FU74" s="621"/>
      <c r="FV74" s="621"/>
      <c r="FW74" s="621"/>
      <c r="FX74" s="621"/>
      <c r="FY74" s="621"/>
      <c r="FZ74" s="621"/>
      <c r="GA74" s="621"/>
      <c r="GB74" s="621"/>
      <c r="GC74" s="621"/>
      <c r="GD74" s="621"/>
      <c r="GE74" s="621"/>
      <c r="GF74" s="621"/>
      <c r="GG74" s="621"/>
      <c r="GH74" s="621"/>
      <c r="GI74" s="621"/>
      <c r="GJ74" s="621"/>
      <c r="GK74" s="621"/>
      <c r="GL74" s="621"/>
      <c r="GM74" s="621"/>
      <c r="GN74" s="621"/>
      <c r="GO74" s="621"/>
      <c r="GP74" s="621"/>
      <c r="GQ74" s="621"/>
      <c r="GR74" s="621"/>
      <c r="GS74" s="621"/>
      <c r="GT74" s="621"/>
      <c r="GU74" s="621"/>
      <c r="GV74" s="621"/>
      <c r="GW74" s="621"/>
      <c r="GX74" s="621"/>
      <c r="GY74" s="621"/>
      <c r="GZ74" s="621"/>
      <c r="HA74" s="621"/>
      <c r="HB74" s="621"/>
      <c r="HC74" s="621"/>
      <c r="HD74" s="621"/>
      <c r="HE74" s="621"/>
      <c r="HF74" s="621"/>
      <c r="HG74" s="621"/>
      <c r="HH74" s="621"/>
      <c r="HI74" s="621"/>
      <c r="HJ74" s="621"/>
      <c r="HK74" s="621"/>
      <c r="HL74" s="621"/>
      <c r="HM74" s="621"/>
      <c r="HN74" s="621"/>
      <c r="HO74" s="621"/>
      <c r="HP74" s="621"/>
      <c r="HQ74" s="621"/>
      <c r="HR74" s="621"/>
      <c r="HS74" s="621"/>
      <c r="HT74" s="621"/>
      <c r="HU74" s="621"/>
      <c r="HV74" s="621"/>
      <c r="HW74" s="621"/>
      <c r="HX74" s="621"/>
      <c r="HY74" s="621"/>
      <c r="HZ74" s="621"/>
      <c r="IA74" s="621"/>
      <c r="IB74" s="621"/>
      <c r="IC74" s="621"/>
      <c r="ID74" s="621"/>
      <c r="IE74" s="621"/>
      <c r="IF74" s="621"/>
      <c r="IG74" s="621"/>
      <c r="IH74" s="621"/>
      <c r="II74" s="621"/>
      <c r="IJ74" s="621"/>
      <c r="IK74" s="621"/>
      <c r="IL74" s="621"/>
      <c r="IM74" s="621"/>
      <c r="IN74" s="621"/>
      <c r="IO74" s="621"/>
      <c r="IP74" s="621"/>
      <c r="IQ74" s="621"/>
      <c r="IR74" s="621"/>
      <c r="IS74" s="621"/>
      <c r="IT74" s="621"/>
      <c r="IU74" s="621"/>
      <c r="IV74" s="621"/>
      <c r="IW74" s="621"/>
      <c r="IX74" s="621"/>
      <c r="IY74" s="621"/>
      <c r="IZ74" s="621"/>
      <c r="JA74" s="621"/>
      <c r="JB74" s="621"/>
      <c r="JC74" s="621"/>
      <c r="JD74" s="621"/>
      <c r="JE74" s="621"/>
      <c r="JF74" s="621"/>
      <c r="JG74" s="621"/>
      <c r="JH74" s="621"/>
      <c r="JI74" s="621"/>
      <c r="JJ74" s="621"/>
      <c r="JK74" s="621"/>
      <c r="JL74" s="621"/>
      <c r="JM74" s="621"/>
      <c r="JN74" s="621"/>
      <c r="JO74" s="621"/>
      <c r="JP74" s="621"/>
      <c r="JQ74" s="621"/>
      <c r="JR74" s="621"/>
      <c r="JS74" s="621"/>
      <c r="JT74" s="621"/>
      <c r="JU74" s="621"/>
      <c r="JV74" s="621"/>
      <c r="JW74" s="621"/>
      <c r="JX74" s="621"/>
      <c r="JY74" s="621"/>
      <c r="JZ74" s="621"/>
      <c r="KA74" s="621"/>
      <c r="KB74" s="621"/>
      <c r="KC74" s="621"/>
      <c r="KD74" s="621"/>
      <c r="KE74" s="621"/>
      <c r="KF74" s="621"/>
      <c r="KG74" s="621"/>
      <c r="KH74" s="621"/>
      <c r="KI74" s="621"/>
      <c r="KJ74" s="621"/>
      <c r="KK74" s="621"/>
      <c r="KL74" s="621"/>
      <c r="KM74" s="621"/>
      <c r="KN74" s="621"/>
      <c r="KO74" s="621"/>
      <c r="KP74" s="621"/>
      <c r="KQ74" s="621"/>
      <c r="KR74" s="621"/>
      <c r="KS74" s="621"/>
      <c r="KT74" s="621"/>
      <c r="KU74" s="621"/>
      <c r="KV74" s="621"/>
      <c r="KW74" s="621"/>
      <c r="KX74" s="621"/>
      <c r="KY74" s="621"/>
      <c r="KZ74" s="621"/>
      <c r="LA74" s="621"/>
      <c r="LB74" s="621"/>
      <c r="LC74" s="621"/>
      <c r="LD74" s="621"/>
      <c r="LE74" s="621"/>
      <c r="LF74" s="621"/>
      <c r="LG74" s="621"/>
      <c r="LH74" s="621"/>
      <c r="LI74" s="621"/>
      <c r="LJ74" s="621"/>
      <c r="LK74" s="621"/>
      <c r="LL74" s="621"/>
      <c r="LM74" s="621"/>
      <c r="LN74" s="621"/>
      <c r="LO74" s="621"/>
      <c r="LP74" s="621"/>
      <c r="LQ74" s="621"/>
      <c r="LR74" s="621"/>
      <c r="LS74" s="621"/>
      <c r="LT74" s="621"/>
      <c r="LU74" s="621"/>
      <c r="LV74" s="621"/>
      <c r="LW74" s="621"/>
      <c r="LX74" s="621"/>
      <c r="LY74" s="621"/>
      <c r="LZ74" s="621"/>
      <c r="MA74" s="621"/>
      <c r="MB74" s="621"/>
      <c r="MC74" s="621"/>
      <c r="MD74" s="621"/>
      <c r="ME74" s="621"/>
      <c r="MF74" s="621"/>
      <c r="MG74" s="621"/>
      <c r="MH74" s="621"/>
      <c r="MI74" s="621"/>
      <c r="MJ74" s="621"/>
      <c r="MK74" s="621"/>
      <c r="ML74" s="621"/>
      <c r="MM74" s="621"/>
      <c r="MN74" s="621"/>
      <c r="MO74" s="621"/>
      <c r="MP74" s="621"/>
      <c r="MQ74" s="621"/>
      <c r="MR74" s="621"/>
      <c r="MS74" s="621"/>
      <c r="MT74" s="621"/>
      <c r="MU74" s="621"/>
      <c r="MV74" s="621"/>
      <c r="MW74" s="621"/>
      <c r="MX74" s="621"/>
      <c r="MY74" s="621"/>
      <c r="MZ74" s="621"/>
      <c r="NA74" s="621"/>
      <c r="NB74" s="621"/>
      <c r="NC74" s="621"/>
      <c r="ND74" s="621"/>
      <c r="NE74" s="621"/>
      <c r="NF74" s="621"/>
      <c r="NG74" s="621"/>
      <c r="NH74" s="621"/>
      <c r="NI74" s="621"/>
      <c r="NJ74" s="621"/>
      <c r="NK74" s="621"/>
      <c r="NL74" s="621"/>
      <c r="NM74" s="621"/>
      <c r="NN74" s="621"/>
      <c r="NO74" s="621"/>
      <c r="NP74" s="621"/>
      <c r="NQ74" s="621"/>
      <c r="NR74" s="621"/>
      <c r="NS74" s="621"/>
      <c r="NT74" s="621"/>
      <c r="NU74" s="621"/>
      <c r="NV74" s="621"/>
      <c r="NW74" s="621"/>
      <c r="NX74" s="621"/>
      <c r="NY74" s="621"/>
      <c r="NZ74" s="621"/>
      <c r="OA74" s="621"/>
      <c r="OB74" s="621"/>
      <c r="OC74" s="621"/>
      <c r="OD74" s="621"/>
      <c r="OE74" s="621"/>
      <c r="OF74" s="621"/>
      <c r="OG74" s="621"/>
      <c r="OH74" s="621"/>
      <c r="OI74" s="621"/>
      <c r="OJ74" s="621"/>
      <c r="OK74" s="621"/>
      <c r="OL74" s="621"/>
      <c r="OM74" s="621"/>
      <c r="ON74" s="621"/>
      <c r="OO74" s="621"/>
      <c r="OP74" s="621"/>
      <c r="OQ74" s="621"/>
      <c r="OR74" s="621"/>
      <c r="OS74" s="621"/>
      <c r="OT74" s="621"/>
      <c r="OU74" s="621"/>
      <c r="OV74" s="621"/>
      <c r="OW74" s="621"/>
      <c r="OX74" s="621"/>
      <c r="OY74" s="621"/>
      <c r="OZ74" s="621"/>
      <c r="PA74" s="621"/>
      <c r="PB74" s="621"/>
      <c r="PC74" s="621"/>
      <c r="PD74" s="621"/>
      <c r="PE74" s="621"/>
      <c r="PF74" s="621"/>
      <c r="PG74" s="621"/>
      <c r="PH74" s="621"/>
      <c r="PI74" s="621"/>
      <c r="PJ74" s="621"/>
      <c r="PK74" s="621"/>
      <c r="PL74" s="621"/>
      <c r="PM74" s="621"/>
      <c r="PN74" s="621"/>
      <c r="PO74" s="621"/>
      <c r="PP74" s="621"/>
      <c r="PQ74" s="621"/>
      <c r="PR74" s="621"/>
      <c r="PS74" s="621"/>
      <c r="PT74" s="621"/>
      <c r="PU74" s="621"/>
      <c r="PV74" s="621"/>
      <c r="PW74" s="621"/>
      <c r="PX74" s="621"/>
      <c r="PY74" s="621"/>
      <c r="PZ74" s="621"/>
      <c r="QA74" s="621"/>
      <c r="QB74" s="621"/>
      <c r="QC74" s="621"/>
      <c r="QD74" s="621"/>
      <c r="QE74" s="621"/>
      <c r="QF74" s="621"/>
      <c r="QG74" s="621"/>
      <c r="QH74" s="621"/>
      <c r="QI74" s="621"/>
      <c r="QJ74" s="621"/>
      <c r="QK74" s="621"/>
      <c r="QL74" s="621"/>
      <c r="QM74" s="621"/>
      <c r="QN74" s="621"/>
      <c r="QO74" s="621"/>
      <c r="QP74" s="621"/>
      <c r="QQ74" s="621"/>
      <c r="QR74" s="621"/>
      <c r="QS74" s="621"/>
      <c r="QT74" s="621"/>
      <c r="QU74" s="621"/>
      <c r="QV74" s="621"/>
      <c r="QW74" s="621"/>
      <c r="QX74" s="621"/>
      <c r="QY74" s="621"/>
      <c r="QZ74" s="621"/>
      <c r="RA74" s="621"/>
      <c r="RB74" s="621"/>
      <c r="RC74" s="621"/>
      <c r="RD74" s="621"/>
      <c r="RE74" s="621"/>
      <c r="RF74" s="621"/>
      <c r="RG74" s="621"/>
      <c r="RH74" s="621"/>
      <c r="RI74" s="621"/>
      <c r="RJ74" s="621"/>
      <c r="RK74" s="621"/>
      <c r="RL74" s="621"/>
      <c r="RM74" s="621"/>
      <c r="RN74" s="621"/>
      <c r="RO74" s="621"/>
      <c r="RP74" s="621"/>
      <c r="RQ74" s="621"/>
      <c r="RR74" s="621"/>
      <c r="RS74" s="621"/>
      <c r="RT74" s="621"/>
      <c r="RU74" s="621"/>
      <c r="RV74" s="621"/>
      <c r="RW74" s="621"/>
      <c r="RX74" s="621"/>
      <c r="RY74" s="621"/>
      <c r="RZ74" s="621"/>
      <c r="SA74" s="621"/>
      <c r="SB74" s="621"/>
      <c r="SC74" s="621"/>
      <c r="SD74" s="621"/>
      <c r="SE74" s="621"/>
      <c r="SF74" s="621"/>
      <c r="SG74" s="621"/>
      <c r="SH74" s="621"/>
      <c r="SI74" s="621"/>
      <c r="SJ74" s="621"/>
      <c r="SK74" s="621"/>
      <c r="SL74" s="621"/>
      <c r="SM74" s="621"/>
      <c r="SN74" s="621"/>
      <c r="SO74" s="621"/>
      <c r="SP74" s="621"/>
      <c r="SQ74" s="621"/>
      <c r="SR74" s="621"/>
      <c r="SS74" s="621"/>
      <c r="ST74" s="621"/>
      <c r="SU74" s="621"/>
      <c r="SV74" s="621"/>
      <c r="SW74" s="621"/>
      <c r="SX74" s="621"/>
      <c r="SY74" s="621"/>
      <c r="SZ74" s="621"/>
      <c r="TA74" s="621"/>
      <c r="TB74" s="621"/>
      <c r="TC74" s="621"/>
      <c r="TD74" s="621"/>
      <c r="TE74" s="621"/>
      <c r="TF74" s="621"/>
      <c r="TG74" s="621"/>
      <c r="TH74" s="621"/>
      <c r="TI74" s="621"/>
      <c r="TJ74" s="621"/>
      <c r="TK74" s="621"/>
      <c r="TL74" s="621"/>
      <c r="TM74" s="621"/>
      <c r="TN74" s="621"/>
      <c r="TO74" s="621"/>
      <c r="TP74" s="621"/>
      <c r="TQ74" s="621"/>
      <c r="TR74" s="621"/>
      <c r="TS74" s="621"/>
      <c r="TT74" s="621"/>
      <c r="TU74" s="621"/>
      <c r="TV74" s="621"/>
      <c r="TW74" s="621"/>
      <c r="TX74" s="621"/>
      <c r="TY74" s="621"/>
      <c r="TZ74" s="621"/>
      <c r="UA74" s="621"/>
      <c r="UB74" s="621"/>
      <c r="UC74" s="621"/>
      <c r="UD74" s="621"/>
      <c r="UE74" s="621"/>
      <c r="UF74" s="621"/>
      <c r="UG74" s="621"/>
      <c r="UH74" s="621"/>
      <c r="UI74" s="621"/>
      <c r="UJ74" s="621"/>
      <c r="UK74" s="621"/>
      <c r="UL74" s="621"/>
      <c r="UM74" s="621"/>
      <c r="UN74" s="621"/>
      <c r="UO74" s="621"/>
      <c r="UP74" s="621"/>
      <c r="UQ74" s="621"/>
      <c r="UR74" s="621"/>
      <c r="US74" s="621"/>
      <c r="UT74" s="621"/>
      <c r="UU74" s="621"/>
      <c r="UV74" s="621"/>
      <c r="UW74" s="621"/>
      <c r="UX74" s="621"/>
      <c r="UY74" s="621"/>
      <c r="UZ74" s="621"/>
      <c r="VA74" s="621"/>
      <c r="VB74" s="621"/>
      <c r="VC74" s="621"/>
      <c r="VD74" s="621"/>
      <c r="VE74" s="621"/>
      <c r="VF74" s="621"/>
      <c r="VG74" s="621"/>
      <c r="VH74" s="621"/>
      <c r="VI74" s="621"/>
      <c r="VJ74" s="621"/>
      <c r="VK74" s="621"/>
      <c r="VL74" s="621"/>
      <c r="VM74" s="621"/>
      <c r="VN74" s="621"/>
      <c r="VO74" s="621"/>
      <c r="VP74" s="621"/>
      <c r="VQ74" s="621"/>
      <c r="VR74" s="621"/>
      <c r="VS74" s="621"/>
      <c r="VT74" s="621"/>
      <c r="VU74" s="621"/>
      <c r="VV74" s="621"/>
      <c r="VW74" s="621"/>
      <c r="VX74" s="621"/>
      <c r="VY74" s="621"/>
      <c r="VZ74" s="621"/>
      <c r="WA74" s="621"/>
      <c r="WB74" s="621"/>
      <c r="WC74" s="621"/>
      <c r="WD74" s="621"/>
      <c r="WE74" s="621"/>
      <c r="WF74" s="621"/>
      <c r="WG74" s="621"/>
      <c r="WH74" s="621"/>
      <c r="WI74" s="621"/>
      <c r="WJ74" s="621"/>
      <c r="WK74" s="621"/>
      <c r="WL74" s="621"/>
      <c r="WM74" s="621"/>
      <c r="WN74" s="621"/>
      <c r="WO74" s="621"/>
      <c r="WP74" s="621"/>
      <c r="WQ74" s="621"/>
      <c r="WR74" s="621"/>
      <c r="WS74" s="621"/>
      <c r="WT74" s="621"/>
      <c r="WU74" s="621"/>
      <c r="WV74" s="621"/>
      <c r="WW74" s="621"/>
      <c r="WX74" s="621"/>
      <c r="WY74" s="621"/>
      <c r="WZ74" s="621"/>
      <c r="XA74" s="621"/>
      <c r="XB74" s="621"/>
      <c r="XC74" s="621"/>
      <c r="XD74" s="621"/>
      <c r="XE74" s="621"/>
      <c r="XF74" s="621"/>
      <c r="XG74" s="621"/>
      <c r="XH74" s="621"/>
      <c r="XI74" s="621"/>
      <c r="XJ74" s="621"/>
      <c r="XK74" s="621"/>
      <c r="XL74" s="621"/>
      <c r="XM74" s="621"/>
      <c r="XN74" s="621"/>
      <c r="XO74" s="621"/>
      <c r="XP74" s="621"/>
      <c r="XQ74" s="621"/>
      <c r="XR74" s="621"/>
      <c r="XS74" s="621"/>
      <c r="XT74" s="621"/>
      <c r="XU74" s="621"/>
      <c r="XV74" s="621"/>
      <c r="XW74" s="621"/>
      <c r="XX74" s="621"/>
      <c r="XY74" s="621"/>
      <c r="XZ74" s="621"/>
      <c r="YA74" s="621"/>
      <c r="YB74" s="621"/>
      <c r="YC74" s="621"/>
      <c r="YD74" s="621"/>
      <c r="YE74" s="621"/>
      <c r="YF74" s="621"/>
      <c r="YG74" s="621"/>
      <c r="YH74" s="621"/>
      <c r="YI74" s="621"/>
      <c r="YJ74" s="621"/>
      <c r="YK74" s="621"/>
      <c r="YL74" s="621"/>
      <c r="YM74" s="621"/>
      <c r="YN74" s="621"/>
      <c r="YO74" s="621"/>
      <c r="YP74" s="621"/>
      <c r="YQ74" s="621"/>
      <c r="YR74" s="621"/>
      <c r="YS74" s="621"/>
      <c r="YT74" s="621"/>
      <c r="YU74" s="621"/>
      <c r="YV74" s="621"/>
      <c r="YW74" s="621"/>
      <c r="YX74" s="621"/>
      <c r="YY74" s="621"/>
      <c r="YZ74" s="621"/>
      <c r="ZA74" s="621"/>
      <c r="ZB74" s="621"/>
      <c r="ZC74" s="621"/>
      <c r="ZD74" s="621"/>
      <c r="ZE74" s="621"/>
      <c r="ZF74" s="621"/>
      <c r="ZG74" s="621"/>
      <c r="ZH74" s="621"/>
      <c r="ZI74" s="621"/>
      <c r="ZJ74" s="621"/>
      <c r="ZK74" s="621"/>
      <c r="ZL74" s="621"/>
      <c r="ZM74" s="621"/>
      <c r="ZN74" s="621"/>
      <c r="ZO74" s="621"/>
      <c r="ZP74" s="621"/>
      <c r="ZQ74" s="621"/>
      <c r="ZR74" s="621"/>
      <c r="ZS74" s="621"/>
      <c r="ZT74" s="621"/>
      <c r="ZU74" s="621"/>
      <c r="ZV74" s="621"/>
      <c r="ZW74" s="621"/>
      <c r="ZX74" s="621"/>
      <c r="ZY74" s="621"/>
      <c r="ZZ74" s="621"/>
      <c r="AAA74" s="621"/>
      <c r="AAB74" s="621"/>
      <c r="AAC74" s="621"/>
      <c r="AAD74" s="621"/>
      <c r="AAE74" s="621"/>
      <c r="AAF74" s="621"/>
      <c r="AAG74" s="621"/>
      <c r="AAH74" s="621"/>
      <c r="AAI74" s="621"/>
      <c r="AAJ74" s="621"/>
      <c r="AAK74" s="621"/>
      <c r="AAL74" s="621"/>
      <c r="AAM74" s="621"/>
      <c r="AAN74" s="621"/>
      <c r="AAO74" s="621"/>
      <c r="AAP74" s="621"/>
      <c r="AAQ74" s="621"/>
      <c r="AAR74" s="621"/>
      <c r="AAS74" s="621"/>
      <c r="AAT74" s="621"/>
      <c r="AAU74" s="621"/>
      <c r="AAV74" s="621"/>
      <c r="AAW74" s="621"/>
      <c r="AAX74" s="621"/>
      <c r="AAY74" s="621"/>
      <c r="AAZ74" s="621"/>
      <c r="ABA74" s="621"/>
      <c r="ABB74" s="621"/>
      <c r="ABC74" s="621"/>
      <c r="ABD74" s="621"/>
      <c r="ABE74" s="621"/>
      <c r="ABF74" s="621"/>
      <c r="ABG74" s="621"/>
      <c r="ABH74" s="621"/>
      <c r="ABI74" s="621"/>
      <c r="ABJ74" s="621"/>
      <c r="ABK74" s="621"/>
      <c r="ABL74" s="621"/>
      <c r="ABM74" s="621"/>
      <c r="ABN74" s="621"/>
      <c r="ABO74" s="621"/>
      <c r="ABP74" s="621"/>
      <c r="ABQ74" s="621"/>
      <c r="ABR74" s="621"/>
      <c r="ABS74" s="621"/>
      <c r="ABT74" s="621"/>
      <c r="ABU74" s="621"/>
      <c r="ABV74" s="621"/>
      <c r="ABW74" s="621"/>
      <c r="ABX74" s="621"/>
      <c r="ABY74" s="621"/>
      <c r="ABZ74" s="621"/>
      <c r="ACA74" s="621"/>
      <c r="ACB74" s="621"/>
      <c r="ACC74" s="621"/>
      <c r="ACD74" s="621"/>
      <c r="ACE74" s="621"/>
      <c r="ACF74" s="621"/>
      <c r="ACG74" s="621"/>
      <c r="ACH74" s="621"/>
      <c r="ACI74" s="621"/>
      <c r="ACJ74" s="621"/>
      <c r="ACK74" s="621"/>
      <c r="ACL74" s="621"/>
      <c r="ACM74" s="621"/>
      <c r="ACN74" s="621"/>
      <c r="ACO74" s="621"/>
      <c r="ACP74" s="621"/>
      <c r="ACQ74" s="621"/>
      <c r="ACR74" s="621"/>
      <c r="ACS74" s="621"/>
      <c r="ACT74" s="621"/>
      <c r="ACU74" s="621"/>
      <c r="ACV74" s="621"/>
      <c r="ACW74" s="621"/>
      <c r="ACX74" s="621"/>
      <c r="ACY74" s="621"/>
      <c r="ACZ74" s="621"/>
      <c r="ADA74" s="621"/>
      <c r="ADB74" s="621"/>
      <c r="ADC74" s="621"/>
      <c r="ADD74" s="621"/>
      <c r="ADE74" s="621"/>
      <c r="ADF74" s="621"/>
      <c r="ADG74" s="621"/>
      <c r="ADH74" s="621"/>
      <c r="ADI74" s="621"/>
      <c r="ADJ74" s="621"/>
      <c r="ADK74" s="621"/>
      <c r="ADL74" s="621"/>
      <c r="ADM74" s="621"/>
      <c r="ADN74" s="621"/>
      <c r="ADO74" s="621"/>
      <c r="ADP74" s="621"/>
      <c r="ADQ74" s="621"/>
      <c r="ADR74" s="621"/>
      <c r="ADS74" s="621"/>
      <c r="ADT74" s="621"/>
      <c r="ADU74" s="621"/>
      <c r="ADV74" s="621"/>
      <c r="ADW74" s="621"/>
      <c r="ADX74" s="621"/>
      <c r="ADY74" s="621"/>
      <c r="ADZ74" s="621"/>
      <c r="AEA74" s="621"/>
      <c r="AEB74" s="621"/>
      <c r="AEC74" s="621"/>
      <c r="AED74" s="621"/>
      <c r="AEE74" s="621"/>
      <c r="AEF74" s="621"/>
      <c r="AEG74" s="621"/>
      <c r="AEH74" s="621"/>
      <c r="AEI74" s="621"/>
      <c r="AEJ74" s="621"/>
      <c r="AEK74" s="621"/>
      <c r="AEL74" s="621"/>
      <c r="AEM74" s="621"/>
      <c r="AEN74" s="621"/>
      <c r="AEO74" s="621"/>
      <c r="AEP74" s="621"/>
      <c r="AEQ74" s="621"/>
      <c r="AER74" s="621"/>
      <c r="AES74" s="621"/>
      <c r="AET74" s="621"/>
      <c r="AEU74" s="621"/>
      <c r="AEV74" s="621"/>
      <c r="AEW74" s="621"/>
      <c r="AEX74" s="621"/>
      <c r="AEY74" s="621"/>
      <c r="AEZ74" s="621"/>
      <c r="AFA74" s="621"/>
      <c r="AFB74" s="621"/>
      <c r="AFC74" s="621"/>
      <c r="AFD74" s="621"/>
      <c r="AFE74" s="621"/>
      <c r="AFF74" s="621"/>
      <c r="AFG74" s="621"/>
      <c r="AFH74" s="621"/>
      <c r="AFI74" s="621"/>
      <c r="AFJ74" s="621"/>
      <c r="AFK74" s="621"/>
      <c r="AFL74" s="621"/>
      <c r="AFM74" s="621"/>
      <c r="AFN74" s="621"/>
      <c r="AFO74" s="621"/>
      <c r="AFP74" s="621"/>
      <c r="AFQ74" s="621"/>
      <c r="AFR74" s="621"/>
      <c r="AFS74" s="621"/>
      <c r="AFT74" s="621"/>
      <c r="AFU74" s="621"/>
      <c r="AFV74" s="621"/>
      <c r="AFW74" s="621"/>
      <c r="AFX74" s="621"/>
      <c r="AFY74" s="621"/>
      <c r="AFZ74" s="621"/>
      <c r="AGA74" s="621"/>
      <c r="AGB74" s="621"/>
      <c r="AGC74" s="621"/>
      <c r="AGD74" s="621"/>
      <c r="AGE74" s="621"/>
      <c r="AGF74" s="621"/>
      <c r="AGG74" s="621"/>
      <c r="AGH74" s="621"/>
      <c r="AGI74" s="621"/>
      <c r="AGJ74" s="621"/>
      <c r="AGK74" s="621"/>
      <c r="AGL74" s="621"/>
      <c r="AGM74" s="621"/>
      <c r="AGN74" s="621"/>
      <c r="AGO74" s="621"/>
      <c r="AGP74" s="621"/>
      <c r="AGQ74" s="621"/>
      <c r="AGR74" s="621"/>
      <c r="AGS74" s="621"/>
      <c r="AGT74" s="621"/>
      <c r="AGU74" s="621"/>
      <c r="AGV74" s="621"/>
      <c r="AGW74" s="621"/>
      <c r="AGX74" s="621"/>
      <c r="AGY74" s="621"/>
      <c r="AGZ74" s="621"/>
      <c r="AHA74" s="621"/>
      <c r="AHB74" s="621"/>
      <c r="AHC74" s="621"/>
      <c r="AHD74" s="621"/>
      <c r="AHE74" s="621"/>
      <c r="AHF74" s="621"/>
      <c r="AHG74" s="621"/>
      <c r="AHH74" s="621"/>
      <c r="AHI74" s="621"/>
      <c r="AHJ74" s="621"/>
      <c r="AHK74" s="621"/>
      <c r="AHL74" s="621"/>
      <c r="AHM74" s="621"/>
      <c r="AHN74" s="621"/>
      <c r="AHO74" s="621"/>
      <c r="AHP74" s="621"/>
      <c r="AHQ74" s="621"/>
      <c r="AHR74" s="621"/>
      <c r="AHS74" s="621"/>
      <c r="AHT74" s="621"/>
      <c r="AHU74" s="621"/>
      <c r="AHV74" s="621"/>
      <c r="AHW74" s="621"/>
      <c r="AHX74" s="621"/>
      <c r="AHY74" s="621"/>
      <c r="AHZ74" s="621"/>
      <c r="AIA74" s="621"/>
      <c r="AIB74" s="621"/>
      <c r="AIC74" s="621"/>
      <c r="AID74" s="621"/>
      <c r="AIE74" s="621"/>
      <c r="AIF74" s="621"/>
      <c r="AIG74" s="621"/>
      <c r="AIH74" s="621"/>
      <c r="AII74" s="621"/>
      <c r="AIJ74" s="621"/>
      <c r="AIK74" s="621"/>
      <c r="AIL74" s="621"/>
      <c r="AIM74" s="621"/>
      <c r="AIN74" s="621"/>
      <c r="AIO74" s="621"/>
      <c r="AIP74" s="621"/>
      <c r="AIQ74" s="621"/>
      <c r="AIR74" s="621"/>
      <c r="AIS74" s="621"/>
      <c r="AIT74" s="621"/>
      <c r="AIU74" s="621"/>
      <c r="AIV74" s="621"/>
      <c r="AIW74" s="621"/>
      <c r="AIX74" s="621"/>
      <c r="AIY74" s="621"/>
      <c r="AIZ74" s="621"/>
      <c r="AJA74" s="621"/>
      <c r="AJB74" s="621"/>
      <c r="AJC74" s="621"/>
      <c r="AJD74" s="621"/>
      <c r="AJE74" s="621"/>
      <c r="AJF74" s="621"/>
      <c r="AJG74" s="621"/>
      <c r="AJH74" s="621"/>
      <c r="AJI74" s="621"/>
      <c r="AJJ74" s="621"/>
      <c r="AJK74" s="621"/>
      <c r="AJL74" s="621"/>
      <c r="AJM74" s="621"/>
      <c r="AJN74" s="621"/>
      <c r="AJO74" s="621"/>
      <c r="AJP74" s="621"/>
      <c r="AJQ74" s="621"/>
      <c r="AJR74" s="621"/>
      <c r="AJS74" s="621"/>
      <c r="AJT74" s="621"/>
      <c r="AJU74" s="621"/>
      <c r="AJV74" s="621"/>
      <c r="AJW74" s="621"/>
      <c r="AJX74" s="621"/>
      <c r="AJY74" s="621"/>
      <c r="AJZ74" s="621"/>
      <c r="AKA74" s="621"/>
      <c r="AKB74" s="621"/>
      <c r="AKC74" s="621"/>
      <c r="AKD74" s="621"/>
      <c r="AKE74" s="621"/>
      <c r="AKF74" s="621"/>
      <c r="AKG74" s="621"/>
      <c r="AKH74" s="621"/>
      <c r="AKI74" s="621"/>
      <c r="AKJ74" s="621"/>
      <c r="AKK74" s="621"/>
      <c r="AKL74" s="621"/>
      <c r="AKM74" s="621"/>
      <c r="AKN74" s="621"/>
      <c r="AKO74" s="621"/>
      <c r="AKP74" s="621"/>
      <c r="AKQ74" s="621"/>
      <c r="AKR74" s="621"/>
      <c r="AKS74" s="621"/>
      <c r="AKT74" s="621"/>
      <c r="AKU74" s="621"/>
      <c r="AKV74" s="621"/>
      <c r="AKW74" s="621"/>
      <c r="AKX74" s="621"/>
      <c r="AKY74" s="621"/>
      <c r="AKZ74" s="621"/>
      <c r="ALA74" s="621"/>
      <c r="ALB74" s="621"/>
      <c r="ALC74" s="621"/>
      <c r="ALD74" s="621"/>
      <c r="ALE74" s="621"/>
      <c r="ALF74" s="621"/>
      <c r="ALG74" s="621"/>
      <c r="ALH74" s="621"/>
      <c r="ALI74" s="621"/>
      <c r="ALJ74" s="621"/>
      <c r="ALK74" s="621"/>
      <c r="ALL74" s="621"/>
      <c r="ALM74" s="621"/>
      <c r="ALN74" s="621"/>
      <c r="ALO74" s="621"/>
      <c r="ALP74" s="621"/>
      <c r="ALQ74" s="621"/>
      <c r="ALR74" s="621"/>
      <c r="ALS74" s="621"/>
      <c r="ALT74" s="621"/>
      <c r="ALU74" s="621"/>
      <c r="ALV74" s="621"/>
      <c r="ALW74" s="621"/>
      <c r="ALX74" s="621"/>
      <c r="ALY74" s="621"/>
      <c r="ALZ74" s="621"/>
      <c r="AMA74" s="621"/>
      <c r="AMB74" s="621"/>
      <c r="AMC74" s="621"/>
      <c r="AMD74" s="621"/>
      <c r="AME74" s="621"/>
      <c r="AMF74" s="621"/>
      <c r="AMG74" s="621"/>
      <c r="AMH74" s="621"/>
      <c r="AMI74" s="621"/>
      <c r="AMJ74" s="621"/>
      <c r="AMK74" s="621"/>
    </row>
    <row r="75" spans="1:1025" ht="27.75" hidden="1">
      <c r="A75" s="2026" t="s">
        <v>407</v>
      </c>
      <c r="B75" s="2026"/>
      <c r="C75" s="2026"/>
      <c r="D75" s="2027" t="s">
        <v>408</v>
      </c>
      <c r="E75" s="2027"/>
      <c r="F75" s="2028" t="s">
        <v>409</v>
      </c>
      <c r="G75" s="2028"/>
      <c r="H75" s="476"/>
      <c r="I75" s="477"/>
      <c r="J75" s="477"/>
      <c r="K75" s="478"/>
      <c r="L75" s="1467"/>
      <c r="M75" s="1467"/>
      <c r="N75" s="272"/>
      <c r="O75" s="272"/>
      <c r="P75" s="272"/>
      <c r="AD75" s="1455"/>
      <c r="AE75" s="1486"/>
      <c r="AF75" s="1484"/>
      <c r="AG75" s="1485"/>
      <c r="AH75" s="1485"/>
      <c r="AI75" s="1485"/>
      <c r="AJ75" s="1485"/>
      <c r="AK75" s="1485"/>
      <c r="AL75" s="1485"/>
      <c r="AM75" s="1475">
        <f t="shared" si="15"/>
        <v>0</v>
      </c>
      <c r="AN75" s="1484"/>
      <c r="AO75" s="1483"/>
      <c r="AP75" s="289"/>
      <c r="AU75" s="621"/>
      <c r="AV75" s="621"/>
      <c r="AW75" s="621"/>
      <c r="AX75" s="621"/>
      <c r="AY75" s="621"/>
      <c r="AZ75" s="621"/>
      <c r="BA75" s="621"/>
      <c r="BB75" s="621"/>
      <c r="BC75" s="621"/>
      <c r="BD75" s="621"/>
      <c r="BE75" s="621"/>
      <c r="BF75" s="621"/>
      <c r="BG75" s="621"/>
      <c r="BH75" s="621"/>
      <c r="BI75" s="621"/>
      <c r="BJ75" s="621"/>
      <c r="BK75" s="621"/>
      <c r="BL75" s="621"/>
      <c r="BM75" s="621"/>
      <c r="BN75" s="621"/>
      <c r="BO75" s="621"/>
      <c r="BP75" s="621"/>
      <c r="BQ75" s="621"/>
      <c r="BR75" s="621"/>
      <c r="BS75" s="621"/>
      <c r="BT75" s="621"/>
      <c r="BU75" s="621"/>
      <c r="BV75" s="621"/>
      <c r="BW75" s="621"/>
      <c r="BX75" s="621"/>
      <c r="BY75" s="621"/>
      <c r="BZ75" s="621"/>
      <c r="CA75" s="621"/>
      <c r="CB75" s="621"/>
      <c r="CC75" s="621"/>
      <c r="CD75" s="621"/>
      <c r="CE75" s="621"/>
      <c r="CF75" s="621"/>
      <c r="CG75" s="621"/>
      <c r="CH75" s="621"/>
      <c r="CI75" s="621"/>
      <c r="CJ75" s="621"/>
      <c r="CK75" s="621"/>
      <c r="CL75" s="621"/>
      <c r="CM75" s="621"/>
      <c r="CN75" s="621"/>
      <c r="CO75" s="621"/>
      <c r="CP75" s="621"/>
      <c r="CQ75" s="621"/>
      <c r="CR75" s="621"/>
      <c r="CS75" s="621"/>
      <c r="CT75" s="621"/>
      <c r="CU75" s="621"/>
      <c r="CV75" s="621"/>
      <c r="CW75" s="621"/>
      <c r="CX75" s="621"/>
      <c r="CY75" s="621"/>
      <c r="CZ75" s="621"/>
      <c r="DA75" s="621"/>
      <c r="DB75" s="621"/>
      <c r="DC75" s="621"/>
      <c r="DD75" s="621"/>
      <c r="DE75" s="621"/>
      <c r="DF75" s="621"/>
      <c r="DG75" s="621"/>
      <c r="DH75" s="621"/>
      <c r="DI75" s="621"/>
      <c r="DJ75" s="621"/>
      <c r="DK75" s="621"/>
      <c r="DL75" s="621"/>
      <c r="DM75" s="621"/>
      <c r="DN75" s="621"/>
      <c r="DO75" s="621"/>
      <c r="DP75" s="621"/>
      <c r="DQ75" s="621"/>
      <c r="DR75" s="621"/>
      <c r="DS75" s="621"/>
      <c r="DT75" s="621"/>
      <c r="DU75" s="621"/>
      <c r="DV75" s="621"/>
      <c r="DW75" s="621"/>
      <c r="DX75" s="621"/>
      <c r="DY75" s="621"/>
      <c r="DZ75" s="621"/>
      <c r="EA75" s="621"/>
      <c r="EB75" s="621"/>
      <c r="EC75" s="621"/>
      <c r="ED75" s="621"/>
      <c r="EE75" s="621"/>
      <c r="EF75" s="621"/>
      <c r="EG75" s="621"/>
      <c r="EH75" s="621"/>
      <c r="EI75" s="621"/>
      <c r="EJ75" s="621"/>
      <c r="EK75" s="621"/>
      <c r="EL75" s="621"/>
      <c r="EM75" s="621"/>
      <c r="EN75" s="621"/>
      <c r="EO75" s="621"/>
      <c r="EP75" s="621"/>
      <c r="EQ75" s="621"/>
      <c r="ER75" s="621"/>
      <c r="ES75" s="621"/>
      <c r="ET75" s="621"/>
      <c r="EU75" s="621"/>
      <c r="EV75" s="621"/>
      <c r="EW75" s="621"/>
      <c r="EX75" s="621"/>
      <c r="EY75" s="621"/>
      <c r="EZ75" s="621"/>
      <c r="FA75" s="621"/>
      <c r="FB75" s="621"/>
      <c r="FC75" s="621"/>
      <c r="FD75" s="621"/>
      <c r="FE75" s="621"/>
      <c r="FF75" s="621"/>
      <c r="FG75" s="621"/>
      <c r="FH75" s="621"/>
      <c r="FI75" s="621"/>
      <c r="FJ75" s="621"/>
      <c r="FK75" s="621"/>
      <c r="FL75" s="621"/>
      <c r="FM75" s="621"/>
      <c r="FN75" s="621"/>
      <c r="FO75" s="621"/>
      <c r="FP75" s="621"/>
      <c r="FQ75" s="621"/>
      <c r="FR75" s="621"/>
      <c r="FS75" s="621"/>
      <c r="FT75" s="621"/>
      <c r="FU75" s="621"/>
      <c r="FV75" s="621"/>
      <c r="FW75" s="621"/>
      <c r="FX75" s="621"/>
      <c r="FY75" s="621"/>
      <c r="FZ75" s="621"/>
      <c r="GA75" s="621"/>
      <c r="GB75" s="621"/>
      <c r="GC75" s="621"/>
      <c r="GD75" s="621"/>
      <c r="GE75" s="621"/>
      <c r="GF75" s="621"/>
      <c r="GG75" s="621"/>
      <c r="GH75" s="621"/>
      <c r="GI75" s="621"/>
      <c r="GJ75" s="621"/>
      <c r="GK75" s="621"/>
      <c r="GL75" s="621"/>
      <c r="GM75" s="621"/>
      <c r="GN75" s="621"/>
      <c r="GO75" s="621"/>
      <c r="GP75" s="621"/>
      <c r="GQ75" s="621"/>
      <c r="GR75" s="621"/>
      <c r="GS75" s="621"/>
      <c r="GT75" s="621"/>
      <c r="GU75" s="621"/>
      <c r="GV75" s="621"/>
      <c r="GW75" s="621"/>
      <c r="GX75" s="621"/>
      <c r="GY75" s="621"/>
      <c r="GZ75" s="621"/>
      <c r="HA75" s="621"/>
      <c r="HB75" s="621"/>
      <c r="HC75" s="621"/>
      <c r="HD75" s="621"/>
      <c r="HE75" s="621"/>
      <c r="HF75" s="621"/>
      <c r="HG75" s="621"/>
      <c r="HH75" s="621"/>
      <c r="HI75" s="621"/>
      <c r="HJ75" s="621"/>
      <c r="HK75" s="621"/>
      <c r="HL75" s="621"/>
      <c r="HM75" s="621"/>
      <c r="HN75" s="621"/>
      <c r="HO75" s="621"/>
      <c r="HP75" s="621"/>
      <c r="HQ75" s="621"/>
      <c r="HR75" s="621"/>
      <c r="HS75" s="621"/>
      <c r="HT75" s="621"/>
      <c r="HU75" s="621"/>
      <c r="HV75" s="621"/>
      <c r="HW75" s="621"/>
      <c r="HX75" s="621"/>
      <c r="HY75" s="621"/>
      <c r="HZ75" s="621"/>
      <c r="IA75" s="621"/>
      <c r="IB75" s="621"/>
      <c r="IC75" s="621"/>
      <c r="ID75" s="621"/>
      <c r="IE75" s="621"/>
      <c r="IF75" s="621"/>
      <c r="IG75" s="621"/>
      <c r="IH75" s="621"/>
      <c r="II75" s="621"/>
      <c r="IJ75" s="621"/>
      <c r="IK75" s="621"/>
      <c r="IL75" s="621"/>
      <c r="IM75" s="621"/>
      <c r="IN75" s="621"/>
      <c r="IO75" s="621"/>
      <c r="IP75" s="621"/>
      <c r="IQ75" s="621"/>
      <c r="IR75" s="621"/>
      <c r="IS75" s="621"/>
      <c r="IT75" s="621"/>
      <c r="IU75" s="621"/>
      <c r="IV75" s="621"/>
      <c r="IW75" s="621"/>
      <c r="IX75" s="621"/>
      <c r="IY75" s="621"/>
      <c r="IZ75" s="621"/>
      <c r="JA75" s="621"/>
      <c r="JB75" s="621"/>
      <c r="JC75" s="621"/>
      <c r="JD75" s="621"/>
      <c r="JE75" s="621"/>
      <c r="JF75" s="621"/>
      <c r="JG75" s="621"/>
      <c r="JH75" s="621"/>
      <c r="JI75" s="621"/>
      <c r="JJ75" s="621"/>
      <c r="JK75" s="621"/>
      <c r="JL75" s="621"/>
      <c r="JM75" s="621"/>
      <c r="JN75" s="621"/>
      <c r="JO75" s="621"/>
      <c r="JP75" s="621"/>
      <c r="JQ75" s="621"/>
      <c r="JR75" s="621"/>
      <c r="JS75" s="621"/>
      <c r="JT75" s="621"/>
      <c r="JU75" s="621"/>
      <c r="JV75" s="621"/>
      <c r="JW75" s="621"/>
      <c r="JX75" s="621"/>
      <c r="JY75" s="621"/>
      <c r="JZ75" s="621"/>
      <c r="KA75" s="621"/>
      <c r="KB75" s="621"/>
      <c r="KC75" s="621"/>
      <c r="KD75" s="621"/>
      <c r="KE75" s="621"/>
      <c r="KF75" s="621"/>
      <c r="KG75" s="621"/>
      <c r="KH75" s="621"/>
      <c r="KI75" s="621"/>
      <c r="KJ75" s="621"/>
      <c r="KK75" s="621"/>
      <c r="KL75" s="621"/>
      <c r="KM75" s="621"/>
      <c r="KN75" s="621"/>
      <c r="KO75" s="621"/>
      <c r="KP75" s="621"/>
      <c r="KQ75" s="621"/>
      <c r="KR75" s="621"/>
      <c r="KS75" s="621"/>
      <c r="KT75" s="621"/>
      <c r="KU75" s="621"/>
      <c r="KV75" s="621"/>
      <c r="KW75" s="621"/>
      <c r="KX75" s="621"/>
      <c r="KY75" s="621"/>
      <c r="KZ75" s="621"/>
      <c r="LA75" s="621"/>
      <c r="LB75" s="621"/>
      <c r="LC75" s="621"/>
      <c r="LD75" s="621"/>
      <c r="LE75" s="621"/>
      <c r="LF75" s="621"/>
      <c r="LG75" s="621"/>
      <c r="LH75" s="621"/>
      <c r="LI75" s="621"/>
      <c r="LJ75" s="621"/>
      <c r="LK75" s="621"/>
      <c r="LL75" s="621"/>
      <c r="LM75" s="621"/>
      <c r="LN75" s="621"/>
      <c r="LO75" s="621"/>
      <c r="LP75" s="621"/>
      <c r="LQ75" s="621"/>
      <c r="LR75" s="621"/>
      <c r="LS75" s="621"/>
      <c r="LT75" s="621"/>
      <c r="LU75" s="621"/>
      <c r="LV75" s="621"/>
      <c r="LW75" s="621"/>
      <c r="LX75" s="621"/>
      <c r="LY75" s="621"/>
      <c r="LZ75" s="621"/>
      <c r="MA75" s="621"/>
      <c r="MB75" s="621"/>
      <c r="MC75" s="621"/>
      <c r="MD75" s="621"/>
      <c r="ME75" s="621"/>
      <c r="MF75" s="621"/>
      <c r="MG75" s="621"/>
      <c r="MH75" s="621"/>
      <c r="MI75" s="621"/>
      <c r="MJ75" s="621"/>
      <c r="MK75" s="621"/>
      <c r="ML75" s="621"/>
      <c r="MM75" s="621"/>
      <c r="MN75" s="621"/>
      <c r="MO75" s="621"/>
      <c r="MP75" s="621"/>
      <c r="MQ75" s="621"/>
      <c r="MR75" s="621"/>
      <c r="MS75" s="621"/>
      <c r="MT75" s="621"/>
      <c r="MU75" s="621"/>
      <c r="MV75" s="621"/>
      <c r="MW75" s="621"/>
      <c r="MX75" s="621"/>
      <c r="MY75" s="621"/>
      <c r="MZ75" s="621"/>
      <c r="NA75" s="621"/>
      <c r="NB75" s="621"/>
      <c r="NC75" s="621"/>
      <c r="ND75" s="621"/>
      <c r="NE75" s="621"/>
      <c r="NF75" s="621"/>
      <c r="NG75" s="621"/>
      <c r="NH75" s="621"/>
      <c r="NI75" s="621"/>
      <c r="NJ75" s="621"/>
      <c r="NK75" s="621"/>
      <c r="NL75" s="621"/>
      <c r="NM75" s="621"/>
      <c r="NN75" s="621"/>
      <c r="NO75" s="621"/>
      <c r="NP75" s="621"/>
      <c r="NQ75" s="621"/>
      <c r="NR75" s="621"/>
      <c r="NS75" s="621"/>
      <c r="NT75" s="621"/>
      <c r="NU75" s="621"/>
      <c r="NV75" s="621"/>
      <c r="NW75" s="621"/>
      <c r="NX75" s="621"/>
      <c r="NY75" s="621"/>
      <c r="NZ75" s="621"/>
      <c r="OA75" s="621"/>
      <c r="OB75" s="621"/>
      <c r="OC75" s="621"/>
      <c r="OD75" s="621"/>
      <c r="OE75" s="621"/>
      <c r="OF75" s="621"/>
      <c r="OG75" s="621"/>
      <c r="OH75" s="621"/>
      <c r="OI75" s="621"/>
      <c r="OJ75" s="621"/>
      <c r="OK75" s="621"/>
      <c r="OL75" s="621"/>
      <c r="OM75" s="621"/>
      <c r="ON75" s="621"/>
      <c r="OO75" s="621"/>
      <c r="OP75" s="621"/>
      <c r="OQ75" s="621"/>
      <c r="OR75" s="621"/>
      <c r="OS75" s="621"/>
      <c r="OT75" s="621"/>
      <c r="OU75" s="621"/>
      <c r="OV75" s="621"/>
      <c r="OW75" s="621"/>
      <c r="OX75" s="621"/>
      <c r="OY75" s="621"/>
      <c r="OZ75" s="621"/>
      <c r="PA75" s="621"/>
      <c r="PB75" s="621"/>
      <c r="PC75" s="621"/>
      <c r="PD75" s="621"/>
      <c r="PE75" s="621"/>
      <c r="PF75" s="621"/>
      <c r="PG75" s="621"/>
      <c r="PH75" s="621"/>
      <c r="PI75" s="621"/>
      <c r="PJ75" s="621"/>
      <c r="PK75" s="621"/>
      <c r="PL75" s="621"/>
      <c r="PM75" s="621"/>
      <c r="PN75" s="621"/>
      <c r="PO75" s="621"/>
      <c r="PP75" s="621"/>
      <c r="PQ75" s="621"/>
      <c r="PR75" s="621"/>
      <c r="PS75" s="621"/>
      <c r="PT75" s="621"/>
      <c r="PU75" s="621"/>
      <c r="PV75" s="621"/>
      <c r="PW75" s="621"/>
      <c r="PX75" s="621"/>
      <c r="PY75" s="621"/>
      <c r="PZ75" s="621"/>
      <c r="QA75" s="621"/>
      <c r="QB75" s="621"/>
      <c r="QC75" s="621"/>
      <c r="QD75" s="621"/>
      <c r="QE75" s="621"/>
      <c r="QF75" s="621"/>
      <c r="QG75" s="621"/>
      <c r="QH75" s="621"/>
      <c r="QI75" s="621"/>
      <c r="QJ75" s="621"/>
      <c r="QK75" s="621"/>
      <c r="QL75" s="621"/>
      <c r="QM75" s="621"/>
      <c r="QN75" s="621"/>
      <c r="QO75" s="621"/>
      <c r="QP75" s="621"/>
      <c r="QQ75" s="621"/>
      <c r="QR75" s="621"/>
      <c r="QS75" s="621"/>
      <c r="QT75" s="621"/>
      <c r="QU75" s="621"/>
      <c r="QV75" s="621"/>
      <c r="QW75" s="621"/>
      <c r="QX75" s="621"/>
      <c r="QY75" s="621"/>
      <c r="QZ75" s="621"/>
      <c r="RA75" s="621"/>
      <c r="RB75" s="621"/>
      <c r="RC75" s="621"/>
      <c r="RD75" s="621"/>
      <c r="RE75" s="621"/>
      <c r="RF75" s="621"/>
      <c r="RG75" s="621"/>
      <c r="RH75" s="621"/>
      <c r="RI75" s="621"/>
      <c r="RJ75" s="621"/>
      <c r="RK75" s="621"/>
      <c r="RL75" s="621"/>
      <c r="RM75" s="621"/>
      <c r="RN75" s="621"/>
      <c r="RO75" s="621"/>
      <c r="RP75" s="621"/>
      <c r="RQ75" s="621"/>
      <c r="RR75" s="621"/>
      <c r="RS75" s="621"/>
      <c r="RT75" s="621"/>
      <c r="RU75" s="621"/>
      <c r="RV75" s="621"/>
      <c r="RW75" s="621"/>
      <c r="RX75" s="621"/>
      <c r="RY75" s="621"/>
      <c r="RZ75" s="621"/>
      <c r="SA75" s="621"/>
      <c r="SB75" s="621"/>
      <c r="SC75" s="621"/>
      <c r="SD75" s="621"/>
      <c r="SE75" s="621"/>
      <c r="SF75" s="621"/>
      <c r="SG75" s="621"/>
      <c r="SH75" s="621"/>
      <c r="SI75" s="621"/>
      <c r="SJ75" s="621"/>
      <c r="SK75" s="621"/>
      <c r="SL75" s="621"/>
      <c r="SM75" s="621"/>
      <c r="SN75" s="621"/>
      <c r="SO75" s="621"/>
      <c r="SP75" s="621"/>
      <c r="SQ75" s="621"/>
      <c r="SR75" s="621"/>
      <c r="SS75" s="621"/>
      <c r="ST75" s="621"/>
      <c r="SU75" s="621"/>
      <c r="SV75" s="621"/>
      <c r="SW75" s="621"/>
      <c r="SX75" s="621"/>
      <c r="SY75" s="621"/>
      <c r="SZ75" s="621"/>
      <c r="TA75" s="621"/>
      <c r="TB75" s="621"/>
      <c r="TC75" s="621"/>
      <c r="TD75" s="621"/>
      <c r="TE75" s="621"/>
      <c r="TF75" s="621"/>
      <c r="TG75" s="621"/>
      <c r="TH75" s="621"/>
      <c r="TI75" s="621"/>
      <c r="TJ75" s="621"/>
      <c r="TK75" s="621"/>
      <c r="TL75" s="621"/>
      <c r="TM75" s="621"/>
      <c r="TN75" s="621"/>
      <c r="TO75" s="621"/>
      <c r="TP75" s="621"/>
      <c r="TQ75" s="621"/>
      <c r="TR75" s="621"/>
      <c r="TS75" s="621"/>
      <c r="TT75" s="621"/>
      <c r="TU75" s="621"/>
      <c r="TV75" s="621"/>
      <c r="TW75" s="621"/>
      <c r="TX75" s="621"/>
      <c r="TY75" s="621"/>
      <c r="TZ75" s="621"/>
      <c r="UA75" s="621"/>
      <c r="UB75" s="621"/>
      <c r="UC75" s="621"/>
      <c r="UD75" s="621"/>
      <c r="UE75" s="621"/>
      <c r="UF75" s="621"/>
      <c r="UG75" s="621"/>
      <c r="UH75" s="621"/>
      <c r="UI75" s="621"/>
      <c r="UJ75" s="621"/>
      <c r="UK75" s="621"/>
      <c r="UL75" s="621"/>
      <c r="UM75" s="621"/>
      <c r="UN75" s="621"/>
      <c r="UO75" s="621"/>
      <c r="UP75" s="621"/>
      <c r="UQ75" s="621"/>
      <c r="UR75" s="621"/>
      <c r="US75" s="621"/>
      <c r="UT75" s="621"/>
      <c r="UU75" s="621"/>
      <c r="UV75" s="621"/>
      <c r="UW75" s="621"/>
      <c r="UX75" s="621"/>
      <c r="UY75" s="621"/>
      <c r="UZ75" s="621"/>
      <c r="VA75" s="621"/>
      <c r="VB75" s="621"/>
      <c r="VC75" s="621"/>
      <c r="VD75" s="621"/>
      <c r="VE75" s="621"/>
      <c r="VF75" s="621"/>
      <c r="VG75" s="621"/>
      <c r="VH75" s="621"/>
      <c r="VI75" s="621"/>
      <c r="VJ75" s="621"/>
      <c r="VK75" s="621"/>
      <c r="VL75" s="621"/>
      <c r="VM75" s="621"/>
      <c r="VN75" s="621"/>
      <c r="VO75" s="621"/>
      <c r="VP75" s="621"/>
      <c r="VQ75" s="621"/>
      <c r="VR75" s="621"/>
      <c r="VS75" s="621"/>
      <c r="VT75" s="621"/>
      <c r="VU75" s="621"/>
      <c r="VV75" s="621"/>
      <c r="VW75" s="621"/>
      <c r="VX75" s="621"/>
      <c r="VY75" s="621"/>
      <c r="VZ75" s="621"/>
      <c r="WA75" s="621"/>
      <c r="WB75" s="621"/>
      <c r="WC75" s="621"/>
      <c r="WD75" s="621"/>
      <c r="WE75" s="621"/>
      <c r="WF75" s="621"/>
      <c r="WG75" s="621"/>
      <c r="WH75" s="621"/>
      <c r="WI75" s="621"/>
      <c r="WJ75" s="621"/>
      <c r="WK75" s="621"/>
      <c r="WL75" s="621"/>
      <c r="WM75" s="621"/>
      <c r="WN75" s="621"/>
      <c r="WO75" s="621"/>
      <c r="WP75" s="621"/>
      <c r="WQ75" s="621"/>
      <c r="WR75" s="621"/>
      <c r="WS75" s="621"/>
      <c r="WT75" s="621"/>
      <c r="WU75" s="621"/>
      <c r="WV75" s="621"/>
      <c r="WW75" s="621"/>
      <c r="WX75" s="621"/>
      <c r="WY75" s="621"/>
      <c r="WZ75" s="621"/>
      <c r="XA75" s="621"/>
      <c r="XB75" s="621"/>
      <c r="XC75" s="621"/>
      <c r="XD75" s="621"/>
      <c r="XE75" s="621"/>
      <c r="XF75" s="621"/>
      <c r="XG75" s="621"/>
      <c r="XH75" s="621"/>
      <c r="XI75" s="621"/>
      <c r="XJ75" s="621"/>
      <c r="XK75" s="621"/>
      <c r="XL75" s="621"/>
      <c r="XM75" s="621"/>
      <c r="XN75" s="621"/>
      <c r="XO75" s="621"/>
      <c r="XP75" s="621"/>
      <c r="XQ75" s="621"/>
      <c r="XR75" s="621"/>
      <c r="XS75" s="621"/>
      <c r="XT75" s="621"/>
      <c r="XU75" s="621"/>
      <c r="XV75" s="621"/>
      <c r="XW75" s="621"/>
      <c r="XX75" s="621"/>
      <c r="XY75" s="621"/>
      <c r="XZ75" s="621"/>
      <c r="YA75" s="621"/>
      <c r="YB75" s="621"/>
      <c r="YC75" s="621"/>
      <c r="YD75" s="621"/>
      <c r="YE75" s="621"/>
      <c r="YF75" s="621"/>
      <c r="YG75" s="621"/>
      <c r="YH75" s="621"/>
      <c r="YI75" s="621"/>
      <c r="YJ75" s="621"/>
      <c r="YK75" s="621"/>
      <c r="YL75" s="621"/>
      <c r="YM75" s="621"/>
      <c r="YN75" s="621"/>
      <c r="YO75" s="621"/>
      <c r="YP75" s="621"/>
      <c r="YQ75" s="621"/>
      <c r="YR75" s="621"/>
      <c r="YS75" s="621"/>
      <c r="YT75" s="621"/>
      <c r="YU75" s="621"/>
      <c r="YV75" s="621"/>
      <c r="YW75" s="621"/>
      <c r="YX75" s="621"/>
      <c r="YY75" s="621"/>
      <c r="YZ75" s="621"/>
      <c r="ZA75" s="621"/>
      <c r="ZB75" s="621"/>
      <c r="ZC75" s="621"/>
      <c r="ZD75" s="621"/>
      <c r="ZE75" s="621"/>
      <c r="ZF75" s="621"/>
      <c r="ZG75" s="621"/>
      <c r="ZH75" s="621"/>
      <c r="ZI75" s="621"/>
      <c r="ZJ75" s="621"/>
      <c r="ZK75" s="621"/>
      <c r="ZL75" s="621"/>
      <c r="ZM75" s="621"/>
      <c r="ZN75" s="621"/>
      <c r="ZO75" s="621"/>
      <c r="ZP75" s="621"/>
      <c r="ZQ75" s="621"/>
      <c r="ZR75" s="621"/>
      <c r="ZS75" s="621"/>
      <c r="ZT75" s="621"/>
      <c r="ZU75" s="621"/>
      <c r="ZV75" s="621"/>
      <c r="ZW75" s="621"/>
      <c r="ZX75" s="621"/>
      <c r="ZY75" s="621"/>
      <c r="ZZ75" s="621"/>
      <c r="AAA75" s="621"/>
      <c r="AAB75" s="621"/>
      <c r="AAC75" s="621"/>
      <c r="AAD75" s="621"/>
      <c r="AAE75" s="621"/>
      <c r="AAF75" s="621"/>
      <c r="AAG75" s="621"/>
      <c r="AAH75" s="621"/>
      <c r="AAI75" s="621"/>
      <c r="AAJ75" s="621"/>
      <c r="AAK75" s="621"/>
      <c r="AAL75" s="621"/>
      <c r="AAM75" s="621"/>
      <c r="AAN75" s="621"/>
      <c r="AAO75" s="621"/>
      <c r="AAP75" s="621"/>
      <c r="AAQ75" s="621"/>
      <c r="AAR75" s="621"/>
      <c r="AAS75" s="621"/>
      <c r="AAT75" s="621"/>
      <c r="AAU75" s="621"/>
      <c r="AAV75" s="621"/>
      <c r="AAW75" s="621"/>
      <c r="AAX75" s="621"/>
      <c r="AAY75" s="621"/>
      <c r="AAZ75" s="621"/>
      <c r="ABA75" s="621"/>
      <c r="ABB75" s="621"/>
      <c r="ABC75" s="621"/>
      <c r="ABD75" s="621"/>
      <c r="ABE75" s="621"/>
      <c r="ABF75" s="621"/>
      <c r="ABG75" s="621"/>
      <c r="ABH75" s="621"/>
      <c r="ABI75" s="621"/>
      <c r="ABJ75" s="621"/>
      <c r="ABK75" s="621"/>
      <c r="ABL75" s="621"/>
      <c r="ABM75" s="621"/>
      <c r="ABN75" s="621"/>
      <c r="ABO75" s="621"/>
      <c r="ABP75" s="621"/>
      <c r="ABQ75" s="621"/>
      <c r="ABR75" s="621"/>
      <c r="ABS75" s="621"/>
      <c r="ABT75" s="621"/>
      <c r="ABU75" s="621"/>
      <c r="ABV75" s="621"/>
      <c r="ABW75" s="621"/>
      <c r="ABX75" s="621"/>
      <c r="ABY75" s="621"/>
      <c r="ABZ75" s="621"/>
      <c r="ACA75" s="621"/>
      <c r="ACB75" s="621"/>
      <c r="ACC75" s="621"/>
      <c r="ACD75" s="621"/>
      <c r="ACE75" s="621"/>
      <c r="ACF75" s="621"/>
      <c r="ACG75" s="621"/>
      <c r="ACH75" s="621"/>
      <c r="ACI75" s="621"/>
      <c r="ACJ75" s="621"/>
      <c r="ACK75" s="621"/>
      <c r="ACL75" s="621"/>
      <c r="ACM75" s="621"/>
      <c r="ACN75" s="621"/>
      <c r="ACO75" s="621"/>
      <c r="ACP75" s="621"/>
      <c r="ACQ75" s="621"/>
      <c r="ACR75" s="621"/>
      <c r="ACS75" s="621"/>
      <c r="ACT75" s="621"/>
      <c r="ACU75" s="621"/>
      <c r="ACV75" s="621"/>
      <c r="ACW75" s="621"/>
      <c r="ACX75" s="621"/>
      <c r="ACY75" s="621"/>
      <c r="ACZ75" s="621"/>
      <c r="ADA75" s="621"/>
      <c r="ADB75" s="621"/>
      <c r="ADC75" s="621"/>
      <c r="ADD75" s="621"/>
      <c r="ADE75" s="621"/>
      <c r="ADF75" s="621"/>
      <c r="ADG75" s="621"/>
      <c r="ADH75" s="621"/>
      <c r="ADI75" s="621"/>
      <c r="ADJ75" s="621"/>
      <c r="ADK75" s="621"/>
      <c r="ADL75" s="621"/>
      <c r="ADM75" s="621"/>
      <c r="ADN75" s="621"/>
      <c r="ADO75" s="621"/>
      <c r="ADP75" s="621"/>
      <c r="ADQ75" s="621"/>
      <c r="ADR75" s="621"/>
      <c r="ADS75" s="621"/>
      <c r="ADT75" s="621"/>
      <c r="ADU75" s="621"/>
      <c r="ADV75" s="621"/>
      <c r="ADW75" s="621"/>
      <c r="ADX75" s="621"/>
      <c r="ADY75" s="621"/>
      <c r="ADZ75" s="621"/>
      <c r="AEA75" s="621"/>
      <c r="AEB75" s="621"/>
      <c r="AEC75" s="621"/>
      <c r="AED75" s="621"/>
      <c r="AEE75" s="621"/>
      <c r="AEF75" s="621"/>
      <c r="AEG75" s="621"/>
      <c r="AEH75" s="621"/>
      <c r="AEI75" s="621"/>
      <c r="AEJ75" s="621"/>
      <c r="AEK75" s="621"/>
      <c r="AEL75" s="621"/>
      <c r="AEM75" s="621"/>
      <c r="AEN75" s="621"/>
      <c r="AEO75" s="621"/>
      <c r="AEP75" s="621"/>
      <c r="AEQ75" s="621"/>
      <c r="AER75" s="621"/>
      <c r="AES75" s="621"/>
      <c r="AET75" s="621"/>
      <c r="AEU75" s="621"/>
      <c r="AEV75" s="621"/>
      <c r="AEW75" s="621"/>
      <c r="AEX75" s="621"/>
      <c r="AEY75" s="621"/>
      <c r="AEZ75" s="621"/>
      <c r="AFA75" s="621"/>
      <c r="AFB75" s="621"/>
      <c r="AFC75" s="621"/>
      <c r="AFD75" s="621"/>
      <c r="AFE75" s="621"/>
      <c r="AFF75" s="621"/>
      <c r="AFG75" s="621"/>
      <c r="AFH75" s="621"/>
      <c r="AFI75" s="621"/>
      <c r="AFJ75" s="621"/>
      <c r="AFK75" s="621"/>
      <c r="AFL75" s="621"/>
      <c r="AFM75" s="621"/>
      <c r="AFN75" s="621"/>
      <c r="AFO75" s="621"/>
      <c r="AFP75" s="621"/>
      <c r="AFQ75" s="621"/>
      <c r="AFR75" s="621"/>
      <c r="AFS75" s="621"/>
      <c r="AFT75" s="621"/>
      <c r="AFU75" s="621"/>
      <c r="AFV75" s="621"/>
      <c r="AFW75" s="621"/>
      <c r="AFX75" s="621"/>
      <c r="AFY75" s="621"/>
      <c r="AFZ75" s="621"/>
      <c r="AGA75" s="621"/>
      <c r="AGB75" s="621"/>
      <c r="AGC75" s="621"/>
      <c r="AGD75" s="621"/>
      <c r="AGE75" s="621"/>
      <c r="AGF75" s="621"/>
      <c r="AGG75" s="621"/>
      <c r="AGH75" s="621"/>
      <c r="AGI75" s="621"/>
      <c r="AGJ75" s="621"/>
      <c r="AGK75" s="621"/>
      <c r="AGL75" s="621"/>
      <c r="AGM75" s="621"/>
      <c r="AGN75" s="621"/>
      <c r="AGO75" s="621"/>
      <c r="AGP75" s="621"/>
      <c r="AGQ75" s="621"/>
      <c r="AGR75" s="621"/>
      <c r="AGS75" s="621"/>
      <c r="AGT75" s="621"/>
      <c r="AGU75" s="621"/>
      <c r="AGV75" s="621"/>
      <c r="AGW75" s="621"/>
      <c r="AGX75" s="621"/>
      <c r="AGY75" s="621"/>
      <c r="AGZ75" s="621"/>
      <c r="AHA75" s="621"/>
      <c r="AHB75" s="621"/>
      <c r="AHC75" s="621"/>
      <c r="AHD75" s="621"/>
      <c r="AHE75" s="621"/>
      <c r="AHF75" s="621"/>
      <c r="AHG75" s="621"/>
      <c r="AHH75" s="621"/>
      <c r="AHI75" s="621"/>
      <c r="AHJ75" s="621"/>
      <c r="AHK75" s="621"/>
      <c r="AHL75" s="621"/>
      <c r="AHM75" s="621"/>
      <c r="AHN75" s="621"/>
      <c r="AHO75" s="621"/>
      <c r="AHP75" s="621"/>
      <c r="AHQ75" s="621"/>
      <c r="AHR75" s="621"/>
      <c r="AHS75" s="621"/>
      <c r="AHT75" s="621"/>
      <c r="AHU75" s="621"/>
      <c r="AHV75" s="621"/>
      <c r="AHW75" s="621"/>
      <c r="AHX75" s="621"/>
      <c r="AHY75" s="621"/>
      <c r="AHZ75" s="621"/>
      <c r="AIA75" s="621"/>
      <c r="AIB75" s="621"/>
      <c r="AIC75" s="621"/>
      <c r="AID75" s="621"/>
      <c r="AIE75" s="621"/>
      <c r="AIF75" s="621"/>
      <c r="AIG75" s="621"/>
      <c r="AIH75" s="621"/>
      <c r="AII75" s="621"/>
      <c r="AIJ75" s="621"/>
      <c r="AIK75" s="621"/>
      <c r="AIL75" s="621"/>
      <c r="AIM75" s="621"/>
      <c r="AIN75" s="621"/>
      <c r="AIO75" s="621"/>
      <c r="AIP75" s="621"/>
      <c r="AIQ75" s="621"/>
      <c r="AIR75" s="621"/>
      <c r="AIS75" s="621"/>
      <c r="AIT75" s="621"/>
      <c r="AIU75" s="621"/>
      <c r="AIV75" s="621"/>
      <c r="AIW75" s="621"/>
      <c r="AIX75" s="621"/>
      <c r="AIY75" s="621"/>
      <c r="AIZ75" s="621"/>
      <c r="AJA75" s="621"/>
      <c r="AJB75" s="621"/>
      <c r="AJC75" s="621"/>
      <c r="AJD75" s="621"/>
      <c r="AJE75" s="621"/>
      <c r="AJF75" s="621"/>
      <c r="AJG75" s="621"/>
      <c r="AJH75" s="621"/>
      <c r="AJI75" s="621"/>
      <c r="AJJ75" s="621"/>
      <c r="AJK75" s="621"/>
      <c r="AJL75" s="621"/>
      <c r="AJM75" s="621"/>
      <c r="AJN75" s="621"/>
      <c r="AJO75" s="621"/>
      <c r="AJP75" s="621"/>
      <c r="AJQ75" s="621"/>
      <c r="AJR75" s="621"/>
      <c r="AJS75" s="621"/>
      <c r="AJT75" s="621"/>
      <c r="AJU75" s="621"/>
      <c r="AJV75" s="621"/>
      <c r="AJW75" s="621"/>
      <c r="AJX75" s="621"/>
      <c r="AJY75" s="621"/>
      <c r="AJZ75" s="621"/>
      <c r="AKA75" s="621"/>
      <c r="AKB75" s="621"/>
      <c r="AKC75" s="621"/>
      <c r="AKD75" s="621"/>
      <c r="AKE75" s="621"/>
      <c r="AKF75" s="621"/>
      <c r="AKG75" s="621"/>
      <c r="AKH75" s="621"/>
      <c r="AKI75" s="621"/>
      <c r="AKJ75" s="621"/>
      <c r="AKK75" s="621"/>
      <c r="AKL75" s="621"/>
      <c r="AKM75" s="621"/>
      <c r="AKN75" s="621"/>
      <c r="AKO75" s="621"/>
      <c r="AKP75" s="621"/>
      <c r="AKQ75" s="621"/>
      <c r="AKR75" s="621"/>
      <c r="AKS75" s="621"/>
      <c r="AKT75" s="621"/>
      <c r="AKU75" s="621"/>
      <c r="AKV75" s="621"/>
      <c r="AKW75" s="621"/>
      <c r="AKX75" s="621"/>
      <c r="AKY75" s="621"/>
      <c r="AKZ75" s="621"/>
      <c r="ALA75" s="621"/>
      <c r="ALB75" s="621"/>
      <c r="ALC75" s="621"/>
      <c r="ALD75" s="621"/>
      <c r="ALE75" s="621"/>
      <c r="ALF75" s="621"/>
      <c r="ALG75" s="621"/>
      <c r="ALH75" s="621"/>
      <c r="ALI75" s="621"/>
      <c r="ALJ75" s="621"/>
      <c r="ALK75" s="621"/>
      <c r="ALL75" s="621"/>
      <c r="ALM75" s="621"/>
      <c r="ALN75" s="621"/>
      <c r="ALO75" s="621"/>
      <c r="ALP75" s="621"/>
      <c r="ALQ75" s="621"/>
      <c r="ALR75" s="621"/>
      <c r="ALS75" s="621"/>
      <c r="ALT75" s="621"/>
      <c r="ALU75" s="621"/>
      <c r="ALV75" s="621"/>
      <c r="ALW75" s="621"/>
      <c r="ALX75" s="621"/>
      <c r="ALY75" s="621"/>
      <c r="ALZ75" s="621"/>
      <c r="AMA75" s="621"/>
      <c r="AMB75" s="621"/>
      <c r="AMC75" s="621"/>
      <c r="AMD75" s="621"/>
      <c r="AME75" s="621"/>
      <c r="AMF75" s="621"/>
      <c r="AMG75" s="621"/>
      <c r="AMH75" s="621"/>
      <c r="AMI75" s="621"/>
      <c r="AMJ75" s="621"/>
      <c r="AMK75" s="621"/>
    </row>
    <row r="76" spans="1:1025" ht="28.5" hidden="1" thickBot="1">
      <c r="A76" s="2026"/>
      <c r="B76" s="2026"/>
      <c r="C76" s="2026"/>
      <c r="D76" s="2029" t="e">
        <f>'[10]plan &amp; Unit price &amp; Direct cost'!K97</f>
        <v>#REF!</v>
      </c>
      <c r="E76" s="2029"/>
      <c r="F76" s="2030" t="e">
        <f>'[10]plan &amp; Unit price &amp; Direct cost'!L97</f>
        <v>#REF!</v>
      </c>
      <c r="G76" s="2030"/>
      <c r="H76" s="1488"/>
      <c r="I76" s="481"/>
      <c r="J76" s="477"/>
      <c r="K76" s="478"/>
      <c r="L76" s="1467"/>
      <c r="M76" s="1467"/>
      <c r="N76" s="272"/>
      <c r="O76" s="272"/>
      <c r="P76" s="272"/>
      <c r="AD76" s="1455"/>
      <c r="AE76" s="1486"/>
      <c r="AF76" s="1484" t="s">
        <v>343</v>
      </c>
      <c r="AG76" s="1485"/>
      <c r="AH76" s="1485">
        <v>8</v>
      </c>
      <c r="AI76" s="1485">
        <v>6</v>
      </c>
      <c r="AJ76" s="1485">
        <f>AG76*AH76*AI76</f>
        <v>0</v>
      </c>
      <c r="AK76" s="1485">
        <v>4</v>
      </c>
      <c r="AL76" s="1485">
        <f>AJ76*AK76</f>
        <v>0</v>
      </c>
      <c r="AM76" s="1475">
        <f t="shared" si="15"/>
        <v>0</v>
      </c>
      <c r="AN76" s="1484">
        <f>20000/30/10</f>
        <v>66.666666666666657</v>
      </c>
      <c r="AO76" s="1483">
        <f>AJ76*AN76</f>
        <v>0</v>
      </c>
      <c r="AP76" s="289"/>
      <c r="AU76" s="621"/>
      <c r="AV76" s="621"/>
      <c r="AW76" s="621"/>
      <c r="AX76" s="621"/>
      <c r="AY76" s="621"/>
      <c r="AZ76" s="621"/>
      <c r="BA76" s="621"/>
      <c r="BB76" s="621"/>
      <c r="BC76" s="621"/>
      <c r="BD76" s="621"/>
      <c r="BE76" s="621"/>
      <c r="BF76" s="621"/>
      <c r="BG76" s="621"/>
      <c r="BH76" s="621"/>
      <c r="BI76" s="621"/>
      <c r="BJ76" s="621"/>
      <c r="BK76" s="621"/>
      <c r="BL76" s="621"/>
      <c r="BM76" s="621"/>
      <c r="BN76" s="621"/>
      <c r="BO76" s="621"/>
      <c r="BP76" s="621"/>
      <c r="BQ76" s="621"/>
      <c r="BR76" s="621"/>
      <c r="BS76" s="621"/>
      <c r="BT76" s="621"/>
      <c r="BU76" s="621"/>
      <c r="BV76" s="621"/>
      <c r="BW76" s="621"/>
      <c r="BX76" s="621"/>
      <c r="BY76" s="621"/>
      <c r="BZ76" s="621"/>
      <c r="CA76" s="621"/>
      <c r="CB76" s="621"/>
      <c r="CC76" s="621"/>
      <c r="CD76" s="621"/>
      <c r="CE76" s="621"/>
      <c r="CF76" s="621"/>
      <c r="CG76" s="621"/>
      <c r="CH76" s="621"/>
      <c r="CI76" s="621"/>
      <c r="CJ76" s="621"/>
      <c r="CK76" s="621"/>
      <c r="CL76" s="621"/>
      <c r="CM76" s="621"/>
      <c r="CN76" s="621"/>
      <c r="CO76" s="621"/>
      <c r="CP76" s="621"/>
      <c r="CQ76" s="621"/>
      <c r="CR76" s="621"/>
      <c r="CS76" s="621"/>
      <c r="CT76" s="621"/>
      <c r="CU76" s="621"/>
      <c r="CV76" s="621"/>
      <c r="CW76" s="621"/>
      <c r="CX76" s="621"/>
      <c r="CY76" s="621"/>
      <c r="CZ76" s="621"/>
      <c r="DA76" s="621"/>
      <c r="DB76" s="621"/>
      <c r="DC76" s="621"/>
      <c r="DD76" s="621"/>
      <c r="DE76" s="621"/>
      <c r="DF76" s="621"/>
      <c r="DG76" s="621"/>
      <c r="DH76" s="621"/>
      <c r="DI76" s="621"/>
      <c r="DJ76" s="621"/>
      <c r="DK76" s="621"/>
      <c r="DL76" s="621"/>
      <c r="DM76" s="621"/>
      <c r="DN76" s="621"/>
      <c r="DO76" s="621"/>
      <c r="DP76" s="621"/>
      <c r="DQ76" s="621"/>
      <c r="DR76" s="621"/>
      <c r="DS76" s="621"/>
      <c r="DT76" s="621"/>
      <c r="DU76" s="621"/>
      <c r="DV76" s="621"/>
      <c r="DW76" s="621"/>
      <c r="DX76" s="621"/>
      <c r="DY76" s="621"/>
      <c r="DZ76" s="621"/>
      <c r="EA76" s="621"/>
      <c r="EB76" s="621"/>
      <c r="EC76" s="621"/>
      <c r="ED76" s="621"/>
      <c r="EE76" s="621"/>
      <c r="EF76" s="621"/>
      <c r="EG76" s="621"/>
      <c r="EH76" s="621"/>
      <c r="EI76" s="621"/>
      <c r="EJ76" s="621"/>
      <c r="EK76" s="621"/>
      <c r="EL76" s="621"/>
      <c r="EM76" s="621"/>
      <c r="EN76" s="621"/>
      <c r="EO76" s="621"/>
      <c r="EP76" s="621"/>
      <c r="EQ76" s="621"/>
      <c r="ER76" s="621"/>
      <c r="ES76" s="621"/>
      <c r="ET76" s="621"/>
      <c r="EU76" s="621"/>
      <c r="EV76" s="621"/>
      <c r="EW76" s="621"/>
      <c r="EX76" s="621"/>
      <c r="EY76" s="621"/>
      <c r="EZ76" s="621"/>
      <c r="FA76" s="621"/>
      <c r="FB76" s="621"/>
      <c r="FC76" s="621"/>
      <c r="FD76" s="621"/>
      <c r="FE76" s="621"/>
      <c r="FF76" s="621"/>
      <c r="FG76" s="621"/>
      <c r="FH76" s="621"/>
      <c r="FI76" s="621"/>
      <c r="FJ76" s="621"/>
      <c r="FK76" s="621"/>
      <c r="FL76" s="621"/>
      <c r="FM76" s="621"/>
      <c r="FN76" s="621"/>
      <c r="FO76" s="621"/>
      <c r="FP76" s="621"/>
      <c r="FQ76" s="621"/>
      <c r="FR76" s="621"/>
      <c r="FS76" s="621"/>
      <c r="FT76" s="621"/>
      <c r="FU76" s="621"/>
      <c r="FV76" s="621"/>
      <c r="FW76" s="621"/>
      <c r="FX76" s="621"/>
      <c r="FY76" s="621"/>
      <c r="FZ76" s="621"/>
      <c r="GA76" s="621"/>
      <c r="GB76" s="621"/>
      <c r="GC76" s="621"/>
      <c r="GD76" s="621"/>
      <c r="GE76" s="621"/>
      <c r="GF76" s="621"/>
      <c r="GG76" s="621"/>
      <c r="GH76" s="621"/>
      <c r="GI76" s="621"/>
      <c r="GJ76" s="621"/>
      <c r="GK76" s="621"/>
      <c r="GL76" s="621"/>
      <c r="GM76" s="621"/>
      <c r="GN76" s="621"/>
      <c r="GO76" s="621"/>
      <c r="GP76" s="621"/>
      <c r="GQ76" s="621"/>
      <c r="GR76" s="621"/>
      <c r="GS76" s="621"/>
      <c r="GT76" s="621"/>
      <c r="GU76" s="621"/>
      <c r="GV76" s="621"/>
      <c r="GW76" s="621"/>
      <c r="GX76" s="621"/>
      <c r="GY76" s="621"/>
      <c r="GZ76" s="621"/>
      <c r="HA76" s="621"/>
      <c r="HB76" s="621"/>
      <c r="HC76" s="621"/>
      <c r="HD76" s="621"/>
      <c r="HE76" s="621"/>
      <c r="HF76" s="621"/>
      <c r="HG76" s="621"/>
      <c r="HH76" s="621"/>
      <c r="HI76" s="621"/>
      <c r="HJ76" s="621"/>
      <c r="HK76" s="621"/>
      <c r="HL76" s="621"/>
      <c r="HM76" s="621"/>
      <c r="HN76" s="621"/>
      <c r="HO76" s="621"/>
      <c r="HP76" s="621"/>
      <c r="HQ76" s="621"/>
      <c r="HR76" s="621"/>
      <c r="HS76" s="621"/>
      <c r="HT76" s="621"/>
      <c r="HU76" s="621"/>
      <c r="HV76" s="621"/>
      <c r="HW76" s="621"/>
      <c r="HX76" s="621"/>
      <c r="HY76" s="621"/>
      <c r="HZ76" s="621"/>
      <c r="IA76" s="621"/>
      <c r="IB76" s="621"/>
      <c r="IC76" s="621"/>
      <c r="ID76" s="621"/>
      <c r="IE76" s="621"/>
      <c r="IF76" s="621"/>
      <c r="IG76" s="621"/>
      <c r="IH76" s="621"/>
      <c r="II76" s="621"/>
      <c r="IJ76" s="621"/>
      <c r="IK76" s="621"/>
      <c r="IL76" s="621"/>
      <c r="IM76" s="621"/>
      <c r="IN76" s="621"/>
      <c r="IO76" s="621"/>
      <c r="IP76" s="621"/>
      <c r="IQ76" s="621"/>
      <c r="IR76" s="621"/>
      <c r="IS76" s="621"/>
      <c r="IT76" s="621"/>
      <c r="IU76" s="621"/>
      <c r="IV76" s="621"/>
      <c r="IW76" s="621"/>
      <c r="IX76" s="621"/>
      <c r="IY76" s="621"/>
      <c r="IZ76" s="621"/>
      <c r="JA76" s="621"/>
      <c r="JB76" s="621"/>
      <c r="JC76" s="621"/>
      <c r="JD76" s="621"/>
      <c r="JE76" s="621"/>
      <c r="JF76" s="621"/>
      <c r="JG76" s="621"/>
      <c r="JH76" s="621"/>
      <c r="JI76" s="621"/>
      <c r="JJ76" s="621"/>
      <c r="JK76" s="621"/>
      <c r="JL76" s="621"/>
      <c r="JM76" s="621"/>
      <c r="JN76" s="621"/>
      <c r="JO76" s="621"/>
      <c r="JP76" s="621"/>
      <c r="JQ76" s="621"/>
      <c r="JR76" s="621"/>
      <c r="JS76" s="621"/>
      <c r="JT76" s="621"/>
      <c r="JU76" s="621"/>
      <c r="JV76" s="621"/>
      <c r="JW76" s="621"/>
      <c r="JX76" s="621"/>
      <c r="JY76" s="621"/>
      <c r="JZ76" s="621"/>
      <c r="KA76" s="621"/>
      <c r="KB76" s="621"/>
      <c r="KC76" s="621"/>
      <c r="KD76" s="621"/>
      <c r="KE76" s="621"/>
      <c r="KF76" s="621"/>
      <c r="KG76" s="621"/>
      <c r="KH76" s="621"/>
      <c r="KI76" s="621"/>
      <c r="KJ76" s="621"/>
      <c r="KK76" s="621"/>
      <c r="KL76" s="621"/>
      <c r="KM76" s="621"/>
      <c r="KN76" s="621"/>
      <c r="KO76" s="621"/>
      <c r="KP76" s="621"/>
      <c r="KQ76" s="621"/>
      <c r="KR76" s="621"/>
      <c r="KS76" s="621"/>
      <c r="KT76" s="621"/>
      <c r="KU76" s="621"/>
      <c r="KV76" s="621"/>
      <c r="KW76" s="621"/>
      <c r="KX76" s="621"/>
      <c r="KY76" s="621"/>
      <c r="KZ76" s="621"/>
      <c r="LA76" s="621"/>
      <c r="LB76" s="621"/>
      <c r="LC76" s="621"/>
      <c r="LD76" s="621"/>
      <c r="LE76" s="621"/>
      <c r="LF76" s="621"/>
      <c r="LG76" s="621"/>
      <c r="LH76" s="621"/>
      <c r="LI76" s="621"/>
      <c r="LJ76" s="621"/>
      <c r="LK76" s="621"/>
      <c r="LL76" s="621"/>
      <c r="LM76" s="621"/>
      <c r="LN76" s="621"/>
      <c r="LO76" s="621"/>
      <c r="LP76" s="621"/>
      <c r="LQ76" s="621"/>
      <c r="LR76" s="621"/>
      <c r="LS76" s="621"/>
      <c r="LT76" s="621"/>
      <c r="LU76" s="621"/>
      <c r="LV76" s="621"/>
      <c r="LW76" s="621"/>
      <c r="LX76" s="621"/>
      <c r="LY76" s="621"/>
      <c r="LZ76" s="621"/>
      <c r="MA76" s="621"/>
      <c r="MB76" s="621"/>
      <c r="MC76" s="621"/>
      <c r="MD76" s="621"/>
      <c r="ME76" s="621"/>
      <c r="MF76" s="621"/>
      <c r="MG76" s="621"/>
      <c r="MH76" s="621"/>
      <c r="MI76" s="621"/>
      <c r="MJ76" s="621"/>
      <c r="MK76" s="621"/>
      <c r="ML76" s="621"/>
      <c r="MM76" s="621"/>
      <c r="MN76" s="621"/>
      <c r="MO76" s="621"/>
      <c r="MP76" s="621"/>
      <c r="MQ76" s="621"/>
      <c r="MR76" s="621"/>
      <c r="MS76" s="621"/>
      <c r="MT76" s="621"/>
      <c r="MU76" s="621"/>
      <c r="MV76" s="621"/>
      <c r="MW76" s="621"/>
      <c r="MX76" s="621"/>
      <c r="MY76" s="621"/>
      <c r="MZ76" s="621"/>
      <c r="NA76" s="621"/>
      <c r="NB76" s="621"/>
      <c r="NC76" s="621"/>
      <c r="ND76" s="621"/>
      <c r="NE76" s="621"/>
      <c r="NF76" s="621"/>
      <c r="NG76" s="621"/>
      <c r="NH76" s="621"/>
      <c r="NI76" s="621"/>
      <c r="NJ76" s="621"/>
      <c r="NK76" s="621"/>
      <c r="NL76" s="621"/>
      <c r="NM76" s="621"/>
      <c r="NN76" s="621"/>
      <c r="NO76" s="621"/>
      <c r="NP76" s="621"/>
      <c r="NQ76" s="621"/>
      <c r="NR76" s="621"/>
      <c r="NS76" s="621"/>
      <c r="NT76" s="621"/>
      <c r="NU76" s="621"/>
      <c r="NV76" s="621"/>
      <c r="NW76" s="621"/>
      <c r="NX76" s="621"/>
      <c r="NY76" s="621"/>
      <c r="NZ76" s="621"/>
      <c r="OA76" s="621"/>
      <c r="OB76" s="621"/>
      <c r="OC76" s="621"/>
      <c r="OD76" s="621"/>
      <c r="OE76" s="621"/>
      <c r="OF76" s="621"/>
      <c r="OG76" s="621"/>
      <c r="OH76" s="621"/>
      <c r="OI76" s="621"/>
      <c r="OJ76" s="621"/>
      <c r="OK76" s="621"/>
      <c r="OL76" s="621"/>
      <c r="OM76" s="621"/>
      <c r="ON76" s="621"/>
      <c r="OO76" s="621"/>
      <c r="OP76" s="621"/>
      <c r="OQ76" s="621"/>
      <c r="OR76" s="621"/>
      <c r="OS76" s="621"/>
      <c r="OT76" s="621"/>
      <c r="OU76" s="621"/>
      <c r="OV76" s="621"/>
      <c r="OW76" s="621"/>
      <c r="OX76" s="621"/>
      <c r="OY76" s="621"/>
      <c r="OZ76" s="621"/>
      <c r="PA76" s="621"/>
      <c r="PB76" s="621"/>
      <c r="PC76" s="621"/>
      <c r="PD76" s="621"/>
      <c r="PE76" s="621"/>
      <c r="PF76" s="621"/>
      <c r="PG76" s="621"/>
      <c r="PH76" s="621"/>
      <c r="PI76" s="621"/>
      <c r="PJ76" s="621"/>
      <c r="PK76" s="621"/>
      <c r="PL76" s="621"/>
      <c r="PM76" s="621"/>
      <c r="PN76" s="621"/>
      <c r="PO76" s="621"/>
      <c r="PP76" s="621"/>
      <c r="PQ76" s="621"/>
      <c r="PR76" s="621"/>
      <c r="PS76" s="621"/>
      <c r="PT76" s="621"/>
      <c r="PU76" s="621"/>
      <c r="PV76" s="621"/>
      <c r="PW76" s="621"/>
      <c r="PX76" s="621"/>
      <c r="PY76" s="621"/>
      <c r="PZ76" s="621"/>
      <c r="QA76" s="621"/>
      <c r="QB76" s="621"/>
      <c r="QC76" s="621"/>
      <c r="QD76" s="621"/>
      <c r="QE76" s="621"/>
      <c r="QF76" s="621"/>
      <c r="QG76" s="621"/>
      <c r="QH76" s="621"/>
      <c r="QI76" s="621"/>
      <c r="QJ76" s="621"/>
      <c r="QK76" s="621"/>
      <c r="QL76" s="621"/>
      <c r="QM76" s="621"/>
      <c r="QN76" s="621"/>
      <c r="QO76" s="621"/>
      <c r="QP76" s="621"/>
      <c r="QQ76" s="621"/>
      <c r="QR76" s="621"/>
      <c r="QS76" s="621"/>
      <c r="QT76" s="621"/>
      <c r="QU76" s="621"/>
      <c r="QV76" s="621"/>
      <c r="QW76" s="621"/>
      <c r="QX76" s="621"/>
      <c r="QY76" s="621"/>
      <c r="QZ76" s="621"/>
      <c r="RA76" s="621"/>
      <c r="RB76" s="621"/>
      <c r="RC76" s="621"/>
      <c r="RD76" s="621"/>
      <c r="RE76" s="621"/>
      <c r="RF76" s="621"/>
      <c r="RG76" s="621"/>
      <c r="RH76" s="621"/>
      <c r="RI76" s="621"/>
      <c r="RJ76" s="621"/>
      <c r="RK76" s="621"/>
      <c r="RL76" s="621"/>
      <c r="RM76" s="621"/>
      <c r="RN76" s="621"/>
      <c r="RO76" s="621"/>
      <c r="RP76" s="621"/>
      <c r="RQ76" s="621"/>
      <c r="RR76" s="621"/>
      <c r="RS76" s="621"/>
      <c r="RT76" s="621"/>
      <c r="RU76" s="621"/>
      <c r="RV76" s="621"/>
      <c r="RW76" s="621"/>
      <c r="RX76" s="621"/>
      <c r="RY76" s="621"/>
      <c r="RZ76" s="621"/>
      <c r="SA76" s="621"/>
      <c r="SB76" s="621"/>
      <c r="SC76" s="621"/>
      <c r="SD76" s="621"/>
      <c r="SE76" s="621"/>
      <c r="SF76" s="621"/>
      <c r="SG76" s="621"/>
      <c r="SH76" s="621"/>
      <c r="SI76" s="621"/>
      <c r="SJ76" s="621"/>
      <c r="SK76" s="621"/>
      <c r="SL76" s="621"/>
      <c r="SM76" s="621"/>
      <c r="SN76" s="621"/>
      <c r="SO76" s="621"/>
      <c r="SP76" s="621"/>
      <c r="SQ76" s="621"/>
      <c r="SR76" s="621"/>
      <c r="SS76" s="621"/>
      <c r="ST76" s="621"/>
      <c r="SU76" s="621"/>
      <c r="SV76" s="621"/>
      <c r="SW76" s="621"/>
      <c r="SX76" s="621"/>
      <c r="SY76" s="621"/>
      <c r="SZ76" s="621"/>
      <c r="TA76" s="621"/>
      <c r="TB76" s="621"/>
      <c r="TC76" s="621"/>
      <c r="TD76" s="621"/>
      <c r="TE76" s="621"/>
      <c r="TF76" s="621"/>
      <c r="TG76" s="621"/>
      <c r="TH76" s="621"/>
      <c r="TI76" s="621"/>
      <c r="TJ76" s="621"/>
      <c r="TK76" s="621"/>
      <c r="TL76" s="621"/>
      <c r="TM76" s="621"/>
      <c r="TN76" s="621"/>
      <c r="TO76" s="621"/>
      <c r="TP76" s="621"/>
      <c r="TQ76" s="621"/>
      <c r="TR76" s="621"/>
      <c r="TS76" s="621"/>
      <c r="TT76" s="621"/>
      <c r="TU76" s="621"/>
      <c r="TV76" s="621"/>
      <c r="TW76" s="621"/>
      <c r="TX76" s="621"/>
      <c r="TY76" s="621"/>
      <c r="TZ76" s="621"/>
      <c r="UA76" s="621"/>
      <c r="UB76" s="621"/>
      <c r="UC76" s="621"/>
      <c r="UD76" s="621"/>
      <c r="UE76" s="621"/>
      <c r="UF76" s="621"/>
      <c r="UG76" s="621"/>
      <c r="UH76" s="621"/>
      <c r="UI76" s="621"/>
      <c r="UJ76" s="621"/>
      <c r="UK76" s="621"/>
      <c r="UL76" s="621"/>
      <c r="UM76" s="621"/>
      <c r="UN76" s="621"/>
      <c r="UO76" s="621"/>
      <c r="UP76" s="621"/>
      <c r="UQ76" s="621"/>
      <c r="UR76" s="621"/>
      <c r="US76" s="621"/>
      <c r="UT76" s="621"/>
      <c r="UU76" s="621"/>
      <c r="UV76" s="621"/>
      <c r="UW76" s="621"/>
      <c r="UX76" s="621"/>
      <c r="UY76" s="621"/>
      <c r="UZ76" s="621"/>
      <c r="VA76" s="621"/>
      <c r="VB76" s="621"/>
      <c r="VC76" s="621"/>
      <c r="VD76" s="621"/>
      <c r="VE76" s="621"/>
      <c r="VF76" s="621"/>
      <c r="VG76" s="621"/>
      <c r="VH76" s="621"/>
      <c r="VI76" s="621"/>
      <c r="VJ76" s="621"/>
      <c r="VK76" s="621"/>
      <c r="VL76" s="621"/>
      <c r="VM76" s="621"/>
      <c r="VN76" s="621"/>
      <c r="VO76" s="621"/>
      <c r="VP76" s="621"/>
      <c r="VQ76" s="621"/>
      <c r="VR76" s="621"/>
      <c r="VS76" s="621"/>
      <c r="VT76" s="621"/>
      <c r="VU76" s="621"/>
      <c r="VV76" s="621"/>
      <c r="VW76" s="621"/>
      <c r="VX76" s="621"/>
      <c r="VY76" s="621"/>
      <c r="VZ76" s="621"/>
      <c r="WA76" s="621"/>
      <c r="WB76" s="621"/>
      <c r="WC76" s="621"/>
      <c r="WD76" s="621"/>
      <c r="WE76" s="621"/>
      <c r="WF76" s="621"/>
      <c r="WG76" s="621"/>
      <c r="WH76" s="621"/>
      <c r="WI76" s="621"/>
      <c r="WJ76" s="621"/>
      <c r="WK76" s="621"/>
      <c r="WL76" s="621"/>
      <c r="WM76" s="621"/>
      <c r="WN76" s="621"/>
      <c r="WO76" s="621"/>
      <c r="WP76" s="621"/>
      <c r="WQ76" s="621"/>
      <c r="WR76" s="621"/>
      <c r="WS76" s="621"/>
      <c r="WT76" s="621"/>
      <c r="WU76" s="621"/>
      <c r="WV76" s="621"/>
      <c r="WW76" s="621"/>
      <c r="WX76" s="621"/>
      <c r="WY76" s="621"/>
      <c r="WZ76" s="621"/>
      <c r="XA76" s="621"/>
      <c r="XB76" s="621"/>
      <c r="XC76" s="621"/>
      <c r="XD76" s="621"/>
      <c r="XE76" s="621"/>
      <c r="XF76" s="621"/>
      <c r="XG76" s="621"/>
      <c r="XH76" s="621"/>
      <c r="XI76" s="621"/>
      <c r="XJ76" s="621"/>
      <c r="XK76" s="621"/>
      <c r="XL76" s="621"/>
      <c r="XM76" s="621"/>
      <c r="XN76" s="621"/>
      <c r="XO76" s="621"/>
      <c r="XP76" s="621"/>
      <c r="XQ76" s="621"/>
      <c r="XR76" s="621"/>
      <c r="XS76" s="621"/>
      <c r="XT76" s="621"/>
      <c r="XU76" s="621"/>
      <c r="XV76" s="621"/>
      <c r="XW76" s="621"/>
      <c r="XX76" s="621"/>
      <c r="XY76" s="621"/>
      <c r="XZ76" s="621"/>
      <c r="YA76" s="621"/>
      <c r="YB76" s="621"/>
      <c r="YC76" s="621"/>
      <c r="YD76" s="621"/>
      <c r="YE76" s="621"/>
      <c r="YF76" s="621"/>
      <c r="YG76" s="621"/>
      <c r="YH76" s="621"/>
      <c r="YI76" s="621"/>
      <c r="YJ76" s="621"/>
      <c r="YK76" s="621"/>
      <c r="YL76" s="621"/>
      <c r="YM76" s="621"/>
      <c r="YN76" s="621"/>
      <c r="YO76" s="621"/>
      <c r="YP76" s="621"/>
      <c r="YQ76" s="621"/>
      <c r="YR76" s="621"/>
      <c r="YS76" s="621"/>
      <c r="YT76" s="621"/>
      <c r="YU76" s="621"/>
      <c r="YV76" s="621"/>
      <c r="YW76" s="621"/>
      <c r="YX76" s="621"/>
      <c r="YY76" s="621"/>
      <c r="YZ76" s="621"/>
      <c r="ZA76" s="621"/>
      <c r="ZB76" s="621"/>
      <c r="ZC76" s="621"/>
      <c r="ZD76" s="621"/>
      <c r="ZE76" s="621"/>
      <c r="ZF76" s="621"/>
      <c r="ZG76" s="621"/>
      <c r="ZH76" s="621"/>
      <c r="ZI76" s="621"/>
      <c r="ZJ76" s="621"/>
      <c r="ZK76" s="621"/>
      <c r="ZL76" s="621"/>
      <c r="ZM76" s="621"/>
      <c r="ZN76" s="621"/>
      <c r="ZO76" s="621"/>
      <c r="ZP76" s="621"/>
      <c r="ZQ76" s="621"/>
      <c r="ZR76" s="621"/>
      <c r="ZS76" s="621"/>
      <c r="ZT76" s="621"/>
      <c r="ZU76" s="621"/>
      <c r="ZV76" s="621"/>
      <c r="ZW76" s="621"/>
      <c r="ZX76" s="621"/>
      <c r="ZY76" s="621"/>
      <c r="ZZ76" s="621"/>
      <c r="AAA76" s="621"/>
      <c r="AAB76" s="621"/>
      <c r="AAC76" s="621"/>
      <c r="AAD76" s="621"/>
      <c r="AAE76" s="621"/>
      <c r="AAF76" s="621"/>
      <c r="AAG76" s="621"/>
      <c r="AAH76" s="621"/>
      <c r="AAI76" s="621"/>
      <c r="AAJ76" s="621"/>
      <c r="AAK76" s="621"/>
      <c r="AAL76" s="621"/>
      <c r="AAM76" s="621"/>
      <c r="AAN76" s="621"/>
      <c r="AAO76" s="621"/>
      <c r="AAP76" s="621"/>
      <c r="AAQ76" s="621"/>
      <c r="AAR76" s="621"/>
      <c r="AAS76" s="621"/>
      <c r="AAT76" s="621"/>
      <c r="AAU76" s="621"/>
      <c r="AAV76" s="621"/>
      <c r="AAW76" s="621"/>
      <c r="AAX76" s="621"/>
      <c r="AAY76" s="621"/>
      <c r="AAZ76" s="621"/>
      <c r="ABA76" s="621"/>
      <c r="ABB76" s="621"/>
      <c r="ABC76" s="621"/>
      <c r="ABD76" s="621"/>
      <c r="ABE76" s="621"/>
      <c r="ABF76" s="621"/>
      <c r="ABG76" s="621"/>
      <c r="ABH76" s="621"/>
      <c r="ABI76" s="621"/>
      <c r="ABJ76" s="621"/>
      <c r="ABK76" s="621"/>
      <c r="ABL76" s="621"/>
      <c r="ABM76" s="621"/>
      <c r="ABN76" s="621"/>
      <c r="ABO76" s="621"/>
      <c r="ABP76" s="621"/>
      <c r="ABQ76" s="621"/>
      <c r="ABR76" s="621"/>
      <c r="ABS76" s="621"/>
      <c r="ABT76" s="621"/>
      <c r="ABU76" s="621"/>
      <c r="ABV76" s="621"/>
      <c r="ABW76" s="621"/>
      <c r="ABX76" s="621"/>
      <c r="ABY76" s="621"/>
      <c r="ABZ76" s="621"/>
      <c r="ACA76" s="621"/>
      <c r="ACB76" s="621"/>
      <c r="ACC76" s="621"/>
      <c r="ACD76" s="621"/>
      <c r="ACE76" s="621"/>
      <c r="ACF76" s="621"/>
      <c r="ACG76" s="621"/>
      <c r="ACH76" s="621"/>
      <c r="ACI76" s="621"/>
      <c r="ACJ76" s="621"/>
      <c r="ACK76" s="621"/>
      <c r="ACL76" s="621"/>
      <c r="ACM76" s="621"/>
      <c r="ACN76" s="621"/>
      <c r="ACO76" s="621"/>
      <c r="ACP76" s="621"/>
      <c r="ACQ76" s="621"/>
      <c r="ACR76" s="621"/>
      <c r="ACS76" s="621"/>
      <c r="ACT76" s="621"/>
      <c r="ACU76" s="621"/>
      <c r="ACV76" s="621"/>
      <c r="ACW76" s="621"/>
      <c r="ACX76" s="621"/>
      <c r="ACY76" s="621"/>
      <c r="ACZ76" s="621"/>
      <c r="ADA76" s="621"/>
      <c r="ADB76" s="621"/>
      <c r="ADC76" s="621"/>
      <c r="ADD76" s="621"/>
      <c r="ADE76" s="621"/>
      <c r="ADF76" s="621"/>
      <c r="ADG76" s="621"/>
      <c r="ADH76" s="621"/>
      <c r="ADI76" s="621"/>
      <c r="ADJ76" s="621"/>
      <c r="ADK76" s="621"/>
      <c r="ADL76" s="621"/>
      <c r="ADM76" s="621"/>
      <c r="ADN76" s="621"/>
      <c r="ADO76" s="621"/>
      <c r="ADP76" s="621"/>
      <c r="ADQ76" s="621"/>
      <c r="ADR76" s="621"/>
      <c r="ADS76" s="621"/>
      <c r="ADT76" s="621"/>
      <c r="ADU76" s="621"/>
      <c r="ADV76" s="621"/>
      <c r="ADW76" s="621"/>
      <c r="ADX76" s="621"/>
      <c r="ADY76" s="621"/>
      <c r="ADZ76" s="621"/>
      <c r="AEA76" s="621"/>
      <c r="AEB76" s="621"/>
      <c r="AEC76" s="621"/>
      <c r="AED76" s="621"/>
      <c r="AEE76" s="621"/>
      <c r="AEF76" s="621"/>
      <c r="AEG76" s="621"/>
      <c r="AEH76" s="621"/>
      <c r="AEI76" s="621"/>
      <c r="AEJ76" s="621"/>
      <c r="AEK76" s="621"/>
      <c r="AEL76" s="621"/>
      <c r="AEM76" s="621"/>
      <c r="AEN76" s="621"/>
      <c r="AEO76" s="621"/>
      <c r="AEP76" s="621"/>
      <c r="AEQ76" s="621"/>
      <c r="AER76" s="621"/>
      <c r="AES76" s="621"/>
      <c r="AET76" s="621"/>
      <c r="AEU76" s="621"/>
      <c r="AEV76" s="621"/>
      <c r="AEW76" s="621"/>
      <c r="AEX76" s="621"/>
      <c r="AEY76" s="621"/>
      <c r="AEZ76" s="621"/>
      <c r="AFA76" s="621"/>
      <c r="AFB76" s="621"/>
      <c r="AFC76" s="621"/>
      <c r="AFD76" s="621"/>
      <c r="AFE76" s="621"/>
      <c r="AFF76" s="621"/>
      <c r="AFG76" s="621"/>
      <c r="AFH76" s="621"/>
      <c r="AFI76" s="621"/>
      <c r="AFJ76" s="621"/>
      <c r="AFK76" s="621"/>
      <c r="AFL76" s="621"/>
      <c r="AFM76" s="621"/>
      <c r="AFN76" s="621"/>
      <c r="AFO76" s="621"/>
      <c r="AFP76" s="621"/>
      <c r="AFQ76" s="621"/>
      <c r="AFR76" s="621"/>
      <c r="AFS76" s="621"/>
      <c r="AFT76" s="621"/>
      <c r="AFU76" s="621"/>
      <c r="AFV76" s="621"/>
      <c r="AFW76" s="621"/>
      <c r="AFX76" s="621"/>
      <c r="AFY76" s="621"/>
      <c r="AFZ76" s="621"/>
      <c r="AGA76" s="621"/>
      <c r="AGB76" s="621"/>
      <c r="AGC76" s="621"/>
      <c r="AGD76" s="621"/>
      <c r="AGE76" s="621"/>
      <c r="AGF76" s="621"/>
      <c r="AGG76" s="621"/>
      <c r="AGH76" s="621"/>
      <c r="AGI76" s="621"/>
      <c r="AGJ76" s="621"/>
      <c r="AGK76" s="621"/>
      <c r="AGL76" s="621"/>
      <c r="AGM76" s="621"/>
      <c r="AGN76" s="621"/>
      <c r="AGO76" s="621"/>
      <c r="AGP76" s="621"/>
      <c r="AGQ76" s="621"/>
      <c r="AGR76" s="621"/>
      <c r="AGS76" s="621"/>
      <c r="AGT76" s="621"/>
      <c r="AGU76" s="621"/>
      <c r="AGV76" s="621"/>
      <c r="AGW76" s="621"/>
      <c r="AGX76" s="621"/>
      <c r="AGY76" s="621"/>
      <c r="AGZ76" s="621"/>
      <c r="AHA76" s="621"/>
      <c r="AHB76" s="621"/>
      <c r="AHC76" s="621"/>
      <c r="AHD76" s="621"/>
      <c r="AHE76" s="621"/>
      <c r="AHF76" s="621"/>
      <c r="AHG76" s="621"/>
      <c r="AHH76" s="621"/>
      <c r="AHI76" s="621"/>
      <c r="AHJ76" s="621"/>
      <c r="AHK76" s="621"/>
      <c r="AHL76" s="621"/>
      <c r="AHM76" s="621"/>
      <c r="AHN76" s="621"/>
      <c r="AHO76" s="621"/>
      <c r="AHP76" s="621"/>
      <c r="AHQ76" s="621"/>
      <c r="AHR76" s="621"/>
      <c r="AHS76" s="621"/>
      <c r="AHT76" s="621"/>
      <c r="AHU76" s="621"/>
      <c r="AHV76" s="621"/>
      <c r="AHW76" s="621"/>
      <c r="AHX76" s="621"/>
      <c r="AHY76" s="621"/>
      <c r="AHZ76" s="621"/>
      <c r="AIA76" s="621"/>
      <c r="AIB76" s="621"/>
      <c r="AIC76" s="621"/>
      <c r="AID76" s="621"/>
      <c r="AIE76" s="621"/>
      <c r="AIF76" s="621"/>
      <c r="AIG76" s="621"/>
      <c r="AIH76" s="621"/>
      <c r="AII76" s="621"/>
      <c r="AIJ76" s="621"/>
      <c r="AIK76" s="621"/>
      <c r="AIL76" s="621"/>
      <c r="AIM76" s="621"/>
      <c r="AIN76" s="621"/>
      <c r="AIO76" s="621"/>
      <c r="AIP76" s="621"/>
      <c r="AIQ76" s="621"/>
      <c r="AIR76" s="621"/>
      <c r="AIS76" s="621"/>
      <c r="AIT76" s="621"/>
      <c r="AIU76" s="621"/>
      <c r="AIV76" s="621"/>
      <c r="AIW76" s="621"/>
      <c r="AIX76" s="621"/>
      <c r="AIY76" s="621"/>
      <c r="AIZ76" s="621"/>
      <c r="AJA76" s="621"/>
      <c r="AJB76" s="621"/>
      <c r="AJC76" s="621"/>
      <c r="AJD76" s="621"/>
      <c r="AJE76" s="621"/>
      <c r="AJF76" s="621"/>
      <c r="AJG76" s="621"/>
      <c r="AJH76" s="621"/>
      <c r="AJI76" s="621"/>
      <c r="AJJ76" s="621"/>
      <c r="AJK76" s="621"/>
      <c r="AJL76" s="621"/>
      <c r="AJM76" s="621"/>
      <c r="AJN76" s="621"/>
      <c r="AJO76" s="621"/>
      <c r="AJP76" s="621"/>
      <c r="AJQ76" s="621"/>
      <c r="AJR76" s="621"/>
      <c r="AJS76" s="621"/>
      <c r="AJT76" s="621"/>
      <c r="AJU76" s="621"/>
      <c r="AJV76" s="621"/>
      <c r="AJW76" s="621"/>
      <c r="AJX76" s="621"/>
      <c r="AJY76" s="621"/>
      <c r="AJZ76" s="621"/>
      <c r="AKA76" s="621"/>
      <c r="AKB76" s="621"/>
      <c r="AKC76" s="621"/>
      <c r="AKD76" s="621"/>
      <c r="AKE76" s="621"/>
      <c r="AKF76" s="621"/>
      <c r="AKG76" s="621"/>
      <c r="AKH76" s="621"/>
      <c r="AKI76" s="621"/>
      <c r="AKJ76" s="621"/>
      <c r="AKK76" s="621"/>
      <c r="AKL76" s="621"/>
      <c r="AKM76" s="621"/>
      <c r="AKN76" s="621"/>
      <c r="AKO76" s="621"/>
      <c r="AKP76" s="621"/>
      <c r="AKQ76" s="621"/>
      <c r="AKR76" s="621"/>
      <c r="AKS76" s="621"/>
      <c r="AKT76" s="621"/>
      <c r="AKU76" s="621"/>
      <c r="AKV76" s="621"/>
      <c r="AKW76" s="621"/>
      <c r="AKX76" s="621"/>
      <c r="AKY76" s="621"/>
      <c r="AKZ76" s="621"/>
      <c r="ALA76" s="621"/>
      <c r="ALB76" s="621"/>
      <c r="ALC76" s="621"/>
      <c r="ALD76" s="621"/>
      <c r="ALE76" s="621"/>
      <c r="ALF76" s="621"/>
      <c r="ALG76" s="621"/>
      <c r="ALH76" s="621"/>
      <c r="ALI76" s="621"/>
      <c r="ALJ76" s="621"/>
      <c r="ALK76" s="621"/>
      <c r="ALL76" s="621"/>
      <c r="ALM76" s="621"/>
      <c r="ALN76" s="621"/>
      <c r="ALO76" s="621"/>
      <c r="ALP76" s="621"/>
      <c r="ALQ76" s="621"/>
      <c r="ALR76" s="621"/>
      <c r="ALS76" s="621"/>
      <c r="ALT76" s="621"/>
      <c r="ALU76" s="621"/>
      <c r="ALV76" s="621"/>
      <c r="ALW76" s="621"/>
      <c r="ALX76" s="621"/>
      <c r="ALY76" s="621"/>
      <c r="ALZ76" s="621"/>
      <c r="AMA76" s="621"/>
      <c r="AMB76" s="621"/>
      <c r="AMC76" s="621"/>
      <c r="AMD76" s="621"/>
      <c r="AME76" s="621"/>
      <c r="AMF76" s="621"/>
      <c r="AMG76" s="621"/>
      <c r="AMH76" s="621"/>
      <c r="AMI76" s="621"/>
      <c r="AMJ76" s="621"/>
      <c r="AMK76" s="621"/>
    </row>
    <row r="77" spans="1:1025" ht="27.75" hidden="1">
      <c r="A77" s="482"/>
      <c r="B77" s="482"/>
      <c r="C77" s="1487"/>
      <c r="D77" s="1441"/>
      <c r="E77" s="1441"/>
      <c r="F77" s="354"/>
      <c r="G77" s="354"/>
      <c r="H77" s="354"/>
      <c r="I77" s="481"/>
      <c r="J77" s="477"/>
      <c r="K77" s="478"/>
      <c r="L77" s="1467"/>
      <c r="M77" s="1467"/>
      <c r="N77" s="272"/>
      <c r="O77" s="272"/>
      <c r="P77" s="272"/>
      <c r="AD77" s="1455"/>
      <c r="AE77" s="1486"/>
      <c r="AF77" s="1484"/>
      <c r="AG77" s="1485"/>
      <c r="AH77" s="1485"/>
      <c r="AI77" s="1485"/>
      <c r="AJ77" s="1485"/>
      <c r="AK77" s="1485"/>
      <c r="AL77" s="1485"/>
      <c r="AM77" s="1475"/>
      <c r="AN77" s="1484"/>
      <c r="AO77" s="1483"/>
      <c r="AP77" s="289"/>
      <c r="AU77" s="621"/>
      <c r="AV77" s="621"/>
      <c r="AW77" s="621"/>
      <c r="AX77" s="621"/>
      <c r="AY77" s="621"/>
      <c r="AZ77" s="621"/>
      <c r="BA77" s="621"/>
      <c r="BB77" s="621"/>
      <c r="BC77" s="621"/>
      <c r="BD77" s="621"/>
      <c r="BE77" s="621"/>
      <c r="BF77" s="621"/>
      <c r="BG77" s="621"/>
      <c r="BH77" s="621"/>
      <c r="BI77" s="621"/>
      <c r="BJ77" s="621"/>
      <c r="BK77" s="621"/>
      <c r="BL77" s="621"/>
      <c r="BM77" s="621"/>
      <c r="BN77" s="621"/>
      <c r="BO77" s="621"/>
      <c r="BP77" s="621"/>
      <c r="BQ77" s="621"/>
      <c r="BR77" s="621"/>
      <c r="BS77" s="621"/>
      <c r="BT77" s="621"/>
      <c r="BU77" s="621"/>
      <c r="BV77" s="621"/>
      <c r="BW77" s="621"/>
      <c r="BX77" s="621"/>
      <c r="BY77" s="621"/>
      <c r="BZ77" s="621"/>
      <c r="CA77" s="621"/>
      <c r="CB77" s="621"/>
      <c r="CC77" s="621"/>
      <c r="CD77" s="621"/>
      <c r="CE77" s="621"/>
      <c r="CF77" s="621"/>
      <c r="CG77" s="621"/>
      <c r="CH77" s="621"/>
      <c r="CI77" s="621"/>
      <c r="CJ77" s="621"/>
      <c r="CK77" s="621"/>
      <c r="CL77" s="621"/>
      <c r="CM77" s="621"/>
      <c r="CN77" s="621"/>
      <c r="CO77" s="621"/>
      <c r="CP77" s="621"/>
      <c r="CQ77" s="621"/>
      <c r="CR77" s="621"/>
      <c r="CS77" s="621"/>
      <c r="CT77" s="621"/>
      <c r="CU77" s="621"/>
      <c r="CV77" s="621"/>
      <c r="CW77" s="621"/>
      <c r="CX77" s="621"/>
      <c r="CY77" s="621"/>
      <c r="CZ77" s="621"/>
      <c r="DA77" s="621"/>
      <c r="DB77" s="621"/>
      <c r="DC77" s="621"/>
      <c r="DD77" s="621"/>
      <c r="DE77" s="621"/>
      <c r="DF77" s="621"/>
      <c r="DG77" s="621"/>
      <c r="DH77" s="621"/>
      <c r="DI77" s="621"/>
      <c r="DJ77" s="621"/>
      <c r="DK77" s="621"/>
      <c r="DL77" s="621"/>
      <c r="DM77" s="621"/>
      <c r="DN77" s="621"/>
      <c r="DO77" s="621"/>
      <c r="DP77" s="621"/>
      <c r="DQ77" s="621"/>
      <c r="DR77" s="621"/>
      <c r="DS77" s="621"/>
      <c r="DT77" s="621"/>
      <c r="DU77" s="621"/>
      <c r="DV77" s="621"/>
      <c r="DW77" s="621"/>
      <c r="DX77" s="621"/>
      <c r="DY77" s="621"/>
      <c r="DZ77" s="621"/>
      <c r="EA77" s="621"/>
      <c r="EB77" s="621"/>
      <c r="EC77" s="621"/>
      <c r="ED77" s="621"/>
      <c r="EE77" s="621"/>
      <c r="EF77" s="621"/>
      <c r="EG77" s="621"/>
      <c r="EH77" s="621"/>
      <c r="EI77" s="621"/>
      <c r="EJ77" s="621"/>
      <c r="EK77" s="621"/>
      <c r="EL77" s="621"/>
      <c r="EM77" s="621"/>
      <c r="EN77" s="621"/>
      <c r="EO77" s="621"/>
      <c r="EP77" s="621"/>
      <c r="EQ77" s="621"/>
      <c r="ER77" s="621"/>
      <c r="ES77" s="621"/>
      <c r="ET77" s="621"/>
      <c r="EU77" s="621"/>
      <c r="EV77" s="621"/>
      <c r="EW77" s="621"/>
      <c r="EX77" s="621"/>
      <c r="EY77" s="621"/>
      <c r="EZ77" s="621"/>
      <c r="FA77" s="621"/>
      <c r="FB77" s="621"/>
      <c r="FC77" s="621"/>
      <c r="FD77" s="621"/>
      <c r="FE77" s="621"/>
      <c r="FF77" s="621"/>
      <c r="FG77" s="621"/>
      <c r="FH77" s="621"/>
      <c r="FI77" s="621"/>
      <c r="FJ77" s="621"/>
      <c r="FK77" s="621"/>
      <c r="FL77" s="621"/>
      <c r="FM77" s="621"/>
      <c r="FN77" s="621"/>
      <c r="FO77" s="621"/>
      <c r="FP77" s="621"/>
      <c r="FQ77" s="621"/>
      <c r="FR77" s="621"/>
      <c r="FS77" s="621"/>
      <c r="FT77" s="621"/>
      <c r="FU77" s="621"/>
      <c r="FV77" s="621"/>
      <c r="FW77" s="621"/>
      <c r="FX77" s="621"/>
      <c r="FY77" s="621"/>
      <c r="FZ77" s="621"/>
      <c r="GA77" s="621"/>
      <c r="GB77" s="621"/>
      <c r="GC77" s="621"/>
      <c r="GD77" s="621"/>
      <c r="GE77" s="621"/>
      <c r="GF77" s="621"/>
      <c r="GG77" s="621"/>
      <c r="GH77" s="621"/>
      <c r="GI77" s="621"/>
      <c r="GJ77" s="621"/>
      <c r="GK77" s="621"/>
      <c r="GL77" s="621"/>
      <c r="GM77" s="621"/>
      <c r="GN77" s="621"/>
      <c r="GO77" s="621"/>
      <c r="GP77" s="621"/>
      <c r="GQ77" s="621"/>
      <c r="GR77" s="621"/>
      <c r="GS77" s="621"/>
      <c r="GT77" s="621"/>
      <c r="GU77" s="621"/>
      <c r="GV77" s="621"/>
      <c r="GW77" s="621"/>
      <c r="GX77" s="621"/>
      <c r="GY77" s="621"/>
      <c r="GZ77" s="621"/>
      <c r="HA77" s="621"/>
      <c r="HB77" s="621"/>
      <c r="HC77" s="621"/>
      <c r="HD77" s="621"/>
      <c r="HE77" s="621"/>
      <c r="HF77" s="621"/>
      <c r="HG77" s="621"/>
      <c r="HH77" s="621"/>
      <c r="HI77" s="621"/>
      <c r="HJ77" s="621"/>
      <c r="HK77" s="621"/>
      <c r="HL77" s="621"/>
      <c r="HM77" s="621"/>
      <c r="HN77" s="621"/>
      <c r="HO77" s="621"/>
      <c r="HP77" s="621"/>
      <c r="HQ77" s="621"/>
      <c r="HR77" s="621"/>
      <c r="HS77" s="621"/>
      <c r="HT77" s="621"/>
      <c r="HU77" s="621"/>
      <c r="HV77" s="621"/>
      <c r="HW77" s="621"/>
      <c r="HX77" s="621"/>
      <c r="HY77" s="621"/>
      <c r="HZ77" s="621"/>
      <c r="IA77" s="621"/>
      <c r="IB77" s="621"/>
      <c r="IC77" s="621"/>
      <c r="ID77" s="621"/>
      <c r="IE77" s="621"/>
      <c r="IF77" s="621"/>
      <c r="IG77" s="621"/>
      <c r="IH77" s="621"/>
      <c r="II77" s="621"/>
      <c r="IJ77" s="621"/>
      <c r="IK77" s="621"/>
      <c r="IL77" s="621"/>
      <c r="IM77" s="621"/>
      <c r="IN77" s="621"/>
      <c r="IO77" s="621"/>
      <c r="IP77" s="621"/>
      <c r="IQ77" s="621"/>
      <c r="IR77" s="621"/>
      <c r="IS77" s="621"/>
      <c r="IT77" s="621"/>
      <c r="IU77" s="621"/>
      <c r="IV77" s="621"/>
      <c r="IW77" s="621"/>
      <c r="IX77" s="621"/>
      <c r="IY77" s="621"/>
      <c r="IZ77" s="621"/>
      <c r="JA77" s="621"/>
      <c r="JB77" s="621"/>
      <c r="JC77" s="621"/>
      <c r="JD77" s="621"/>
      <c r="JE77" s="621"/>
      <c r="JF77" s="621"/>
      <c r="JG77" s="621"/>
      <c r="JH77" s="621"/>
      <c r="JI77" s="621"/>
      <c r="JJ77" s="621"/>
      <c r="JK77" s="621"/>
      <c r="JL77" s="621"/>
      <c r="JM77" s="621"/>
      <c r="JN77" s="621"/>
      <c r="JO77" s="621"/>
      <c r="JP77" s="621"/>
      <c r="JQ77" s="621"/>
      <c r="JR77" s="621"/>
      <c r="JS77" s="621"/>
      <c r="JT77" s="621"/>
      <c r="JU77" s="621"/>
      <c r="JV77" s="621"/>
      <c r="JW77" s="621"/>
      <c r="JX77" s="621"/>
      <c r="JY77" s="621"/>
      <c r="JZ77" s="621"/>
      <c r="KA77" s="621"/>
      <c r="KB77" s="621"/>
      <c r="KC77" s="621"/>
      <c r="KD77" s="621"/>
      <c r="KE77" s="621"/>
      <c r="KF77" s="621"/>
      <c r="KG77" s="621"/>
      <c r="KH77" s="621"/>
      <c r="KI77" s="621"/>
      <c r="KJ77" s="621"/>
      <c r="KK77" s="621"/>
      <c r="KL77" s="621"/>
      <c r="KM77" s="621"/>
      <c r="KN77" s="621"/>
      <c r="KO77" s="621"/>
      <c r="KP77" s="621"/>
      <c r="KQ77" s="621"/>
      <c r="KR77" s="621"/>
      <c r="KS77" s="621"/>
      <c r="KT77" s="621"/>
      <c r="KU77" s="621"/>
      <c r="KV77" s="621"/>
      <c r="KW77" s="621"/>
      <c r="KX77" s="621"/>
      <c r="KY77" s="621"/>
      <c r="KZ77" s="621"/>
      <c r="LA77" s="621"/>
      <c r="LB77" s="621"/>
      <c r="LC77" s="621"/>
      <c r="LD77" s="621"/>
      <c r="LE77" s="621"/>
      <c r="LF77" s="621"/>
      <c r="LG77" s="621"/>
      <c r="LH77" s="621"/>
      <c r="LI77" s="621"/>
      <c r="LJ77" s="621"/>
      <c r="LK77" s="621"/>
      <c r="LL77" s="621"/>
      <c r="LM77" s="621"/>
      <c r="LN77" s="621"/>
      <c r="LO77" s="621"/>
      <c r="LP77" s="621"/>
      <c r="LQ77" s="621"/>
      <c r="LR77" s="621"/>
      <c r="LS77" s="621"/>
      <c r="LT77" s="621"/>
      <c r="LU77" s="621"/>
      <c r="LV77" s="621"/>
      <c r="LW77" s="621"/>
      <c r="LX77" s="621"/>
      <c r="LY77" s="621"/>
      <c r="LZ77" s="621"/>
      <c r="MA77" s="621"/>
      <c r="MB77" s="621"/>
      <c r="MC77" s="621"/>
      <c r="MD77" s="621"/>
      <c r="ME77" s="621"/>
      <c r="MF77" s="621"/>
      <c r="MG77" s="621"/>
      <c r="MH77" s="621"/>
      <c r="MI77" s="621"/>
      <c r="MJ77" s="621"/>
      <c r="MK77" s="621"/>
      <c r="ML77" s="621"/>
      <c r="MM77" s="621"/>
      <c r="MN77" s="621"/>
      <c r="MO77" s="621"/>
      <c r="MP77" s="621"/>
      <c r="MQ77" s="621"/>
      <c r="MR77" s="621"/>
      <c r="MS77" s="621"/>
      <c r="MT77" s="621"/>
      <c r="MU77" s="621"/>
      <c r="MV77" s="621"/>
      <c r="MW77" s="621"/>
      <c r="MX77" s="621"/>
      <c r="MY77" s="621"/>
      <c r="MZ77" s="621"/>
      <c r="NA77" s="621"/>
      <c r="NB77" s="621"/>
      <c r="NC77" s="621"/>
      <c r="ND77" s="621"/>
      <c r="NE77" s="621"/>
      <c r="NF77" s="621"/>
      <c r="NG77" s="621"/>
      <c r="NH77" s="621"/>
      <c r="NI77" s="621"/>
      <c r="NJ77" s="621"/>
      <c r="NK77" s="621"/>
      <c r="NL77" s="621"/>
      <c r="NM77" s="621"/>
      <c r="NN77" s="621"/>
      <c r="NO77" s="621"/>
      <c r="NP77" s="621"/>
      <c r="NQ77" s="621"/>
      <c r="NR77" s="621"/>
      <c r="NS77" s="621"/>
      <c r="NT77" s="621"/>
      <c r="NU77" s="621"/>
      <c r="NV77" s="621"/>
      <c r="NW77" s="621"/>
      <c r="NX77" s="621"/>
      <c r="NY77" s="621"/>
      <c r="NZ77" s="621"/>
      <c r="OA77" s="621"/>
      <c r="OB77" s="621"/>
      <c r="OC77" s="621"/>
      <c r="OD77" s="621"/>
      <c r="OE77" s="621"/>
      <c r="OF77" s="621"/>
      <c r="OG77" s="621"/>
      <c r="OH77" s="621"/>
      <c r="OI77" s="621"/>
      <c r="OJ77" s="621"/>
      <c r="OK77" s="621"/>
      <c r="OL77" s="621"/>
      <c r="OM77" s="621"/>
      <c r="ON77" s="621"/>
      <c r="OO77" s="621"/>
      <c r="OP77" s="621"/>
      <c r="OQ77" s="621"/>
      <c r="OR77" s="621"/>
      <c r="OS77" s="621"/>
      <c r="OT77" s="621"/>
      <c r="OU77" s="621"/>
      <c r="OV77" s="621"/>
      <c r="OW77" s="621"/>
      <c r="OX77" s="621"/>
      <c r="OY77" s="621"/>
      <c r="OZ77" s="621"/>
      <c r="PA77" s="621"/>
      <c r="PB77" s="621"/>
      <c r="PC77" s="621"/>
      <c r="PD77" s="621"/>
      <c r="PE77" s="621"/>
      <c r="PF77" s="621"/>
      <c r="PG77" s="621"/>
      <c r="PH77" s="621"/>
      <c r="PI77" s="621"/>
      <c r="PJ77" s="621"/>
      <c r="PK77" s="621"/>
      <c r="PL77" s="621"/>
      <c r="PM77" s="621"/>
      <c r="PN77" s="621"/>
      <c r="PO77" s="621"/>
      <c r="PP77" s="621"/>
      <c r="PQ77" s="621"/>
      <c r="PR77" s="621"/>
      <c r="PS77" s="621"/>
      <c r="PT77" s="621"/>
      <c r="PU77" s="621"/>
      <c r="PV77" s="621"/>
      <c r="PW77" s="621"/>
      <c r="PX77" s="621"/>
      <c r="PY77" s="621"/>
      <c r="PZ77" s="621"/>
      <c r="QA77" s="621"/>
      <c r="QB77" s="621"/>
      <c r="QC77" s="621"/>
      <c r="QD77" s="621"/>
      <c r="QE77" s="621"/>
      <c r="QF77" s="621"/>
      <c r="QG77" s="621"/>
      <c r="QH77" s="621"/>
      <c r="QI77" s="621"/>
      <c r="QJ77" s="621"/>
      <c r="QK77" s="621"/>
      <c r="QL77" s="621"/>
      <c r="QM77" s="621"/>
      <c r="QN77" s="621"/>
      <c r="QO77" s="621"/>
      <c r="QP77" s="621"/>
      <c r="QQ77" s="621"/>
      <c r="QR77" s="621"/>
      <c r="QS77" s="621"/>
      <c r="QT77" s="621"/>
      <c r="QU77" s="621"/>
      <c r="QV77" s="621"/>
      <c r="QW77" s="621"/>
      <c r="QX77" s="621"/>
      <c r="QY77" s="621"/>
      <c r="QZ77" s="621"/>
      <c r="RA77" s="621"/>
      <c r="RB77" s="621"/>
      <c r="RC77" s="621"/>
      <c r="RD77" s="621"/>
      <c r="RE77" s="621"/>
      <c r="RF77" s="621"/>
      <c r="RG77" s="621"/>
      <c r="RH77" s="621"/>
      <c r="RI77" s="621"/>
      <c r="RJ77" s="621"/>
      <c r="RK77" s="621"/>
      <c r="RL77" s="621"/>
      <c r="RM77" s="621"/>
      <c r="RN77" s="621"/>
      <c r="RO77" s="621"/>
      <c r="RP77" s="621"/>
      <c r="RQ77" s="621"/>
      <c r="RR77" s="621"/>
      <c r="RS77" s="621"/>
      <c r="RT77" s="621"/>
      <c r="RU77" s="621"/>
      <c r="RV77" s="621"/>
      <c r="RW77" s="621"/>
      <c r="RX77" s="621"/>
      <c r="RY77" s="621"/>
      <c r="RZ77" s="621"/>
      <c r="SA77" s="621"/>
      <c r="SB77" s="621"/>
      <c r="SC77" s="621"/>
      <c r="SD77" s="621"/>
      <c r="SE77" s="621"/>
      <c r="SF77" s="621"/>
      <c r="SG77" s="621"/>
      <c r="SH77" s="621"/>
      <c r="SI77" s="621"/>
      <c r="SJ77" s="621"/>
      <c r="SK77" s="621"/>
      <c r="SL77" s="621"/>
      <c r="SM77" s="621"/>
      <c r="SN77" s="621"/>
      <c r="SO77" s="621"/>
      <c r="SP77" s="621"/>
      <c r="SQ77" s="621"/>
      <c r="SR77" s="621"/>
      <c r="SS77" s="621"/>
      <c r="ST77" s="621"/>
      <c r="SU77" s="621"/>
      <c r="SV77" s="621"/>
      <c r="SW77" s="621"/>
      <c r="SX77" s="621"/>
      <c r="SY77" s="621"/>
      <c r="SZ77" s="621"/>
      <c r="TA77" s="621"/>
      <c r="TB77" s="621"/>
      <c r="TC77" s="621"/>
      <c r="TD77" s="621"/>
      <c r="TE77" s="621"/>
      <c r="TF77" s="621"/>
      <c r="TG77" s="621"/>
      <c r="TH77" s="621"/>
      <c r="TI77" s="621"/>
      <c r="TJ77" s="621"/>
      <c r="TK77" s="621"/>
      <c r="TL77" s="621"/>
      <c r="TM77" s="621"/>
      <c r="TN77" s="621"/>
      <c r="TO77" s="621"/>
      <c r="TP77" s="621"/>
      <c r="TQ77" s="621"/>
      <c r="TR77" s="621"/>
      <c r="TS77" s="621"/>
      <c r="TT77" s="621"/>
      <c r="TU77" s="621"/>
      <c r="TV77" s="621"/>
      <c r="TW77" s="621"/>
      <c r="TX77" s="621"/>
      <c r="TY77" s="621"/>
      <c r="TZ77" s="621"/>
      <c r="UA77" s="621"/>
      <c r="UB77" s="621"/>
      <c r="UC77" s="621"/>
      <c r="UD77" s="621"/>
      <c r="UE77" s="621"/>
      <c r="UF77" s="621"/>
      <c r="UG77" s="621"/>
      <c r="UH77" s="621"/>
      <c r="UI77" s="621"/>
      <c r="UJ77" s="621"/>
      <c r="UK77" s="621"/>
      <c r="UL77" s="621"/>
      <c r="UM77" s="621"/>
      <c r="UN77" s="621"/>
      <c r="UO77" s="621"/>
      <c r="UP77" s="621"/>
      <c r="UQ77" s="621"/>
      <c r="UR77" s="621"/>
      <c r="US77" s="621"/>
      <c r="UT77" s="621"/>
      <c r="UU77" s="621"/>
      <c r="UV77" s="621"/>
      <c r="UW77" s="621"/>
      <c r="UX77" s="621"/>
      <c r="UY77" s="621"/>
      <c r="UZ77" s="621"/>
      <c r="VA77" s="621"/>
      <c r="VB77" s="621"/>
      <c r="VC77" s="621"/>
      <c r="VD77" s="621"/>
      <c r="VE77" s="621"/>
      <c r="VF77" s="621"/>
      <c r="VG77" s="621"/>
      <c r="VH77" s="621"/>
      <c r="VI77" s="621"/>
      <c r="VJ77" s="621"/>
      <c r="VK77" s="621"/>
      <c r="VL77" s="621"/>
      <c r="VM77" s="621"/>
      <c r="VN77" s="621"/>
      <c r="VO77" s="621"/>
      <c r="VP77" s="621"/>
      <c r="VQ77" s="621"/>
      <c r="VR77" s="621"/>
      <c r="VS77" s="621"/>
      <c r="VT77" s="621"/>
      <c r="VU77" s="621"/>
      <c r="VV77" s="621"/>
      <c r="VW77" s="621"/>
      <c r="VX77" s="621"/>
      <c r="VY77" s="621"/>
      <c r="VZ77" s="621"/>
      <c r="WA77" s="621"/>
      <c r="WB77" s="621"/>
      <c r="WC77" s="621"/>
      <c r="WD77" s="621"/>
      <c r="WE77" s="621"/>
      <c r="WF77" s="621"/>
      <c r="WG77" s="621"/>
      <c r="WH77" s="621"/>
      <c r="WI77" s="621"/>
      <c r="WJ77" s="621"/>
      <c r="WK77" s="621"/>
      <c r="WL77" s="621"/>
      <c r="WM77" s="621"/>
      <c r="WN77" s="621"/>
      <c r="WO77" s="621"/>
      <c r="WP77" s="621"/>
      <c r="WQ77" s="621"/>
      <c r="WR77" s="621"/>
      <c r="WS77" s="621"/>
      <c r="WT77" s="621"/>
      <c r="WU77" s="621"/>
      <c r="WV77" s="621"/>
      <c r="WW77" s="621"/>
      <c r="WX77" s="621"/>
      <c r="WY77" s="621"/>
      <c r="WZ77" s="621"/>
      <c r="XA77" s="621"/>
      <c r="XB77" s="621"/>
      <c r="XC77" s="621"/>
      <c r="XD77" s="621"/>
      <c r="XE77" s="621"/>
      <c r="XF77" s="621"/>
      <c r="XG77" s="621"/>
      <c r="XH77" s="621"/>
      <c r="XI77" s="621"/>
      <c r="XJ77" s="621"/>
      <c r="XK77" s="621"/>
      <c r="XL77" s="621"/>
      <c r="XM77" s="621"/>
      <c r="XN77" s="621"/>
      <c r="XO77" s="621"/>
      <c r="XP77" s="621"/>
      <c r="XQ77" s="621"/>
      <c r="XR77" s="621"/>
      <c r="XS77" s="621"/>
      <c r="XT77" s="621"/>
      <c r="XU77" s="621"/>
      <c r="XV77" s="621"/>
      <c r="XW77" s="621"/>
      <c r="XX77" s="621"/>
      <c r="XY77" s="621"/>
      <c r="XZ77" s="621"/>
      <c r="YA77" s="621"/>
      <c r="YB77" s="621"/>
      <c r="YC77" s="621"/>
      <c r="YD77" s="621"/>
      <c r="YE77" s="621"/>
      <c r="YF77" s="621"/>
      <c r="YG77" s="621"/>
      <c r="YH77" s="621"/>
      <c r="YI77" s="621"/>
      <c r="YJ77" s="621"/>
      <c r="YK77" s="621"/>
      <c r="YL77" s="621"/>
      <c r="YM77" s="621"/>
      <c r="YN77" s="621"/>
      <c r="YO77" s="621"/>
      <c r="YP77" s="621"/>
      <c r="YQ77" s="621"/>
      <c r="YR77" s="621"/>
      <c r="YS77" s="621"/>
      <c r="YT77" s="621"/>
      <c r="YU77" s="621"/>
      <c r="YV77" s="621"/>
      <c r="YW77" s="621"/>
      <c r="YX77" s="621"/>
      <c r="YY77" s="621"/>
      <c r="YZ77" s="621"/>
      <c r="ZA77" s="621"/>
      <c r="ZB77" s="621"/>
      <c r="ZC77" s="621"/>
      <c r="ZD77" s="621"/>
      <c r="ZE77" s="621"/>
      <c r="ZF77" s="621"/>
      <c r="ZG77" s="621"/>
      <c r="ZH77" s="621"/>
      <c r="ZI77" s="621"/>
      <c r="ZJ77" s="621"/>
      <c r="ZK77" s="621"/>
      <c r="ZL77" s="621"/>
      <c r="ZM77" s="621"/>
      <c r="ZN77" s="621"/>
      <c r="ZO77" s="621"/>
      <c r="ZP77" s="621"/>
      <c r="ZQ77" s="621"/>
      <c r="ZR77" s="621"/>
      <c r="ZS77" s="621"/>
      <c r="ZT77" s="621"/>
      <c r="ZU77" s="621"/>
      <c r="ZV77" s="621"/>
      <c r="ZW77" s="621"/>
      <c r="ZX77" s="621"/>
      <c r="ZY77" s="621"/>
      <c r="ZZ77" s="621"/>
      <c r="AAA77" s="621"/>
      <c r="AAB77" s="621"/>
      <c r="AAC77" s="621"/>
      <c r="AAD77" s="621"/>
      <c r="AAE77" s="621"/>
      <c r="AAF77" s="621"/>
      <c r="AAG77" s="621"/>
      <c r="AAH77" s="621"/>
      <c r="AAI77" s="621"/>
      <c r="AAJ77" s="621"/>
      <c r="AAK77" s="621"/>
      <c r="AAL77" s="621"/>
      <c r="AAM77" s="621"/>
      <c r="AAN77" s="621"/>
      <c r="AAO77" s="621"/>
      <c r="AAP77" s="621"/>
      <c r="AAQ77" s="621"/>
      <c r="AAR77" s="621"/>
      <c r="AAS77" s="621"/>
      <c r="AAT77" s="621"/>
      <c r="AAU77" s="621"/>
      <c r="AAV77" s="621"/>
      <c r="AAW77" s="621"/>
      <c r="AAX77" s="621"/>
      <c r="AAY77" s="621"/>
      <c r="AAZ77" s="621"/>
      <c r="ABA77" s="621"/>
      <c r="ABB77" s="621"/>
      <c r="ABC77" s="621"/>
      <c r="ABD77" s="621"/>
      <c r="ABE77" s="621"/>
      <c r="ABF77" s="621"/>
      <c r="ABG77" s="621"/>
      <c r="ABH77" s="621"/>
      <c r="ABI77" s="621"/>
      <c r="ABJ77" s="621"/>
      <c r="ABK77" s="621"/>
      <c r="ABL77" s="621"/>
      <c r="ABM77" s="621"/>
      <c r="ABN77" s="621"/>
      <c r="ABO77" s="621"/>
      <c r="ABP77" s="621"/>
      <c r="ABQ77" s="621"/>
      <c r="ABR77" s="621"/>
      <c r="ABS77" s="621"/>
      <c r="ABT77" s="621"/>
      <c r="ABU77" s="621"/>
      <c r="ABV77" s="621"/>
      <c r="ABW77" s="621"/>
      <c r="ABX77" s="621"/>
      <c r="ABY77" s="621"/>
      <c r="ABZ77" s="621"/>
      <c r="ACA77" s="621"/>
      <c r="ACB77" s="621"/>
      <c r="ACC77" s="621"/>
      <c r="ACD77" s="621"/>
      <c r="ACE77" s="621"/>
      <c r="ACF77" s="621"/>
      <c r="ACG77" s="621"/>
      <c r="ACH77" s="621"/>
      <c r="ACI77" s="621"/>
      <c r="ACJ77" s="621"/>
      <c r="ACK77" s="621"/>
      <c r="ACL77" s="621"/>
      <c r="ACM77" s="621"/>
      <c r="ACN77" s="621"/>
      <c r="ACO77" s="621"/>
      <c r="ACP77" s="621"/>
      <c r="ACQ77" s="621"/>
      <c r="ACR77" s="621"/>
      <c r="ACS77" s="621"/>
      <c r="ACT77" s="621"/>
      <c r="ACU77" s="621"/>
      <c r="ACV77" s="621"/>
      <c r="ACW77" s="621"/>
      <c r="ACX77" s="621"/>
      <c r="ACY77" s="621"/>
      <c r="ACZ77" s="621"/>
      <c r="ADA77" s="621"/>
      <c r="ADB77" s="621"/>
      <c r="ADC77" s="621"/>
      <c r="ADD77" s="621"/>
      <c r="ADE77" s="621"/>
      <c r="ADF77" s="621"/>
      <c r="ADG77" s="621"/>
      <c r="ADH77" s="621"/>
      <c r="ADI77" s="621"/>
      <c r="ADJ77" s="621"/>
      <c r="ADK77" s="621"/>
      <c r="ADL77" s="621"/>
      <c r="ADM77" s="621"/>
      <c r="ADN77" s="621"/>
      <c r="ADO77" s="621"/>
      <c r="ADP77" s="621"/>
      <c r="ADQ77" s="621"/>
      <c r="ADR77" s="621"/>
      <c r="ADS77" s="621"/>
      <c r="ADT77" s="621"/>
      <c r="ADU77" s="621"/>
      <c r="ADV77" s="621"/>
      <c r="ADW77" s="621"/>
      <c r="ADX77" s="621"/>
      <c r="ADY77" s="621"/>
      <c r="ADZ77" s="621"/>
      <c r="AEA77" s="621"/>
      <c r="AEB77" s="621"/>
      <c r="AEC77" s="621"/>
      <c r="AED77" s="621"/>
      <c r="AEE77" s="621"/>
      <c r="AEF77" s="621"/>
      <c r="AEG77" s="621"/>
      <c r="AEH77" s="621"/>
      <c r="AEI77" s="621"/>
      <c r="AEJ77" s="621"/>
      <c r="AEK77" s="621"/>
      <c r="AEL77" s="621"/>
      <c r="AEM77" s="621"/>
      <c r="AEN77" s="621"/>
      <c r="AEO77" s="621"/>
      <c r="AEP77" s="621"/>
      <c r="AEQ77" s="621"/>
      <c r="AER77" s="621"/>
      <c r="AES77" s="621"/>
      <c r="AET77" s="621"/>
      <c r="AEU77" s="621"/>
      <c r="AEV77" s="621"/>
      <c r="AEW77" s="621"/>
      <c r="AEX77" s="621"/>
      <c r="AEY77" s="621"/>
      <c r="AEZ77" s="621"/>
      <c r="AFA77" s="621"/>
      <c r="AFB77" s="621"/>
      <c r="AFC77" s="621"/>
      <c r="AFD77" s="621"/>
      <c r="AFE77" s="621"/>
      <c r="AFF77" s="621"/>
      <c r="AFG77" s="621"/>
      <c r="AFH77" s="621"/>
      <c r="AFI77" s="621"/>
      <c r="AFJ77" s="621"/>
      <c r="AFK77" s="621"/>
      <c r="AFL77" s="621"/>
      <c r="AFM77" s="621"/>
      <c r="AFN77" s="621"/>
      <c r="AFO77" s="621"/>
      <c r="AFP77" s="621"/>
      <c r="AFQ77" s="621"/>
      <c r="AFR77" s="621"/>
      <c r="AFS77" s="621"/>
      <c r="AFT77" s="621"/>
      <c r="AFU77" s="621"/>
      <c r="AFV77" s="621"/>
      <c r="AFW77" s="621"/>
      <c r="AFX77" s="621"/>
      <c r="AFY77" s="621"/>
      <c r="AFZ77" s="621"/>
      <c r="AGA77" s="621"/>
      <c r="AGB77" s="621"/>
      <c r="AGC77" s="621"/>
      <c r="AGD77" s="621"/>
      <c r="AGE77" s="621"/>
      <c r="AGF77" s="621"/>
      <c r="AGG77" s="621"/>
      <c r="AGH77" s="621"/>
      <c r="AGI77" s="621"/>
      <c r="AGJ77" s="621"/>
      <c r="AGK77" s="621"/>
      <c r="AGL77" s="621"/>
      <c r="AGM77" s="621"/>
      <c r="AGN77" s="621"/>
      <c r="AGO77" s="621"/>
      <c r="AGP77" s="621"/>
      <c r="AGQ77" s="621"/>
      <c r="AGR77" s="621"/>
      <c r="AGS77" s="621"/>
      <c r="AGT77" s="621"/>
      <c r="AGU77" s="621"/>
      <c r="AGV77" s="621"/>
      <c r="AGW77" s="621"/>
      <c r="AGX77" s="621"/>
      <c r="AGY77" s="621"/>
      <c r="AGZ77" s="621"/>
      <c r="AHA77" s="621"/>
      <c r="AHB77" s="621"/>
      <c r="AHC77" s="621"/>
      <c r="AHD77" s="621"/>
      <c r="AHE77" s="621"/>
      <c r="AHF77" s="621"/>
      <c r="AHG77" s="621"/>
      <c r="AHH77" s="621"/>
      <c r="AHI77" s="621"/>
      <c r="AHJ77" s="621"/>
      <c r="AHK77" s="621"/>
      <c r="AHL77" s="621"/>
      <c r="AHM77" s="621"/>
      <c r="AHN77" s="621"/>
      <c r="AHO77" s="621"/>
      <c r="AHP77" s="621"/>
      <c r="AHQ77" s="621"/>
      <c r="AHR77" s="621"/>
      <c r="AHS77" s="621"/>
      <c r="AHT77" s="621"/>
      <c r="AHU77" s="621"/>
      <c r="AHV77" s="621"/>
      <c r="AHW77" s="621"/>
      <c r="AHX77" s="621"/>
      <c r="AHY77" s="621"/>
      <c r="AHZ77" s="621"/>
      <c r="AIA77" s="621"/>
      <c r="AIB77" s="621"/>
      <c r="AIC77" s="621"/>
      <c r="AID77" s="621"/>
      <c r="AIE77" s="621"/>
      <c r="AIF77" s="621"/>
      <c r="AIG77" s="621"/>
      <c r="AIH77" s="621"/>
      <c r="AII77" s="621"/>
      <c r="AIJ77" s="621"/>
      <c r="AIK77" s="621"/>
      <c r="AIL77" s="621"/>
      <c r="AIM77" s="621"/>
      <c r="AIN77" s="621"/>
      <c r="AIO77" s="621"/>
      <c r="AIP77" s="621"/>
      <c r="AIQ77" s="621"/>
      <c r="AIR77" s="621"/>
      <c r="AIS77" s="621"/>
      <c r="AIT77" s="621"/>
      <c r="AIU77" s="621"/>
      <c r="AIV77" s="621"/>
      <c r="AIW77" s="621"/>
      <c r="AIX77" s="621"/>
      <c r="AIY77" s="621"/>
      <c r="AIZ77" s="621"/>
      <c r="AJA77" s="621"/>
      <c r="AJB77" s="621"/>
      <c r="AJC77" s="621"/>
      <c r="AJD77" s="621"/>
      <c r="AJE77" s="621"/>
      <c r="AJF77" s="621"/>
      <c r="AJG77" s="621"/>
      <c r="AJH77" s="621"/>
      <c r="AJI77" s="621"/>
      <c r="AJJ77" s="621"/>
      <c r="AJK77" s="621"/>
      <c r="AJL77" s="621"/>
      <c r="AJM77" s="621"/>
      <c r="AJN77" s="621"/>
      <c r="AJO77" s="621"/>
      <c r="AJP77" s="621"/>
      <c r="AJQ77" s="621"/>
      <c r="AJR77" s="621"/>
      <c r="AJS77" s="621"/>
      <c r="AJT77" s="621"/>
      <c r="AJU77" s="621"/>
      <c r="AJV77" s="621"/>
      <c r="AJW77" s="621"/>
      <c r="AJX77" s="621"/>
      <c r="AJY77" s="621"/>
      <c r="AJZ77" s="621"/>
      <c r="AKA77" s="621"/>
      <c r="AKB77" s="621"/>
      <c r="AKC77" s="621"/>
      <c r="AKD77" s="621"/>
      <c r="AKE77" s="621"/>
      <c r="AKF77" s="621"/>
      <c r="AKG77" s="621"/>
      <c r="AKH77" s="621"/>
      <c r="AKI77" s="621"/>
      <c r="AKJ77" s="621"/>
      <c r="AKK77" s="621"/>
      <c r="AKL77" s="621"/>
      <c r="AKM77" s="621"/>
      <c r="AKN77" s="621"/>
      <c r="AKO77" s="621"/>
      <c r="AKP77" s="621"/>
      <c r="AKQ77" s="621"/>
      <c r="AKR77" s="621"/>
      <c r="AKS77" s="621"/>
      <c r="AKT77" s="621"/>
      <c r="AKU77" s="621"/>
      <c r="AKV77" s="621"/>
      <c r="AKW77" s="621"/>
      <c r="AKX77" s="621"/>
      <c r="AKY77" s="621"/>
      <c r="AKZ77" s="621"/>
      <c r="ALA77" s="621"/>
      <c r="ALB77" s="621"/>
      <c r="ALC77" s="621"/>
      <c r="ALD77" s="621"/>
      <c r="ALE77" s="621"/>
      <c r="ALF77" s="621"/>
      <c r="ALG77" s="621"/>
      <c r="ALH77" s="621"/>
      <c r="ALI77" s="621"/>
      <c r="ALJ77" s="621"/>
      <c r="ALK77" s="621"/>
      <c r="ALL77" s="621"/>
      <c r="ALM77" s="621"/>
      <c r="ALN77" s="621"/>
      <c r="ALO77" s="621"/>
      <c r="ALP77" s="621"/>
      <c r="ALQ77" s="621"/>
      <c r="ALR77" s="621"/>
      <c r="ALS77" s="621"/>
      <c r="ALT77" s="621"/>
      <c r="ALU77" s="621"/>
      <c r="ALV77" s="621"/>
      <c r="ALW77" s="621"/>
      <c r="ALX77" s="621"/>
      <c r="ALY77" s="621"/>
      <c r="ALZ77" s="621"/>
      <c r="AMA77" s="621"/>
      <c r="AMB77" s="621"/>
      <c r="AMC77" s="621"/>
      <c r="AMD77" s="621"/>
      <c r="AME77" s="621"/>
      <c r="AMF77" s="621"/>
      <c r="AMG77" s="621"/>
      <c r="AMH77" s="621"/>
      <c r="AMI77" s="621"/>
      <c r="AMJ77" s="621"/>
      <c r="AMK77" s="621"/>
    </row>
    <row r="78" spans="1:1025" ht="27.75" hidden="1">
      <c r="A78" s="486"/>
      <c r="B78" s="486"/>
      <c r="C78" s="536"/>
      <c r="D78" s="536"/>
      <c r="E78" s="486"/>
      <c r="F78" s="486"/>
      <c r="G78" s="536"/>
      <c r="H78" s="536"/>
      <c r="I78" s="481"/>
      <c r="J78" s="477"/>
      <c r="K78" s="488"/>
      <c r="L78" s="1472"/>
      <c r="M78" s="1472"/>
      <c r="N78" s="272"/>
      <c r="O78" s="272"/>
      <c r="P78" s="272"/>
      <c r="AE78" s="1471"/>
      <c r="AF78" s="1481"/>
      <c r="AG78" s="1482"/>
      <c r="AH78" s="1482"/>
      <c r="AI78" s="1482"/>
      <c r="AJ78" s="1482"/>
      <c r="AK78" s="1482"/>
      <c r="AL78" s="1482"/>
      <c r="AM78" s="1475">
        <f>AL78*9.55</f>
        <v>0</v>
      </c>
      <c r="AN78" s="1481"/>
      <c r="AO78" s="1480"/>
      <c r="AP78" s="289"/>
      <c r="AU78" s="621"/>
      <c r="AV78" s="621"/>
      <c r="AW78" s="621"/>
      <c r="AX78" s="621"/>
      <c r="AY78" s="621"/>
      <c r="AZ78" s="621"/>
      <c r="BA78" s="621"/>
      <c r="BB78" s="621"/>
      <c r="BC78" s="621"/>
      <c r="BD78" s="621"/>
      <c r="BE78" s="621"/>
      <c r="BF78" s="621"/>
      <c r="BG78" s="621"/>
      <c r="BH78" s="621"/>
      <c r="BI78" s="621"/>
      <c r="BJ78" s="621"/>
      <c r="BK78" s="621"/>
      <c r="BL78" s="621"/>
      <c r="BM78" s="621"/>
      <c r="BN78" s="621"/>
      <c r="BO78" s="621"/>
      <c r="BP78" s="621"/>
      <c r="BQ78" s="621"/>
      <c r="BR78" s="621"/>
      <c r="BS78" s="621"/>
      <c r="BT78" s="621"/>
      <c r="BU78" s="621"/>
      <c r="BV78" s="621"/>
      <c r="BW78" s="621"/>
      <c r="BX78" s="621"/>
      <c r="BY78" s="621"/>
      <c r="BZ78" s="621"/>
      <c r="CA78" s="621"/>
      <c r="CB78" s="621"/>
      <c r="CC78" s="621"/>
      <c r="CD78" s="621"/>
      <c r="CE78" s="621"/>
      <c r="CF78" s="621"/>
      <c r="CG78" s="621"/>
      <c r="CH78" s="621"/>
      <c r="CI78" s="621"/>
      <c r="CJ78" s="621"/>
      <c r="CK78" s="621"/>
      <c r="CL78" s="621"/>
      <c r="CM78" s="621"/>
      <c r="CN78" s="621"/>
      <c r="CO78" s="621"/>
      <c r="CP78" s="621"/>
      <c r="CQ78" s="621"/>
      <c r="CR78" s="621"/>
      <c r="CS78" s="621"/>
      <c r="CT78" s="621"/>
      <c r="CU78" s="621"/>
      <c r="CV78" s="621"/>
      <c r="CW78" s="621"/>
      <c r="CX78" s="621"/>
      <c r="CY78" s="621"/>
      <c r="CZ78" s="621"/>
      <c r="DA78" s="621"/>
      <c r="DB78" s="621"/>
      <c r="DC78" s="621"/>
      <c r="DD78" s="621"/>
      <c r="DE78" s="621"/>
      <c r="DF78" s="621"/>
      <c r="DG78" s="621"/>
      <c r="DH78" s="621"/>
      <c r="DI78" s="621"/>
      <c r="DJ78" s="621"/>
      <c r="DK78" s="621"/>
      <c r="DL78" s="621"/>
      <c r="DM78" s="621"/>
      <c r="DN78" s="621"/>
      <c r="DO78" s="621"/>
      <c r="DP78" s="621"/>
      <c r="DQ78" s="621"/>
      <c r="DR78" s="621"/>
      <c r="DS78" s="621"/>
      <c r="DT78" s="621"/>
      <c r="DU78" s="621"/>
      <c r="DV78" s="621"/>
      <c r="DW78" s="621"/>
      <c r="DX78" s="621"/>
      <c r="DY78" s="621"/>
      <c r="DZ78" s="621"/>
      <c r="EA78" s="621"/>
      <c r="EB78" s="621"/>
      <c r="EC78" s="621"/>
      <c r="ED78" s="621"/>
      <c r="EE78" s="621"/>
      <c r="EF78" s="621"/>
      <c r="EG78" s="621"/>
      <c r="EH78" s="621"/>
      <c r="EI78" s="621"/>
      <c r="EJ78" s="621"/>
      <c r="EK78" s="621"/>
      <c r="EL78" s="621"/>
      <c r="EM78" s="621"/>
      <c r="EN78" s="621"/>
      <c r="EO78" s="621"/>
      <c r="EP78" s="621"/>
      <c r="EQ78" s="621"/>
      <c r="ER78" s="621"/>
      <c r="ES78" s="621"/>
      <c r="ET78" s="621"/>
      <c r="EU78" s="621"/>
      <c r="EV78" s="621"/>
      <c r="EW78" s="621"/>
      <c r="EX78" s="621"/>
      <c r="EY78" s="621"/>
      <c r="EZ78" s="621"/>
      <c r="FA78" s="621"/>
      <c r="FB78" s="621"/>
      <c r="FC78" s="621"/>
      <c r="FD78" s="621"/>
      <c r="FE78" s="621"/>
      <c r="FF78" s="621"/>
      <c r="FG78" s="621"/>
      <c r="FH78" s="621"/>
      <c r="FI78" s="621"/>
      <c r="FJ78" s="621"/>
      <c r="FK78" s="621"/>
      <c r="FL78" s="621"/>
      <c r="FM78" s="621"/>
      <c r="FN78" s="621"/>
      <c r="FO78" s="621"/>
      <c r="FP78" s="621"/>
      <c r="FQ78" s="621"/>
      <c r="FR78" s="621"/>
      <c r="FS78" s="621"/>
      <c r="FT78" s="621"/>
      <c r="FU78" s="621"/>
      <c r="FV78" s="621"/>
      <c r="FW78" s="621"/>
      <c r="FX78" s="621"/>
      <c r="FY78" s="621"/>
      <c r="FZ78" s="621"/>
      <c r="GA78" s="621"/>
      <c r="GB78" s="621"/>
      <c r="GC78" s="621"/>
      <c r="GD78" s="621"/>
      <c r="GE78" s="621"/>
      <c r="GF78" s="621"/>
      <c r="GG78" s="621"/>
      <c r="GH78" s="621"/>
      <c r="GI78" s="621"/>
      <c r="GJ78" s="621"/>
      <c r="GK78" s="621"/>
      <c r="GL78" s="621"/>
      <c r="GM78" s="621"/>
      <c r="GN78" s="621"/>
      <c r="GO78" s="621"/>
      <c r="GP78" s="621"/>
      <c r="GQ78" s="621"/>
      <c r="GR78" s="621"/>
      <c r="GS78" s="621"/>
      <c r="GT78" s="621"/>
      <c r="GU78" s="621"/>
      <c r="GV78" s="621"/>
      <c r="GW78" s="621"/>
      <c r="GX78" s="621"/>
      <c r="GY78" s="621"/>
      <c r="GZ78" s="621"/>
      <c r="HA78" s="621"/>
      <c r="HB78" s="621"/>
      <c r="HC78" s="621"/>
      <c r="HD78" s="621"/>
      <c r="HE78" s="621"/>
      <c r="HF78" s="621"/>
      <c r="HG78" s="621"/>
      <c r="HH78" s="621"/>
      <c r="HI78" s="621"/>
      <c r="HJ78" s="621"/>
      <c r="HK78" s="621"/>
      <c r="HL78" s="621"/>
      <c r="HM78" s="621"/>
      <c r="HN78" s="621"/>
      <c r="HO78" s="621"/>
      <c r="HP78" s="621"/>
      <c r="HQ78" s="621"/>
      <c r="HR78" s="621"/>
      <c r="HS78" s="621"/>
      <c r="HT78" s="621"/>
      <c r="HU78" s="621"/>
      <c r="HV78" s="621"/>
      <c r="HW78" s="621"/>
      <c r="HX78" s="621"/>
      <c r="HY78" s="621"/>
      <c r="HZ78" s="621"/>
      <c r="IA78" s="621"/>
      <c r="IB78" s="621"/>
      <c r="IC78" s="621"/>
      <c r="ID78" s="621"/>
      <c r="IE78" s="621"/>
      <c r="IF78" s="621"/>
      <c r="IG78" s="621"/>
      <c r="IH78" s="621"/>
      <c r="II78" s="621"/>
      <c r="IJ78" s="621"/>
      <c r="IK78" s="621"/>
      <c r="IL78" s="621"/>
      <c r="IM78" s="621"/>
      <c r="IN78" s="621"/>
      <c r="IO78" s="621"/>
      <c r="IP78" s="621"/>
      <c r="IQ78" s="621"/>
      <c r="IR78" s="621"/>
      <c r="IS78" s="621"/>
      <c r="IT78" s="621"/>
      <c r="IU78" s="621"/>
      <c r="IV78" s="621"/>
      <c r="IW78" s="621"/>
      <c r="IX78" s="621"/>
      <c r="IY78" s="621"/>
      <c r="IZ78" s="621"/>
      <c r="JA78" s="621"/>
      <c r="JB78" s="621"/>
      <c r="JC78" s="621"/>
      <c r="JD78" s="621"/>
      <c r="JE78" s="621"/>
      <c r="JF78" s="621"/>
      <c r="JG78" s="621"/>
      <c r="JH78" s="621"/>
      <c r="JI78" s="621"/>
      <c r="JJ78" s="621"/>
      <c r="JK78" s="621"/>
      <c r="JL78" s="621"/>
      <c r="JM78" s="621"/>
      <c r="JN78" s="621"/>
      <c r="JO78" s="621"/>
      <c r="JP78" s="621"/>
      <c r="JQ78" s="621"/>
      <c r="JR78" s="621"/>
      <c r="JS78" s="621"/>
      <c r="JT78" s="621"/>
      <c r="JU78" s="621"/>
      <c r="JV78" s="621"/>
      <c r="JW78" s="621"/>
      <c r="JX78" s="621"/>
      <c r="JY78" s="621"/>
      <c r="JZ78" s="621"/>
      <c r="KA78" s="621"/>
      <c r="KB78" s="621"/>
      <c r="KC78" s="621"/>
      <c r="KD78" s="621"/>
      <c r="KE78" s="621"/>
      <c r="KF78" s="621"/>
      <c r="KG78" s="621"/>
      <c r="KH78" s="621"/>
      <c r="KI78" s="621"/>
      <c r="KJ78" s="621"/>
      <c r="KK78" s="621"/>
      <c r="KL78" s="621"/>
      <c r="KM78" s="621"/>
      <c r="KN78" s="621"/>
      <c r="KO78" s="621"/>
      <c r="KP78" s="621"/>
      <c r="KQ78" s="621"/>
      <c r="KR78" s="621"/>
      <c r="KS78" s="621"/>
      <c r="KT78" s="621"/>
      <c r="KU78" s="621"/>
      <c r="KV78" s="621"/>
      <c r="KW78" s="621"/>
      <c r="KX78" s="621"/>
      <c r="KY78" s="621"/>
      <c r="KZ78" s="621"/>
      <c r="LA78" s="621"/>
      <c r="LB78" s="621"/>
      <c r="LC78" s="621"/>
      <c r="LD78" s="621"/>
      <c r="LE78" s="621"/>
      <c r="LF78" s="621"/>
      <c r="LG78" s="621"/>
      <c r="LH78" s="621"/>
      <c r="LI78" s="621"/>
      <c r="LJ78" s="621"/>
      <c r="LK78" s="621"/>
      <c r="LL78" s="621"/>
      <c r="LM78" s="621"/>
      <c r="LN78" s="621"/>
      <c r="LO78" s="621"/>
      <c r="LP78" s="621"/>
      <c r="LQ78" s="621"/>
      <c r="LR78" s="621"/>
      <c r="LS78" s="621"/>
      <c r="LT78" s="621"/>
      <c r="LU78" s="621"/>
      <c r="LV78" s="621"/>
      <c r="LW78" s="621"/>
      <c r="LX78" s="621"/>
      <c r="LY78" s="621"/>
      <c r="LZ78" s="621"/>
      <c r="MA78" s="621"/>
      <c r="MB78" s="621"/>
      <c r="MC78" s="621"/>
      <c r="MD78" s="621"/>
      <c r="ME78" s="621"/>
      <c r="MF78" s="621"/>
      <c r="MG78" s="621"/>
      <c r="MH78" s="621"/>
      <c r="MI78" s="621"/>
      <c r="MJ78" s="621"/>
      <c r="MK78" s="621"/>
      <c r="ML78" s="621"/>
      <c r="MM78" s="621"/>
      <c r="MN78" s="621"/>
      <c r="MO78" s="621"/>
      <c r="MP78" s="621"/>
      <c r="MQ78" s="621"/>
      <c r="MR78" s="621"/>
      <c r="MS78" s="621"/>
      <c r="MT78" s="621"/>
      <c r="MU78" s="621"/>
      <c r="MV78" s="621"/>
      <c r="MW78" s="621"/>
      <c r="MX78" s="621"/>
      <c r="MY78" s="621"/>
      <c r="MZ78" s="621"/>
      <c r="NA78" s="621"/>
      <c r="NB78" s="621"/>
      <c r="NC78" s="621"/>
      <c r="ND78" s="621"/>
      <c r="NE78" s="621"/>
      <c r="NF78" s="621"/>
      <c r="NG78" s="621"/>
      <c r="NH78" s="621"/>
      <c r="NI78" s="621"/>
      <c r="NJ78" s="621"/>
      <c r="NK78" s="621"/>
      <c r="NL78" s="621"/>
      <c r="NM78" s="621"/>
      <c r="NN78" s="621"/>
      <c r="NO78" s="621"/>
      <c r="NP78" s="621"/>
      <c r="NQ78" s="621"/>
      <c r="NR78" s="621"/>
      <c r="NS78" s="621"/>
      <c r="NT78" s="621"/>
      <c r="NU78" s="621"/>
      <c r="NV78" s="621"/>
      <c r="NW78" s="621"/>
      <c r="NX78" s="621"/>
      <c r="NY78" s="621"/>
      <c r="NZ78" s="621"/>
      <c r="OA78" s="621"/>
      <c r="OB78" s="621"/>
      <c r="OC78" s="621"/>
      <c r="OD78" s="621"/>
      <c r="OE78" s="621"/>
      <c r="OF78" s="621"/>
      <c r="OG78" s="621"/>
      <c r="OH78" s="621"/>
      <c r="OI78" s="621"/>
      <c r="OJ78" s="621"/>
      <c r="OK78" s="621"/>
      <c r="OL78" s="621"/>
      <c r="OM78" s="621"/>
      <c r="ON78" s="621"/>
      <c r="OO78" s="621"/>
      <c r="OP78" s="621"/>
      <c r="OQ78" s="621"/>
      <c r="OR78" s="621"/>
      <c r="OS78" s="621"/>
      <c r="OT78" s="621"/>
      <c r="OU78" s="621"/>
      <c r="OV78" s="621"/>
      <c r="OW78" s="621"/>
      <c r="OX78" s="621"/>
      <c r="OY78" s="621"/>
      <c r="OZ78" s="621"/>
      <c r="PA78" s="621"/>
      <c r="PB78" s="621"/>
      <c r="PC78" s="621"/>
      <c r="PD78" s="621"/>
      <c r="PE78" s="621"/>
      <c r="PF78" s="621"/>
      <c r="PG78" s="621"/>
      <c r="PH78" s="621"/>
      <c r="PI78" s="621"/>
      <c r="PJ78" s="621"/>
      <c r="PK78" s="621"/>
      <c r="PL78" s="621"/>
      <c r="PM78" s="621"/>
      <c r="PN78" s="621"/>
      <c r="PO78" s="621"/>
      <c r="PP78" s="621"/>
      <c r="PQ78" s="621"/>
      <c r="PR78" s="621"/>
      <c r="PS78" s="621"/>
      <c r="PT78" s="621"/>
      <c r="PU78" s="621"/>
      <c r="PV78" s="621"/>
      <c r="PW78" s="621"/>
      <c r="PX78" s="621"/>
      <c r="PY78" s="621"/>
      <c r="PZ78" s="621"/>
      <c r="QA78" s="621"/>
      <c r="QB78" s="621"/>
      <c r="QC78" s="621"/>
      <c r="QD78" s="621"/>
      <c r="QE78" s="621"/>
      <c r="QF78" s="621"/>
      <c r="QG78" s="621"/>
      <c r="QH78" s="621"/>
      <c r="QI78" s="621"/>
      <c r="QJ78" s="621"/>
      <c r="QK78" s="621"/>
      <c r="QL78" s="621"/>
      <c r="QM78" s="621"/>
      <c r="QN78" s="621"/>
      <c r="QO78" s="621"/>
      <c r="QP78" s="621"/>
      <c r="QQ78" s="621"/>
      <c r="QR78" s="621"/>
      <c r="QS78" s="621"/>
      <c r="QT78" s="621"/>
      <c r="QU78" s="621"/>
      <c r="QV78" s="621"/>
      <c r="QW78" s="621"/>
      <c r="QX78" s="621"/>
      <c r="QY78" s="621"/>
      <c r="QZ78" s="621"/>
      <c r="RA78" s="621"/>
      <c r="RB78" s="621"/>
      <c r="RC78" s="621"/>
      <c r="RD78" s="621"/>
      <c r="RE78" s="621"/>
      <c r="RF78" s="621"/>
      <c r="RG78" s="621"/>
      <c r="RH78" s="621"/>
      <c r="RI78" s="621"/>
      <c r="RJ78" s="621"/>
      <c r="RK78" s="621"/>
      <c r="RL78" s="621"/>
      <c r="RM78" s="621"/>
      <c r="RN78" s="621"/>
      <c r="RO78" s="621"/>
      <c r="RP78" s="621"/>
      <c r="RQ78" s="621"/>
      <c r="RR78" s="621"/>
      <c r="RS78" s="621"/>
      <c r="RT78" s="621"/>
      <c r="RU78" s="621"/>
      <c r="RV78" s="621"/>
      <c r="RW78" s="621"/>
      <c r="RX78" s="621"/>
      <c r="RY78" s="621"/>
      <c r="RZ78" s="621"/>
      <c r="SA78" s="621"/>
      <c r="SB78" s="621"/>
      <c r="SC78" s="621"/>
      <c r="SD78" s="621"/>
      <c r="SE78" s="621"/>
      <c r="SF78" s="621"/>
      <c r="SG78" s="621"/>
      <c r="SH78" s="621"/>
      <c r="SI78" s="621"/>
      <c r="SJ78" s="621"/>
      <c r="SK78" s="621"/>
      <c r="SL78" s="621"/>
      <c r="SM78" s="621"/>
      <c r="SN78" s="621"/>
      <c r="SO78" s="621"/>
      <c r="SP78" s="621"/>
      <c r="SQ78" s="621"/>
      <c r="SR78" s="621"/>
      <c r="SS78" s="621"/>
      <c r="ST78" s="621"/>
      <c r="SU78" s="621"/>
      <c r="SV78" s="621"/>
      <c r="SW78" s="621"/>
      <c r="SX78" s="621"/>
      <c r="SY78" s="621"/>
      <c r="SZ78" s="621"/>
      <c r="TA78" s="621"/>
      <c r="TB78" s="621"/>
      <c r="TC78" s="621"/>
      <c r="TD78" s="621"/>
      <c r="TE78" s="621"/>
      <c r="TF78" s="621"/>
      <c r="TG78" s="621"/>
      <c r="TH78" s="621"/>
      <c r="TI78" s="621"/>
      <c r="TJ78" s="621"/>
      <c r="TK78" s="621"/>
      <c r="TL78" s="621"/>
      <c r="TM78" s="621"/>
      <c r="TN78" s="621"/>
      <c r="TO78" s="621"/>
      <c r="TP78" s="621"/>
      <c r="TQ78" s="621"/>
      <c r="TR78" s="621"/>
      <c r="TS78" s="621"/>
      <c r="TT78" s="621"/>
      <c r="TU78" s="621"/>
      <c r="TV78" s="621"/>
      <c r="TW78" s="621"/>
      <c r="TX78" s="621"/>
      <c r="TY78" s="621"/>
      <c r="TZ78" s="621"/>
      <c r="UA78" s="621"/>
      <c r="UB78" s="621"/>
      <c r="UC78" s="621"/>
      <c r="UD78" s="621"/>
      <c r="UE78" s="621"/>
      <c r="UF78" s="621"/>
      <c r="UG78" s="621"/>
      <c r="UH78" s="621"/>
      <c r="UI78" s="621"/>
      <c r="UJ78" s="621"/>
      <c r="UK78" s="621"/>
      <c r="UL78" s="621"/>
      <c r="UM78" s="621"/>
      <c r="UN78" s="621"/>
      <c r="UO78" s="621"/>
      <c r="UP78" s="621"/>
      <c r="UQ78" s="621"/>
      <c r="UR78" s="621"/>
      <c r="US78" s="621"/>
      <c r="UT78" s="621"/>
      <c r="UU78" s="621"/>
      <c r="UV78" s="621"/>
      <c r="UW78" s="621"/>
      <c r="UX78" s="621"/>
      <c r="UY78" s="621"/>
      <c r="UZ78" s="621"/>
      <c r="VA78" s="621"/>
      <c r="VB78" s="621"/>
      <c r="VC78" s="621"/>
      <c r="VD78" s="621"/>
      <c r="VE78" s="621"/>
      <c r="VF78" s="621"/>
      <c r="VG78" s="621"/>
      <c r="VH78" s="621"/>
      <c r="VI78" s="621"/>
      <c r="VJ78" s="621"/>
      <c r="VK78" s="621"/>
      <c r="VL78" s="621"/>
      <c r="VM78" s="621"/>
      <c r="VN78" s="621"/>
      <c r="VO78" s="621"/>
      <c r="VP78" s="621"/>
      <c r="VQ78" s="621"/>
      <c r="VR78" s="621"/>
      <c r="VS78" s="621"/>
      <c r="VT78" s="621"/>
      <c r="VU78" s="621"/>
      <c r="VV78" s="621"/>
      <c r="VW78" s="621"/>
      <c r="VX78" s="621"/>
      <c r="VY78" s="621"/>
      <c r="VZ78" s="621"/>
      <c r="WA78" s="621"/>
      <c r="WB78" s="621"/>
      <c r="WC78" s="621"/>
      <c r="WD78" s="621"/>
      <c r="WE78" s="621"/>
      <c r="WF78" s="621"/>
      <c r="WG78" s="621"/>
      <c r="WH78" s="621"/>
      <c r="WI78" s="621"/>
      <c r="WJ78" s="621"/>
      <c r="WK78" s="621"/>
      <c r="WL78" s="621"/>
      <c r="WM78" s="621"/>
      <c r="WN78" s="621"/>
      <c r="WO78" s="621"/>
      <c r="WP78" s="621"/>
      <c r="WQ78" s="621"/>
      <c r="WR78" s="621"/>
      <c r="WS78" s="621"/>
      <c r="WT78" s="621"/>
      <c r="WU78" s="621"/>
      <c r="WV78" s="621"/>
      <c r="WW78" s="621"/>
      <c r="WX78" s="621"/>
      <c r="WY78" s="621"/>
      <c r="WZ78" s="621"/>
      <c r="XA78" s="621"/>
      <c r="XB78" s="621"/>
      <c r="XC78" s="621"/>
      <c r="XD78" s="621"/>
      <c r="XE78" s="621"/>
      <c r="XF78" s="621"/>
      <c r="XG78" s="621"/>
      <c r="XH78" s="621"/>
      <c r="XI78" s="621"/>
      <c r="XJ78" s="621"/>
      <c r="XK78" s="621"/>
      <c r="XL78" s="621"/>
      <c r="XM78" s="621"/>
      <c r="XN78" s="621"/>
      <c r="XO78" s="621"/>
      <c r="XP78" s="621"/>
      <c r="XQ78" s="621"/>
      <c r="XR78" s="621"/>
      <c r="XS78" s="621"/>
      <c r="XT78" s="621"/>
      <c r="XU78" s="621"/>
      <c r="XV78" s="621"/>
      <c r="XW78" s="621"/>
      <c r="XX78" s="621"/>
      <c r="XY78" s="621"/>
      <c r="XZ78" s="621"/>
      <c r="YA78" s="621"/>
      <c r="YB78" s="621"/>
      <c r="YC78" s="621"/>
      <c r="YD78" s="621"/>
      <c r="YE78" s="621"/>
      <c r="YF78" s="621"/>
      <c r="YG78" s="621"/>
      <c r="YH78" s="621"/>
      <c r="YI78" s="621"/>
      <c r="YJ78" s="621"/>
      <c r="YK78" s="621"/>
      <c r="YL78" s="621"/>
      <c r="YM78" s="621"/>
      <c r="YN78" s="621"/>
      <c r="YO78" s="621"/>
      <c r="YP78" s="621"/>
      <c r="YQ78" s="621"/>
      <c r="YR78" s="621"/>
      <c r="YS78" s="621"/>
      <c r="YT78" s="621"/>
      <c r="YU78" s="621"/>
      <c r="YV78" s="621"/>
      <c r="YW78" s="621"/>
      <c r="YX78" s="621"/>
      <c r="YY78" s="621"/>
      <c r="YZ78" s="621"/>
      <c r="ZA78" s="621"/>
      <c r="ZB78" s="621"/>
      <c r="ZC78" s="621"/>
      <c r="ZD78" s="621"/>
      <c r="ZE78" s="621"/>
      <c r="ZF78" s="621"/>
      <c r="ZG78" s="621"/>
      <c r="ZH78" s="621"/>
      <c r="ZI78" s="621"/>
      <c r="ZJ78" s="621"/>
      <c r="ZK78" s="621"/>
      <c r="ZL78" s="621"/>
      <c r="ZM78" s="621"/>
      <c r="ZN78" s="621"/>
      <c r="ZO78" s="621"/>
      <c r="ZP78" s="621"/>
      <c r="ZQ78" s="621"/>
      <c r="ZR78" s="621"/>
      <c r="ZS78" s="621"/>
      <c r="ZT78" s="621"/>
      <c r="ZU78" s="621"/>
      <c r="ZV78" s="621"/>
      <c r="ZW78" s="621"/>
      <c r="ZX78" s="621"/>
      <c r="ZY78" s="621"/>
      <c r="ZZ78" s="621"/>
      <c r="AAA78" s="621"/>
      <c r="AAB78" s="621"/>
      <c r="AAC78" s="621"/>
      <c r="AAD78" s="621"/>
      <c r="AAE78" s="621"/>
      <c r="AAF78" s="621"/>
      <c r="AAG78" s="621"/>
      <c r="AAH78" s="621"/>
      <c r="AAI78" s="621"/>
      <c r="AAJ78" s="621"/>
      <c r="AAK78" s="621"/>
      <c r="AAL78" s="621"/>
      <c r="AAM78" s="621"/>
      <c r="AAN78" s="621"/>
      <c r="AAO78" s="621"/>
      <c r="AAP78" s="621"/>
      <c r="AAQ78" s="621"/>
      <c r="AAR78" s="621"/>
      <c r="AAS78" s="621"/>
      <c r="AAT78" s="621"/>
      <c r="AAU78" s="621"/>
      <c r="AAV78" s="621"/>
      <c r="AAW78" s="621"/>
      <c r="AAX78" s="621"/>
      <c r="AAY78" s="621"/>
      <c r="AAZ78" s="621"/>
      <c r="ABA78" s="621"/>
      <c r="ABB78" s="621"/>
      <c r="ABC78" s="621"/>
      <c r="ABD78" s="621"/>
      <c r="ABE78" s="621"/>
      <c r="ABF78" s="621"/>
      <c r="ABG78" s="621"/>
      <c r="ABH78" s="621"/>
      <c r="ABI78" s="621"/>
      <c r="ABJ78" s="621"/>
      <c r="ABK78" s="621"/>
      <c r="ABL78" s="621"/>
      <c r="ABM78" s="621"/>
      <c r="ABN78" s="621"/>
      <c r="ABO78" s="621"/>
      <c r="ABP78" s="621"/>
      <c r="ABQ78" s="621"/>
      <c r="ABR78" s="621"/>
      <c r="ABS78" s="621"/>
      <c r="ABT78" s="621"/>
      <c r="ABU78" s="621"/>
      <c r="ABV78" s="621"/>
      <c r="ABW78" s="621"/>
      <c r="ABX78" s="621"/>
      <c r="ABY78" s="621"/>
      <c r="ABZ78" s="621"/>
      <c r="ACA78" s="621"/>
      <c r="ACB78" s="621"/>
      <c r="ACC78" s="621"/>
      <c r="ACD78" s="621"/>
      <c r="ACE78" s="621"/>
      <c r="ACF78" s="621"/>
      <c r="ACG78" s="621"/>
      <c r="ACH78" s="621"/>
      <c r="ACI78" s="621"/>
      <c r="ACJ78" s="621"/>
      <c r="ACK78" s="621"/>
      <c r="ACL78" s="621"/>
      <c r="ACM78" s="621"/>
      <c r="ACN78" s="621"/>
      <c r="ACO78" s="621"/>
      <c r="ACP78" s="621"/>
      <c r="ACQ78" s="621"/>
      <c r="ACR78" s="621"/>
      <c r="ACS78" s="621"/>
      <c r="ACT78" s="621"/>
      <c r="ACU78" s="621"/>
      <c r="ACV78" s="621"/>
      <c r="ACW78" s="621"/>
      <c r="ACX78" s="621"/>
      <c r="ACY78" s="621"/>
      <c r="ACZ78" s="621"/>
      <c r="ADA78" s="621"/>
      <c r="ADB78" s="621"/>
      <c r="ADC78" s="621"/>
      <c r="ADD78" s="621"/>
      <c r="ADE78" s="621"/>
      <c r="ADF78" s="621"/>
      <c r="ADG78" s="621"/>
      <c r="ADH78" s="621"/>
      <c r="ADI78" s="621"/>
      <c r="ADJ78" s="621"/>
      <c r="ADK78" s="621"/>
      <c r="ADL78" s="621"/>
      <c r="ADM78" s="621"/>
      <c r="ADN78" s="621"/>
      <c r="ADO78" s="621"/>
      <c r="ADP78" s="621"/>
      <c r="ADQ78" s="621"/>
      <c r="ADR78" s="621"/>
      <c r="ADS78" s="621"/>
      <c r="ADT78" s="621"/>
      <c r="ADU78" s="621"/>
      <c r="ADV78" s="621"/>
      <c r="ADW78" s="621"/>
      <c r="ADX78" s="621"/>
      <c r="ADY78" s="621"/>
      <c r="ADZ78" s="621"/>
      <c r="AEA78" s="621"/>
      <c r="AEB78" s="621"/>
      <c r="AEC78" s="621"/>
      <c r="AED78" s="621"/>
      <c r="AEE78" s="621"/>
      <c r="AEF78" s="621"/>
      <c r="AEG78" s="621"/>
      <c r="AEH78" s="621"/>
      <c r="AEI78" s="621"/>
      <c r="AEJ78" s="621"/>
      <c r="AEK78" s="621"/>
      <c r="AEL78" s="621"/>
      <c r="AEM78" s="621"/>
      <c r="AEN78" s="621"/>
      <c r="AEO78" s="621"/>
      <c r="AEP78" s="621"/>
      <c r="AEQ78" s="621"/>
      <c r="AER78" s="621"/>
      <c r="AES78" s="621"/>
      <c r="AET78" s="621"/>
      <c r="AEU78" s="621"/>
      <c r="AEV78" s="621"/>
      <c r="AEW78" s="621"/>
      <c r="AEX78" s="621"/>
      <c r="AEY78" s="621"/>
      <c r="AEZ78" s="621"/>
      <c r="AFA78" s="621"/>
      <c r="AFB78" s="621"/>
      <c r="AFC78" s="621"/>
      <c r="AFD78" s="621"/>
      <c r="AFE78" s="621"/>
      <c r="AFF78" s="621"/>
      <c r="AFG78" s="621"/>
      <c r="AFH78" s="621"/>
      <c r="AFI78" s="621"/>
      <c r="AFJ78" s="621"/>
      <c r="AFK78" s="621"/>
      <c r="AFL78" s="621"/>
      <c r="AFM78" s="621"/>
      <c r="AFN78" s="621"/>
      <c r="AFO78" s="621"/>
      <c r="AFP78" s="621"/>
      <c r="AFQ78" s="621"/>
      <c r="AFR78" s="621"/>
      <c r="AFS78" s="621"/>
      <c r="AFT78" s="621"/>
      <c r="AFU78" s="621"/>
      <c r="AFV78" s="621"/>
      <c r="AFW78" s="621"/>
      <c r="AFX78" s="621"/>
      <c r="AFY78" s="621"/>
      <c r="AFZ78" s="621"/>
      <c r="AGA78" s="621"/>
      <c r="AGB78" s="621"/>
      <c r="AGC78" s="621"/>
      <c r="AGD78" s="621"/>
      <c r="AGE78" s="621"/>
      <c r="AGF78" s="621"/>
      <c r="AGG78" s="621"/>
      <c r="AGH78" s="621"/>
      <c r="AGI78" s="621"/>
      <c r="AGJ78" s="621"/>
      <c r="AGK78" s="621"/>
      <c r="AGL78" s="621"/>
      <c r="AGM78" s="621"/>
      <c r="AGN78" s="621"/>
      <c r="AGO78" s="621"/>
      <c r="AGP78" s="621"/>
      <c r="AGQ78" s="621"/>
      <c r="AGR78" s="621"/>
      <c r="AGS78" s="621"/>
      <c r="AGT78" s="621"/>
      <c r="AGU78" s="621"/>
      <c r="AGV78" s="621"/>
      <c r="AGW78" s="621"/>
      <c r="AGX78" s="621"/>
      <c r="AGY78" s="621"/>
      <c r="AGZ78" s="621"/>
      <c r="AHA78" s="621"/>
      <c r="AHB78" s="621"/>
      <c r="AHC78" s="621"/>
      <c r="AHD78" s="621"/>
      <c r="AHE78" s="621"/>
      <c r="AHF78" s="621"/>
      <c r="AHG78" s="621"/>
      <c r="AHH78" s="621"/>
      <c r="AHI78" s="621"/>
      <c r="AHJ78" s="621"/>
      <c r="AHK78" s="621"/>
      <c r="AHL78" s="621"/>
      <c r="AHM78" s="621"/>
      <c r="AHN78" s="621"/>
      <c r="AHO78" s="621"/>
      <c r="AHP78" s="621"/>
      <c r="AHQ78" s="621"/>
      <c r="AHR78" s="621"/>
      <c r="AHS78" s="621"/>
      <c r="AHT78" s="621"/>
      <c r="AHU78" s="621"/>
      <c r="AHV78" s="621"/>
      <c r="AHW78" s="621"/>
      <c r="AHX78" s="621"/>
      <c r="AHY78" s="621"/>
      <c r="AHZ78" s="621"/>
      <c r="AIA78" s="621"/>
      <c r="AIB78" s="621"/>
      <c r="AIC78" s="621"/>
      <c r="AID78" s="621"/>
      <c r="AIE78" s="621"/>
      <c r="AIF78" s="621"/>
      <c r="AIG78" s="621"/>
      <c r="AIH78" s="621"/>
      <c r="AII78" s="621"/>
      <c r="AIJ78" s="621"/>
      <c r="AIK78" s="621"/>
      <c r="AIL78" s="621"/>
      <c r="AIM78" s="621"/>
      <c r="AIN78" s="621"/>
      <c r="AIO78" s="621"/>
      <c r="AIP78" s="621"/>
      <c r="AIQ78" s="621"/>
      <c r="AIR78" s="621"/>
      <c r="AIS78" s="621"/>
      <c r="AIT78" s="621"/>
      <c r="AIU78" s="621"/>
      <c r="AIV78" s="621"/>
      <c r="AIW78" s="621"/>
      <c r="AIX78" s="621"/>
      <c r="AIY78" s="621"/>
      <c r="AIZ78" s="621"/>
      <c r="AJA78" s="621"/>
      <c r="AJB78" s="621"/>
      <c r="AJC78" s="621"/>
      <c r="AJD78" s="621"/>
      <c r="AJE78" s="621"/>
      <c r="AJF78" s="621"/>
      <c r="AJG78" s="621"/>
      <c r="AJH78" s="621"/>
      <c r="AJI78" s="621"/>
      <c r="AJJ78" s="621"/>
      <c r="AJK78" s="621"/>
      <c r="AJL78" s="621"/>
      <c r="AJM78" s="621"/>
      <c r="AJN78" s="621"/>
      <c r="AJO78" s="621"/>
      <c r="AJP78" s="621"/>
      <c r="AJQ78" s="621"/>
      <c r="AJR78" s="621"/>
      <c r="AJS78" s="621"/>
      <c r="AJT78" s="621"/>
      <c r="AJU78" s="621"/>
      <c r="AJV78" s="621"/>
      <c r="AJW78" s="621"/>
      <c r="AJX78" s="621"/>
      <c r="AJY78" s="621"/>
      <c r="AJZ78" s="621"/>
      <c r="AKA78" s="621"/>
      <c r="AKB78" s="621"/>
      <c r="AKC78" s="621"/>
      <c r="AKD78" s="621"/>
      <c r="AKE78" s="621"/>
      <c r="AKF78" s="621"/>
      <c r="AKG78" s="621"/>
      <c r="AKH78" s="621"/>
      <c r="AKI78" s="621"/>
      <c r="AKJ78" s="621"/>
      <c r="AKK78" s="621"/>
      <c r="AKL78" s="621"/>
      <c r="AKM78" s="621"/>
      <c r="AKN78" s="621"/>
      <c r="AKO78" s="621"/>
      <c r="AKP78" s="621"/>
      <c r="AKQ78" s="621"/>
      <c r="AKR78" s="621"/>
      <c r="AKS78" s="621"/>
      <c r="AKT78" s="621"/>
      <c r="AKU78" s="621"/>
      <c r="AKV78" s="621"/>
      <c r="AKW78" s="621"/>
      <c r="AKX78" s="621"/>
      <c r="AKY78" s="621"/>
      <c r="AKZ78" s="621"/>
      <c r="ALA78" s="621"/>
      <c r="ALB78" s="621"/>
      <c r="ALC78" s="621"/>
      <c r="ALD78" s="621"/>
      <c r="ALE78" s="621"/>
      <c r="ALF78" s="621"/>
      <c r="ALG78" s="621"/>
      <c r="ALH78" s="621"/>
      <c r="ALI78" s="621"/>
      <c r="ALJ78" s="621"/>
      <c r="ALK78" s="621"/>
      <c r="ALL78" s="621"/>
      <c r="ALM78" s="621"/>
      <c r="ALN78" s="621"/>
      <c r="ALO78" s="621"/>
      <c r="ALP78" s="621"/>
      <c r="ALQ78" s="621"/>
      <c r="ALR78" s="621"/>
      <c r="ALS78" s="621"/>
      <c r="ALT78" s="621"/>
      <c r="ALU78" s="621"/>
      <c r="ALV78" s="621"/>
      <c r="ALW78" s="621"/>
      <c r="ALX78" s="621"/>
      <c r="ALY78" s="621"/>
      <c r="ALZ78" s="621"/>
      <c r="AMA78" s="621"/>
      <c r="AMB78" s="621"/>
      <c r="AMC78" s="621"/>
      <c r="AMD78" s="621"/>
      <c r="AME78" s="621"/>
      <c r="AMF78" s="621"/>
      <c r="AMG78" s="621"/>
      <c r="AMH78" s="621"/>
      <c r="AMI78" s="621"/>
      <c r="AMJ78" s="621"/>
      <c r="AMK78" s="621"/>
    </row>
    <row r="79" spans="1:1025" s="492" customFormat="1" ht="27.75" hidden="1">
      <c r="A79" s="2046" t="s">
        <v>410</v>
      </c>
      <c r="B79" s="2046"/>
      <c r="C79" s="2046"/>
      <c r="D79" s="2047" t="s">
        <v>411</v>
      </c>
      <c r="E79" s="2047"/>
      <c r="F79" s="2047"/>
      <c r="G79" s="2045" t="s">
        <v>412</v>
      </c>
      <c r="H79" s="2045"/>
      <c r="I79" s="1442"/>
      <c r="J79" s="2045"/>
      <c r="K79" s="2045"/>
      <c r="L79" s="1479"/>
      <c r="M79" s="1479"/>
      <c r="N79" s="491"/>
      <c r="O79" s="491"/>
      <c r="P79" s="491"/>
      <c r="V79" s="493"/>
      <c r="W79" s="493"/>
      <c r="X79" s="493"/>
      <c r="AB79" s="494"/>
      <c r="AC79" s="495"/>
      <c r="AD79" s="1478"/>
      <c r="AE79" s="1477"/>
      <c r="AF79" s="1474" t="s">
        <v>413</v>
      </c>
      <c r="AG79" s="1476"/>
      <c r="AH79" s="1476">
        <v>8</v>
      </c>
      <c r="AI79" s="1476">
        <v>6</v>
      </c>
      <c r="AJ79" s="1476">
        <f>AG79*AH79*AI79</f>
        <v>0</v>
      </c>
      <c r="AK79" s="1476">
        <v>6</v>
      </c>
      <c r="AL79" s="1476">
        <f>AJ79*AK79</f>
        <v>0</v>
      </c>
      <c r="AM79" s="1475">
        <f>AL79*9.55</f>
        <v>0</v>
      </c>
      <c r="AN79" s="1474">
        <f>20000/30/10</f>
        <v>66.666666666666657</v>
      </c>
      <c r="AO79" s="1473">
        <f>AJ79*AN79</f>
        <v>0</v>
      </c>
      <c r="AP79" s="501"/>
      <c r="AQ79" s="494"/>
      <c r="AR79" s="494"/>
      <c r="AS79" s="494"/>
      <c r="AT79" s="494"/>
    </row>
    <row r="80" spans="1:1025" ht="28.5" hidden="1" thickBot="1">
      <c r="A80" s="502"/>
      <c r="B80" s="502"/>
      <c r="C80" s="1441"/>
      <c r="D80" s="1441"/>
      <c r="E80" s="502"/>
      <c r="F80" s="263"/>
      <c r="G80" s="503"/>
      <c r="H80" s="503"/>
      <c r="I80" s="503"/>
      <c r="J80" s="503"/>
      <c r="K80" s="503"/>
      <c r="L80" s="1472"/>
      <c r="M80" s="1472"/>
      <c r="N80" s="272"/>
      <c r="O80" s="272"/>
      <c r="P80" s="272"/>
      <c r="AE80" s="1471"/>
      <c r="AF80" s="1470" t="s">
        <v>406</v>
      </c>
      <c r="AG80" s="1469"/>
      <c r="AH80" s="1469"/>
      <c r="AI80" s="1469"/>
      <c r="AJ80" s="1469"/>
      <c r="AK80" s="1469"/>
      <c r="AL80" s="1469"/>
      <c r="AM80" s="506">
        <f>SUM(AM51:AM79)</f>
        <v>93055.200000000012</v>
      </c>
      <c r="AN80" s="507"/>
      <c r="AO80" s="2037">
        <f>0.75*SUM(AO50:AO79)</f>
        <v>120420</v>
      </c>
      <c r="AP80" s="2038">
        <f>AO80*0.01</f>
        <v>1204.2</v>
      </c>
      <c r="AU80" s="621"/>
      <c r="AV80" s="621"/>
      <c r="AW80" s="621"/>
      <c r="AX80" s="621"/>
      <c r="AY80" s="621"/>
      <c r="AZ80" s="621"/>
      <c r="BA80" s="621"/>
      <c r="BB80" s="621"/>
      <c r="BC80" s="621"/>
      <c r="BD80" s="621"/>
      <c r="BE80" s="621"/>
      <c r="BF80" s="621"/>
      <c r="BG80" s="621"/>
      <c r="BH80" s="621"/>
      <c r="BI80" s="621"/>
      <c r="BJ80" s="621"/>
      <c r="BK80" s="621"/>
      <c r="BL80" s="621"/>
      <c r="BM80" s="621"/>
      <c r="BN80" s="621"/>
      <c r="BO80" s="621"/>
      <c r="BP80" s="621"/>
      <c r="BQ80" s="621"/>
      <c r="BR80" s="621"/>
      <c r="BS80" s="621"/>
      <c r="BT80" s="621"/>
      <c r="BU80" s="621"/>
      <c r="BV80" s="621"/>
      <c r="BW80" s="621"/>
      <c r="BX80" s="621"/>
      <c r="BY80" s="621"/>
      <c r="BZ80" s="621"/>
      <c r="CA80" s="621"/>
      <c r="CB80" s="621"/>
      <c r="CC80" s="621"/>
      <c r="CD80" s="621"/>
      <c r="CE80" s="621"/>
      <c r="CF80" s="621"/>
      <c r="CG80" s="621"/>
      <c r="CH80" s="621"/>
      <c r="CI80" s="621"/>
      <c r="CJ80" s="621"/>
      <c r="CK80" s="621"/>
      <c r="CL80" s="621"/>
      <c r="CM80" s="621"/>
      <c r="CN80" s="621"/>
      <c r="CO80" s="621"/>
      <c r="CP80" s="621"/>
      <c r="CQ80" s="621"/>
      <c r="CR80" s="621"/>
      <c r="CS80" s="621"/>
      <c r="CT80" s="621"/>
      <c r="CU80" s="621"/>
      <c r="CV80" s="621"/>
      <c r="CW80" s="621"/>
      <c r="CX80" s="621"/>
      <c r="CY80" s="621"/>
      <c r="CZ80" s="621"/>
      <c r="DA80" s="621"/>
      <c r="DB80" s="621"/>
      <c r="DC80" s="621"/>
      <c r="DD80" s="621"/>
      <c r="DE80" s="621"/>
      <c r="DF80" s="621"/>
      <c r="DG80" s="621"/>
      <c r="DH80" s="621"/>
      <c r="DI80" s="621"/>
      <c r="DJ80" s="621"/>
      <c r="DK80" s="621"/>
      <c r="DL80" s="621"/>
      <c r="DM80" s="621"/>
      <c r="DN80" s="621"/>
      <c r="DO80" s="621"/>
      <c r="DP80" s="621"/>
      <c r="DQ80" s="621"/>
      <c r="DR80" s="621"/>
      <c r="DS80" s="621"/>
      <c r="DT80" s="621"/>
      <c r="DU80" s="621"/>
      <c r="DV80" s="621"/>
      <c r="DW80" s="621"/>
      <c r="DX80" s="621"/>
      <c r="DY80" s="621"/>
      <c r="DZ80" s="621"/>
      <c r="EA80" s="621"/>
      <c r="EB80" s="621"/>
      <c r="EC80" s="621"/>
      <c r="ED80" s="621"/>
      <c r="EE80" s="621"/>
      <c r="EF80" s="621"/>
      <c r="EG80" s="621"/>
      <c r="EH80" s="621"/>
      <c r="EI80" s="621"/>
      <c r="EJ80" s="621"/>
      <c r="EK80" s="621"/>
      <c r="EL80" s="621"/>
      <c r="EM80" s="621"/>
      <c r="EN80" s="621"/>
      <c r="EO80" s="621"/>
      <c r="EP80" s="621"/>
      <c r="EQ80" s="621"/>
      <c r="ER80" s="621"/>
      <c r="ES80" s="621"/>
      <c r="ET80" s="621"/>
      <c r="EU80" s="621"/>
      <c r="EV80" s="621"/>
      <c r="EW80" s="621"/>
      <c r="EX80" s="621"/>
      <c r="EY80" s="621"/>
      <c r="EZ80" s="621"/>
      <c r="FA80" s="621"/>
      <c r="FB80" s="621"/>
      <c r="FC80" s="621"/>
      <c r="FD80" s="621"/>
      <c r="FE80" s="621"/>
      <c r="FF80" s="621"/>
      <c r="FG80" s="621"/>
      <c r="FH80" s="621"/>
      <c r="FI80" s="621"/>
      <c r="FJ80" s="621"/>
      <c r="FK80" s="621"/>
      <c r="FL80" s="621"/>
      <c r="FM80" s="621"/>
      <c r="FN80" s="621"/>
      <c r="FO80" s="621"/>
      <c r="FP80" s="621"/>
      <c r="FQ80" s="621"/>
      <c r="FR80" s="621"/>
      <c r="FS80" s="621"/>
      <c r="FT80" s="621"/>
      <c r="FU80" s="621"/>
      <c r="FV80" s="621"/>
      <c r="FW80" s="621"/>
      <c r="FX80" s="621"/>
      <c r="FY80" s="621"/>
      <c r="FZ80" s="621"/>
      <c r="GA80" s="621"/>
      <c r="GB80" s="621"/>
      <c r="GC80" s="621"/>
      <c r="GD80" s="621"/>
      <c r="GE80" s="621"/>
      <c r="GF80" s="621"/>
      <c r="GG80" s="621"/>
      <c r="GH80" s="621"/>
      <c r="GI80" s="621"/>
      <c r="GJ80" s="621"/>
      <c r="GK80" s="621"/>
      <c r="GL80" s="621"/>
      <c r="GM80" s="621"/>
      <c r="GN80" s="621"/>
      <c r="GO80" s="621"/>
      <c r="GP80" s="621"/>
      <c r="GQ80" s="621"/>
      <c r="GR80" s="621"/>
      <c r="GS80" s="621"/>
      <c r="GT80" s="621"/>
      <c r="GU80" s="621"/>
      <c r="GV80" s="621"/>
      <c r="GW80" s="621"/>
      <c r="GX80" s="621"/>
      <c r="GY80" s="621"/>
      <c r="GZ80" s="621"/>
      <c r="HA80" s="621"/>
      <c r="HB80" s="621"/>
      <c r="HC80" s="621"/>
      <c r="HD80" s="621"/>
      <c r="HE80" s="621"/>
      <c r="HF80" s="621"/>
      <c r="HG80" s="621"/>
      <c r="HH80" s="621"/>
      <c r="HI80" s="621"/>
      <c r="HJ80" s="621"/>
      <c r="HK80" s="621"/>
      <c r="HL80" s="621"/>
      <c r="HM80" s="621"/>
      <c r="HN80" s="621"/>
      <c r="HO80" s="621"/>
      <c r="HP80" s="621"/>
      <c r="HQ80" s="621"/>
      <c r="HR80" s="621"/>
      <c r="HS80" s="621"/>
      <c r="HT80" s="621"/>
      <c r="HU80" s="621"/>
      <c r="HV80" s="621"/>
      <c r="HW80" s="621"/>
      <c r="HX80" s="621"/>
      <c r="HY80" s="621"/>
      <c r="HZ80" s="621"/>
      <c r="IA80" s="621"/>
      <c r="IB80" s="621"/>
      <c r="IC80" s="621"/>
      <c r="ID80" s="621"/>
      <c r="IE80" s="621"/>
      <c r="IF80" s="621"/>
      <c r="IG80" s="621"/>
      <c r="IH80" s="621"/>
      <c r="II80" s="621"/>
      <c r="IJ80" s="621"/>
      <c r="IK80" s="621"/>
      <c r="IL80" s="621"/>
      <c r="IM80" s="621"/>
      <c r="IN80" s="621"/>
      <c r="IO80" s="621"/>
      <c r="IP80" s="621"/>
      <c r="IQ80" s="621"/>
      <c r="IR80" s="621"/>
      <c r="IS80" s="621"/>
      <c r="IT80" s="621"/>
      <c r="IU80" s="621"/>
      <c r="IV80" s="621"/>
      <c r="IW80" s="621"/>
      <c r="IX80" s="621"/>
      <c r="IY80" s="621"/>
      <c r="IZ80" s="621"/>
      <c r="JA80" s="621"/>
      <c r="JB80" s="621"/>
      <c r="JC80" s="621"/>
      <c r="JD80" s="621"/>
      <c r="JE80" s="621"/>
      <c r="JF80" s="621"/>
      <c r="JG80" s="621"/>
      <c r="JH80" s="621"/>
      <c r="JI80" s="621"/>
      <c r="JJ80" s="621"/>
      <c r="JK80" s="621"/>
      <c r="JL80" s="621"/>
      <c r="JM80" s="621"/>
      <c r="JN80" s="621"/>
      <c r="JO80" s="621"/>
      <c r="JP80" s="621"/>
      <c r="JQ80" s="621"/>
      <c r="JR80" s="621"/>
      <c r="JS80" s="621"/>
      <c r="JT80" s="621"/>
      <c r="JU80" s="621"/>
      <c r="JV80" s="621"/>
      <c r="JW80" s="621"/>
      <c r="JX80" s="621"/>
      <c r="JY80" s="621"/>
      <c r="JZ80" s="621"/>
      <c r="KA80" s="621"/>
      <c r="KB80" s="621"/>
      <c r="KC80" s="621"/>
      <c r="KD80" s="621"/>
      <c r="KE80" s="621"/>
      <c r="KF80" s="621"/>
      <c r="KG80" s="621"/>
      <c r="KH80" s="621"/>
      <c r="KI80" s="621"/>
      <c r="KJ80" s="621"/>
      <c r="KK80" s="621"/>
      <c r="KL80" s="621"/>
      <c r="KM80" s="621"/>
      <c r="KN80" s="621"/>
      <c r="KO80" s="621"/>
      <c r="KP80" s="621"/>
      <c r="KQ80" s="621"/>
      <c r="KR80" s="621"/>
      <c r="KS80" s="621"/>
      <c r="KT80" s="621"/>
      <c r="KU80" s="621"/>
      <c r="KV80" s="621"/>
      <c r="KW80" s="621"/>
      <c r="KX80" s="621"/>
      <c r="KY80" s="621"/>
      <c r="KZ80" s="621"/>
      <c r="LA80" s="621"/>
      <c r="LB80" s="621"/>
      <c r="LC80" s="621"/>
      <c r="LD80" s="621"/>
      <c r="LE80" s="621"/>
      <c r="LF80" s="621"/>
      <c r="LG80" s="621"/>
      <c r="LH80" s="621"/>
      <c r="LI80" s="621"/>
      <c r="LJ80" s="621"/>
      <c r="LK80" s="621"/>
      <c r="LL80" s="621"/>
      <c r="LM80" s="621"/>
      <c r="LN80" s="621"/>
      <c r="LO80" s="621"/>
      <c r="LP80" s="621"/>
      <c r="LQ80" s="621"/>
      <c r="LR80" s="621"/>
      <c r="LS80" s="621"/>
      <c r="LT80" s="621"/>
      <c r="LU80" s="621"/>
      <c r="LV80" s="621"/>
      <c r="LW80" s="621"/>
      <c r="LX80" s="621"/>
      <c r="LY80" s="621"/>
      <c r="LZ80" s="621"/>
      <c r="MA80" s="621"/>
      <c r="MB80" s="621"/>
      <c r="MC80" s="621"/>
      <c r="MD80" s="621"/>
      <c r="ME80" s="621"/>
      <c r="MF80" s="621"/>
      <c r="MG80" s="621"/>
      <c r="MH80" s="621"/>
      <c r="MI80" s="621"/>
      <c r="MJ80" s="621"/>
      <c r="MK80" s="621"/>
      <c r="ML80" s="621"/>
      <c r="MM80" s="621"/>
      <c r="MN80" s="621"/>
      <c r="MO80" s="621"/>
      <c r="MP80" s="621"/>
      <c r="MQ80" s="621"/>
      <c r="MR80" s="621"/>
      <c r="MS80" s="621"/>
      <c r="MT80" s="621"/>
      <c r="MU80" s="621"/>
      <c r="MV80" s="621"/>
      <c r="MW80" s="621"/>
      <c r="MX80" s="621"/>
      <c r="MY80" s="621"/>
      <c r="MZ80" s="621"/>
      <c r="NA80" s="621"/>
      <c r="NB80" s="621"/>
      <c r="NC80" s="621"/>
      <c r="ND80" s="621"/>
      <c r="NE80" s="621"/>
      <c r="NF80" s="621"/>
      <c r="NG80" s="621"/>
      <c r="NH80" s="621"/>
      <c r="NI80" s="621"/>
      <c r="NJ80" s="621"/>
      <c r="NK80" s="621"/>
      <c r="NL80" s="621"/>
      <c r="NM80" s="621"/>
      <c r="NN80" s="621"/>
      <c r="NO80" s="621"/>
      <c r="NP80" s="621"/>
      <c r="NQ80" s="621"/>
      <c r="NR80" s="621"/>
      <c r="NS80" s="621"/>
      <c r="NT80" s="621"/>
      <c r="NU80" s="621"/>
      <c r="NV80" s="621"/>
      <c r="NW80" s="621"/>
      <c r="NX80" s="621"/>
      <c r="NY80" s="621"/>
      <c r="NZ80" s="621"/>
      <c r="OA80" s="621"/>
      <c r="OB80" s="621"/>
      <c r="OC80" s="621"/>
      <c r="OD80" s="621"/>
      <c r="OE80" s="621"/>
      <c r="OF80" s="621"/>
      <c r="OG80" s="621"/>
      <c r="OH80" s="621"/>
      <c r="OI80" s="621"/>
      <c r="OJ80" s="621"/>
      <c r="OK80" s="621"/>
      <c r="OL80" s="621"/>
      <c r="OM80" s="621"/>
      <c r="ON80" s="621"/>
      <c r="OO80" s="621"/>
      <c r="OP80" s="621"/>
      <c r="OQ80" s="621"/>
      <c r="OR80" s="621"/>
      <c r="OS80" s="621"/>
      <c r="OT80" s="621"/>
      <c r="OU80" s="621"/>
      <c r="OV80" s="621"/>
      <c r="OW80" s="621"/>
      <c r="OX80" s="621"/>
      <c r="OY80" s="621"/>
      <c r="OZ80" s="621"/>
      <c r="PA80" s="621"/>
      <c r="PB80" s="621"/>
      <c r="PC80" s="621"/>
      <c r="PD80" s="621"/>
      <c r="PE80" s="621"/>
      <c r="PF80" s="621"/>
      <c r="PG80" s="621"/>
      <c r="PH80" s="621"/>
      <c r="PI80" s="621"/>
      <c r="PJ80" s="621"/>
      <c r="PK80" s="621"/>
      <c r="PL80" s="621"/>
      <c r="PM80" s="621"/>
      <c r="PN80" s="621"/>
      <c r="PO80" s="621"/>
      <c r="PP80" s="621"/>
      <c r="PQ80" s="621"/>
      <c r="PR80" s="621"/>
      <c r="PS80" s="621"/>
      <c r="PT80" s="621"/>
      <c r="PU80" s="621"/>
      <c r="PV80" s="621"/>
      <c r="PW80" s="621"/>
      <c r="PX80" s="621"/>
      <c r="PY80" s="621"/>
      <c r="PZ80" s="621"/>
      <c r="QA80" s="621"/>
      <c r="QB80" s="621"/>
      <c r="QC80" s="621"/>
      <c r="QD80" s="621"/>
      <c r="QE80" s="621"/>
      <c r="QF80" s="621"/>
      <c r="QG80" s="621"/>
      <c r="QH80" s="621"/>
      <c r="QI80" s="621"/>
      <c r="QJ80" s="621"/>
      <c r="QK80" s="621"/>
      <c r="QL80" s="621"/>
      <c r="QM80" s="621"/>
      <c r="QN80" s="621"/>
      <c r="QO80" s="621"/>
      <c r="QP80" s="621"/>
      <c r="QQ80" s="621"/>
      <c r="QR80" s="621"/>
      <c r="QS80" s="621"/>
      <c r="QT80" s="621"/>
      <c r="QU80" s="621"/>
      <c r="QV80" s="621"/>
      <c r="QW80" s="621"/>
      <c r="QX80" s="621"/>
      <c r="QY80" s="621"/>
      <c r="QZ80" s="621"/>
      <c r="RA80" s="621"/>
      <c r="RB80" s="621"/>
      <c r="RC80" s="621"/>
      <c r="RD80" s="621"/>
      <c r="RE80" s="621"/>
      <c r="RF80" s="621"/>
      <c r="RG80" s="621"/>
      <c r="RH80" s="621"/>
      <c r="RI80" s="621"/>
      <c r="RJ80" s="621"/>
      <c r="RK80" s="621"/>
      <c r="RL80" s="621"/>
      <c r="RM80" s="621"/>
      <c r="RN80" s="621"/>
      <c r="RO80" s="621"/>
      <c r="RP80" s="621"/>
      <c r="RQ80" s="621"/>
      <c r="RR80" s="621"/>
      <c r="RS80" s="621"/>
      <c r="RT80" s="621"/>
      <c r="RU80" s="621"/>
      <c r="RV80" s="621"/>
      <c r="RW80" s="621"/>
      <c r="RX80" s="621"/>
      <c r="RY80" s="621"/>
      <c r="RZ80" s="621"/>
      <c r="SA80" s="621"/>
      <c r="SB80" s="621"/>
      <c r="SC80" s="621"/>
      <c r="SD80" s="621"/>
      <c r="SE80" s="621"/>
      <c r="SF80" s="621"/>
      <c r="SG80" s="621"/>
      <c r="SH80" s="621"/>
      <c r="SI80" s="621"/>
      <c r="SJ80" s="621"/>
      <c r="SK80" s="621"/>
      <c r="SL80" s="621"/>
      <c r="SM80" s="621"/>
      <c r="SN80" s="621"/>
      <c r="SO80" s="621"/>
      <c r="SP80" s="621"/>
      <c r="SQ80" s="621"/>
      <c r="SR80" s="621"/>
      <c r="SS80" s="621"/>
      <c r="ST80" s="621"/>
      <c r="SU80" s="621"/>
      <c r="SV80" s="621"/>
      <c r="SW80" s="621"/>
      <c r="SX80" s="621"/>
      <c r="SY80" s="621"/>
      <c r="SZ80" s="621"/>
      <c r="TA80" s="621"/>
      <c r="TB80" s="621"/>
      <c r="TC80" s="621"/>
      <c r="TD80" s="621"/>
      <c r="TE80" s="621"/>
      <c r="TF80" s="621"/>
      <c r="TG80" s="621"/>
      <c r="TH80" s="621"/>
      <c r="TI80" s="621"/>
      <c r="TJ80" s="621"/>
      <c r="TK80" s="621"/>
      <c r="TL80" s="621"/>
      <c r="TM80" s="621"/>
      <c r="TN80" s="621"/>
      <c r="TO80" s="621"/>
      <c r="TP80" s="621"/>
      <c r="TQ80" s="621"/>
      <c r="TR80" s="621"/>
      <c r="TS80" s="621"/>
      <c r="TT80" s="621"/>
      <c r="TU80" s="621"/>
      <c r="TV80" s="621"/>
      <c r="TW80" s="621"/>
      <c r="TX80" s="621"/>
      <c r="TY80" s="621"/>
      <c r="TZ80" s="621"/>
      <c r="UA80" s="621"/>
      <c r="UB80" s="621"/>
      <c r="UC80" s="621"/>
      <c r="UD80" s="621"/>
      <c r="UE80" s="621"/>
      <c r="UF80" s="621"/>
      <c r="UG80" s="621"/>
      <c r="UH80" s="621"/>
      <c r="UI80" s="621"/>
      <c r="UJ80" s="621"/>
      <c r="UK80" s="621"/>
      <c r="UL80" s="621"/>
      <c r="UM80" s="621"/>
      <c r="UN80" s="621"/>
      <c r="UO80" s="621"/>
      <c r="UP80" s="621"/>
      <c r="UQ80" s="621"/>
      <c r="UR80" s="621"/>
      <c r="US80" s="621"/>
      <c r="UT80" s="621"/>
      <c r="UU80" s="621"/>
      <c r="UV80" s="621"/>
      <c r="UW80" s="621"/>
      <c r="UX80" s="621"/>
      <c r="UY80" s="621"/>
      <c r="UZ80" s="621"/>
      <c r="VA80" s="621"/>
      <c r="VB80" s="621"/>
      <c r="VC80" s="621"/>
      <c r="VD80" s="621"/>
      <c r="VE80" s="621"/>
      <c r="VF80" s="621"/>
      <c r="VG80" s="621"/>
      <c r="VH80" s="621"/>
      <c r="VI80" s="621"/>
      <c r="VJ80" s="621"/>
      <c r="VK80" s="621"/>
      <c r="VL80" s="621"/>
      <c r="VM80" s="621"/>
      <c r="VN80" s="621"/>
      <c r="VO80" s="621"/>
      <c r="VP80" s="621"/>
      <c r="VQ80" s="621"/>
      <c r="VR80" s="621"/>
      <c r="VS80" s="621"/>
      <c r="VT80" s="621"/>
      <c r="VU80" s="621"/>
      <c r="VV80" s="621"/>
      <c r="VW80" s="621"/>
      <c r="VX80" s="621"/>
      <c r="VY80" s="621"/>
      <c r="VZ80" s="621"/>
      <c r="WA80" s="621"/>
      <c r="WB80" s="621"/>
      <c r="WC80" s="621"/>
      <c r="WD80" s="621"/>
      <c r="WE80" s="621"/>
      <c r="WF80" s="621"/>
      <c r="WG80" s="621"/>
      <c r="WH80" s="621"/>
      <c r="WI80" s="621"/>
      <c r="WJ80" s="621"/>
      <c r="WK80" s="621"/>
      <c r="WL80" s="621"/>
      <c r="WM80" s="621"/>
      <c r="WN80" s="621"/>
      <c r="WO80" s="621"/>
      <c r="WP80" s="621"/>
      <c r="WQ80" s="621"/>
      <c r="WR80" s="621"/>
      <c r="WS80" s="621"/>
      <c r="WT80" s="621"/>
      <c r="WU80" s="621"/>
      <c r="WV80" s="621"/>
      <c r="WW80" s="621"/>
      <c r="WX80" s="621"/>
      <c r="WY80" s="621"/>
      <c r="WZ80" s="621"/>
      <c r="XA80" s="621"/>
      <c r="XB80" s="621"/>
      <c r="XC80" s="621"/>
      <c r="XD80" s="621"/>
      <c r="XE80" s="621"/>
      <c r="XF80" s="621"/>
      <c r="XG80" s="621"/>
      <c r="XH80" s="621"/>
      <c r="XI80" s="621"/>
      <c r="XJ80" s="621"/>
      <c r="XK80" s="621"/>
      <c r="XL80" s="621"/>
      <c r="XM80" s="621"/>
      <c r="XN80" s="621"/>
      <c r="XO80" s="621"/>
      <c r="XP80" s="621"/>
      <c r="XQ80" s="621"/>
      <c r="XR80" s="621"/>
      <c r="XS80" s="621"/>
      <c r="XT80" s="621"/>
      <c r="XU80" s="621"/>
      <c r="XV80" s="621"/>
      <c r="XW80" s="621"/>
      <c r="XX80" s="621"/>
      <c r="XY80" s="621"/>
      <c r="XZ80" s="621"/>
      <c r="YA80" s="621"/>
      <c r="YB80" s="621"/>
      <c r="YC80" s="621"/>
      <c r="YD80" s="621"/>
      <c r="YE80" s="621"/>
      <c r="YF80" s="621"/>
      <c r="YG80" s="621"/>
      <c r="YH80" s="621"/>
      <c r="YI80" s="621"/>
      <c r="YJ80" s="621"/>
      <c r="YK80" s="621"/>
      <c r="YL80" s="621"/>
      <c r="YM80" s="621"/>
      <c r="YN80" s="621"/>
      <c r="YO80" s="621"/>
      <c r="YP80" s="621"/>
      <c r="YQ80" s="621"/>
      <c r="YR80" s="621"/>
      <c r="YS80" s="621"/>
      <c r="YT80" s="621"/>
      <c r="YU80" s="621"/>
      <c r="YV80" s="621"/>
      <c r="YW80" s="621"/>
      <c r="YX80" s="621"/>
      <c r="YY80" s="621"/>
      <c r="YZ80" s="621"/>
      <c r="ZA80" s="621"/>
      <c r="ZB80" s="621"/>
      <c r="ZC80" s="621"/>
      <c r="ZD80" s="621"/>
      <c r="ZE80" s="621"/>
      <c r="ZF80" s="621"/>
      <c r="ZG80" s="621"/>
      <c r="ZH80" s="621"/>
      <c r="ZI80" s="621"/>
      <c r="ZJ80" s="621"/>
      <c r="ZK80" s="621"/>
      <c r="ZL80" s="621"/>
      <c r="ZM80" s="621"/>
      <c r="ZN80" s="621"/>
      <c r="ZO80" s="621"/>
      <c r="ZP80" s="621"/>
      <c r="ZQ80" s="621"/>
      <c r="ZR80" s="621"/>
      <c r="ZS80" s="621"/>
      <c r="ZT80" s="621"/>
      <c r="ZU80" s="621"/>
      <c r="ZV80" s="621"/>
      <c r="ZW80" s="621"/>
      <c r="ZX80" s="621"/>
      <c r="ZY80" s="621"/>
      <c r="ZZ80" s="621"/>
      <c r="AAA80" s="621"/>
      <c r="AAB80" s="621"/>
      <c r="AAC80" s="621"/>
      <c r="AAD80" s="621"/>
      <c r="AAE80" s="621"/>
      <c r="AAF80" s="621"/>
      <c r="AAG80" s="621"/>
      <c r="AAH80" s="621"/>
      <c r="AAI80" s="621"/>
      <c r="AAJ80" s="621"/>
      <c r="AAK80" s="621"/>
      <c r="AAL80" s="621"/>
      <c r="AAM80" s="621"/>
      <c r="AAN80" s="621"/>
      <c r="AAO80" s="621"/>
      <c r="AAP80" s="621"/>
      <c r="AAQ80" s="621"/>
      <c r="AAR80" s="621"/>
      <c r="AAS80" s="621"/>
      <c r="AAT80" s="621"/>
      <c r="AAU80" s="621"/>
      <c r="AAV80" s="621"/>
      <c r="AAW80" s="621"/>
      <c r="AAX80" s="621"/>
      <c r="AAY80" s="621"/>
      <c r="AAZ80" s="621"/>
      <c r="ABA80" s="621"/>
      <c r="ABB80" s="621"/>
      <c r="ABC80" s="621"/>
      <c r="ABD80" s="621"/>
      <c r="ABE80" s="621"/>
      <c r="ABF80" s="621"/>
      <c r="ABG80" s="621"/>
      <c r="ABH80" s="621"/>
      <c r="ABI80" s="621"/>
      <c r="ABJ80" s="621"/>
      <c r="ABK80" s="621"/>
      <c r="ABL80" s="621"/>
      <c r="ABM80" s="621"/>
      <c r="ABN80" s="621"/>
      <c r="ABO80" s="621"/>
      <c r="ABP80" s="621"/>
      <c r="ABQ80" s="621"/>
      <c r="ABR80" s="621"/>
      <c r="ABS80" s="621"/>
      <c r="ABT80" s="621"/>
      <c r="ABU80" s="621"/>
      <c r="ABV80" s="621"/>
      <c r="ABW80" s="621"/>
      <c r="ABX80" s="621"/>
      <c r="ABY80" s="621"/>
      <c r="ABZ80" s="621"/>
      <c r="ACA80" s="621"/>
      <c r="ACB80" s="621"/>
      <c r="ACC80" s="621"/>
      <c r="ACD80" s="621"/>
      <c r="ACE80" s="621"/>
      <c r="ACF80" s="621"/>
      <c r="ACG80" s="621"/>
      <c r="ACH80" s="621"/>
      <c r="ACI80" s="621"/>
      <c r="ACJ80" s="621"/>
      <c r="ACK80" s="621"/>
      <c r="ACL80" s="621"/>
      <c r="ACM80" s="621"/>
      <c r="ACN80" s="621"/>
      <c r="ACO80" s="621"/>
      <c r="ACP80" s="621"/>
      <c r="ACQ80" s="621"/>
      <c r="ACR80" s="621"/>
      <c r="ACS80" s="621"/>
      <c r="ACT80" s="621"/>
      <c r="ACU80" s="621"/>
      <c r="ACV80" s="621"/>
      <c r="ACW80" s="621"/>
      <c r="ACX80" s="621"/>
      <c r="ACY80" s="621"/>
      <c r="ACZ80" s="621"/>
      <c r="ADA80" s="621"/>
      <c r="ADB80" s="621"/>
      <c r="ADC80" s="621"/>
      <c r="ADD80" s="621"/>
      <c r="ADE80" s="621"/>
      <c r="ADF80" s="621"/>
      <c r="ADG80" s="621"/>
      <c r="ADH80" s="621"/>
      <c r="ADI80" s="621"/>
      <c r="ADJ80" s="621"/>
      <c r="ADK80" s="621"/>
      <c r="ADL80" s="621"/>
      <c r="ADM80" s="621"/>
      <c r="ADN80" s="621"/>
      <c r="ADO80" s="621"/>
      <c r="ADP80" s="621"/>
      <c r="ADQ80" s="621"/>
      <c r="ADR80" s="621"/>
      <c r="ADS80" s="621"/>
      <c r="ADT80" s="621"/>
      <c r="ADU80" s="621"/>
      <c r="ADV80" s="621"/>
      <c r="ADW80" s="621"/>
      <c r="ADX80" s="621"/>
      <c r="ADY80" s="621"/>
      <c r="ADZ80" s="621"/>
      <c r="AEA80" s="621"/>
      <c r="AEB80" s="621"/>
      <c r="AEC80" s="621"/>
      <c r="AED80" s="621"/>
      <c r="AEE80" s="621"/>
      <c r="AEF80" s="621"/>
      <c r="AEG80" s="621"/>
      <c r="AEH80" s="621"/>
      <c r="AEI80" s="621"/>
      <c r="AEJ80" s="621"/>
      <c r="AEK80" s="621"/>
      <c r="AEL80" s="621"/>
      <c r="AEM80" s="621"/>
      <c r="AEN80" s="621"/>
      <c r="AEO80" s="621"/>
      <c r="AEP80" s="621"/>
      <c r="AEQ80" s="621"/>
      <c r="AER80" s="621"/>
      <c r="AES80" s="621"/>
      <c r="AET80" s="621"/>
      <c r="AEU80" s="621"/>
      <c r="AEV80" s="621"/>
      <c r="AEW80" s="621"/>
      <c r="AEX80" s="621"/>
      <c r="AEY80" s="621"/>
      <c r="AEZ80" s="621"/>
      <c r="AFA80" s="621"/>
      <c r="AFB80" s="621"/>
      <c r="AFC80" s="621"/>
      <c r="AFD80" s="621"/>
      <c r="AFE80" s="621"/>
      <c r="AFF80" s="621"/>
      <c r="AFG80" s="621"/>
      <c r="AFH80" s="621"/>
      <c r="AFI80" s="621"/>
      <c r="AFJ80" s="621"/>
      <c r="AFK80" s="621"/>
      <c r="AFL80" s="621"/>
      <c r="AFM80" s="621"/>
      <c r="AFN80" s="621"/>
      <c r="AFO80" s="621"/>
      <c r="AFP80" s="621"/>
      <c r="AFQ80" s="621"/>
      <c r="AFR80" s="621"/>
      <c r="AFS80" s="621"/>
      <c r="AFT80" s="621"/>
      <c r="AFU80" s="621"/>
      <c r="AFV80" s="621"/>
      <c r="AFW80" s="621"/>
      <c r="AFX80" s="621"/>
      <c r="AFY80" s="621"/>
      <c r="AFZ80" s="621"/>
      <c r="AGA80" s="621"/>
      <c r="AGB80" s="621"/>
      <c r="AGC80" s="621"/>
      <c r="AGD80" s="621"/>
      <c r="AGE80" s="621"/>
      <c r="AGF80" s="621"/>
      <c r="AGG80" s="621"/>
      <c r="AGH80" s="621"/>
      <c r="AGI80" s="621"/>
      <c r="AGJ80" s="621"/>
      <c r="AGK80" s="621"/>
      <c r="AGL80" s="621"/>
      <c r="AGM80" s="621"/>
      <c r="AGN80" s="621"/>
      <c r="AGO80" s="621"/>
      <c r="AGP80" s="621"/>
      <c r="AGQ80" s="621"/>
      <c r="AGR80" s="621"/>
      <c r="AGS80" s="621"/>
      <c r="AGT80" s="621"/>
      <c r="AGU80" s="621"/>
      <c r="AGV80" s="621"/>
      <c r="AGW80" s="621"/>
      <c r="AGX80" s="621"/>
      <c r="AGY80" s="621"/>
      <c r="AGZ80" s="621"/>
      <c r="AHA80" s="621"/>
      <c r="AHB80" s="621"/>
      <c r="AHC80" s="621"/>
      <c r="AHD80" s="621"/>
      <c r="AHE80" s="621"/>
      <c r="AHF80" s="621"/>
      <c r="AHG80" s="621"/>
      <c r="AHH80" s="621"/>
      <c r="AHI80" s="621"/>
      <c r="AHJ80" s="621"/>
      <c r="AHK80" s="621"/>
      <c r="AHL80" s="621"/>
      <c r="AHM80" s="621"/>
      <c r="AHN80" s="621"/>
      <c r="AHO80" s="621"/>
      <c r="AHP80" s="621"/>
      <c r="AHQ80" s="621"/>
      <c r="AHR80" s="621"/>
      <c r="AHS80" s="621"/>
      <c r="AHT80" s="621"/>
      <c r="AHU80" s="621"/>
      <c r="AHV80" s="621"/>
      <c r="AHW80" s="621"/>
      <c r="AHX80" s="621"/>
      <c r="AHY80" s="621"/>
      <c r="AHZ80" s="621"/>
      <c r="AIA80" s="621"/>
      <c r="AIB80" s="621"/>
      <c r="AIC80" s="621"/>
      <c r="AID80" s="621"/>
      <c r="AIE80" s="621"/>
      <c r="AIF80" s="621"/>
      <c r="AIG80" s="621"/>
      <c r="AIH80" s="621"/>
      <c r="AII80" s="621"/>
      <c r="AIJ80" s="621"/>
      <c r="AIK80" s="621"/>
      <c r="AIL80" s="621"/>
      <c r="AIM80" s="621"/>
      <c r="AIN80" s="621"/>
      <c r="AIO80" s="621"/>
      <c r="AIP80" s="621"/>
      <c r="AIQ80" s="621"/>
      <c r="AIR80" s="621"/>
      <c r="AIS80" s="621"/>
      <c r="AIT80" s="621"/>
      <c r="AIU80" s="621"/>
      <c r="AIV80" s="621"/>
      <c r="AIW80" s="621"/>
      <c r="AIX80" s="621"/>
      <c r="AIY80" s="621"/>
      <c r="AIZ80" s="621"/>
      <c r="AJA80" s="621"/>
      <c r="AJB80" s="621"/>
      <c r="AJC80" s="621"/>
      <c r="AJD80" s="621"/>
      <c r="AJE80" s="621"/>
      <c r="AJF80" s="621"/>
      <c r="AJG80" s="621"/>
      <c r="AJH80" s="621"/>
      <c r="AJI80" s="621"/>
      <c r="AJJ80" s="621"/>
      <c r="AJK80" s="621"/>
      <c r="AJL80" s="621"/>
      <c r="AJM80" s="621"/>
      <c r="AJN80" s="621"/>
      <c r="AJO80" s="621"/>
      <c r="AJP80" s="621"/>
      <c r="AJQ80" s="621"/>
      <c r="AJR80" s="621"/>
      <c r="AJS80" s="621"/>
      <c r="AJT80" s="621"/>
      <c r="AJU80" s="621"/>
      <c r="AJV80" s="621"/>
      <c r="AJW80" s="621"/>
      <c r="AJX80" s="621"/>
      <c r="AJY80" s="621"/>
      <c r="AJZ80" s="621"/>
      <c r="AKA80" s="621"/>
      <c r="AKB80" s="621"/>
      <c r="AKC80" s="621"/>
      <c r="AKD80" s="621"/>
      <c r="AKE80" s="621"/>
      <c r="AKF80" s="621"/>
      <c r="AKG80" s="621"/>
      <c r="AKH80" s="621"/>
      <c r="AKI80" s="621"/>
      <c r="AKJ80" s="621"/>
      <c r="AKK80" s="621"/>
      <c r="AKL80" s="621"/>
      <c r="AKM80" s="621"/>
      <c r="AKN80" s="621"/>
      <c r="AKO80" s="621"/>
      <c r="AKP80" s="621"/>
      <c r="AKQ80" s="621"/>
      <c r="AKR80" s="621"/>
      <c r="AKS80" s="621"/>
      <c r="AKT80" s="621"/>
      <c r="AKU80" s="621"/>
      <c r="AKV80" s="621"/>
      <c r="AKW80" s="621"/>
      <c r="AKX80" s="621"/>
      <c r="AKY80" s="621"/>
      <c r="AKZ80" s="621"/>
      <c r="ALA80" s="621"/>
      <c r="ALB80" s="621"/>
      <c r="ALC80" s="621"/>
      <c r="ALD80" s="621"/>
      <c r="ALE80" s="621"/>
      <c r="ALF80" s="621"/>
      <c r="ALG80" s="621"/>
      <c r="ALH80" s="621"/>
      <c r="ALI80" s="621"/>
      <c r="ALJ80" s="621"/>
      <c r="ALK80" s="621"/>
      <c r="ALL80" s="621"/>
      <c r="ALM80" s="621"/>
      <c r="ALN80" s="621"/>
      <c r="ALO80" s="621"/>
      <c r="ALP80" s="621"/>
      <c r="ALQ80" s="621"/>
      <c r="ALR80" s="621"/>
      <c r="ALS80" s="621"/>
      <c r="ALT80" s="621"/>
      <c r="ALU80" s="621"/>
      <c r="ALV80" s="621"/>
      <c r="ALW80" s="621"/>
      <c r="ALX80" s="621"/>
      <c r="ALY80" s="621"/>
      <c r="ALZ80" s="621"/>
      <c r="AMA80" s="621"/>
      <c r="AMB80" s="621"/>
      <c r="AMC80" s="621"/>
      <c r="AMD80" s="621"/>
      <c r="AME80" s="621"/>
      <c r="AMF80" s="621"/>
      <c r="AMG80" s="621"/>
      <c r="AMH80" s="621"/>
      <c r="AMI80" s="621"/>
      <c r="AMJ80" s="621"/>
      <c r="AMK80" s="621"/>
    </row>
    <row r="81" spans="1:46" s="272" customFormat="1" ht="12.75" hidden="1" customHeight="1" thickBot="1">
      <c r="A81" s="2039"/>
      <c r="B81" s="2039"/>
      <c r="C81" s="1468">
        <f>1340744.48-1068792.28</f>
        <v>271952.19999999995</v>
      </c>
      <c r="D81" s="1464"/>
      <c r="E81" s="511"/>
      <c r="F81" s="1467">
        <v>852260.40166666696</v>
      </c>
      <c r="G81" s="512">
        <v>-903210.33641666698</v>
      </c>
      <c r="H81" s="512">
        <f>F81+D74</f>
        <v>2367580.933666667</v>
      </c>
      <c r="I81" s="513"/>
      <c r="J81" s="478"/>
      <c r="K81" s="514"/>
      <c r="L81" s="515"/>
      <c r="M81" s="515"/>
      <c r="N81" s="516"/>
      <c r="V81" s="517"/>
      <c r="W81" s="517"/>
      <c r="X81" s="517"/>
      <c r="AB81" s="518"/>
      <c r="AC81" s="519"/>
      <c r="AD81" s="1455"/>
      <c r="AE81" s="1455"/>
      <c r="AF81" s="1466"/>
      <c r="AG81" s="1465"/>
      <c r="AH81" s="1465"/>
      <c r="AI81" s="1465"/>
      <c r="AJ81" s="1465"/>
      <c r="AK81" s="1465"/>
      <c r="AL81" s="1465"/>
      <c r="AM81" s="522"/>
      <c r="AN81" s="523"/>
      <c r="AO81" s="2037"/>
      <c r="AP81" s="2038"/>
      <c r="AQ81" s="518"/>
      <c r="AR81" s="518"/>
      <c r="AS81" s="518"/>
      <c r="AT81" s="518"/>
    </row>
    <row r="82" spans="1:46" s="272" customFormat="1" ht="23.25" hidden="1">
      <c r="A82" s="2040"/>
      <c r="B82" s="2040"/>
      <c r="C82" s="1464"/>
      <c r="D82" s="1464"/>
      <c r="E82" s="511"/>
      <c r="F82" s="511"/>
      <c r="G82" s="524"/>
      <c r="H82" s="524">
        <v>2094327.2378038701</v>
      </c>
      <c r="I82" s="513"/>
      <c r="J82" s="478"/>
      <c r="K82" s="514"/>
      <c r="V82" s="517"/>
      <c r="W82" s="517"/>
      <c r="X82" s="517"/>
      <c r="AB82" s="518"/>
      <c r="AC82" s="519"/>
      <c r="AD82" s="1455"/>
      <c r="AE82" s="1455"/>
      <c r="AF82" s="1455"/>
      <c r="AG82" s="1455"/>
      <c r="AH82" s="1455"/>
      <c r="AI82" s="1455"/>
      <c r="AJ82" s="1455"/>
      <c r="AK82" s="1455"/>
      <c r="AL82" s="1455"/>
      <c r="AM82" s="518"/>
      <c r="AN82" s="518"/>
      <c r="AO82" s="518"/>
      <c r="AP82" s="518"/>
      <c r="AQ82" s="518"/>
      <c r="AR82" s="518"/>
      <c r="AS82" s="518"/>
      <c r="AT82" s="518"/>
    </row>
    <row r="83" spans="1:46" s="272" customFormat="1" ht="46.5" hidden="1">
      <c r="B83" s="525"/>
      <c r="C83" s="1463" t="s">
        <v>414</v>
      </c>
      <c r="D83" s="1462">
        <f>G74-C74</f>
        <v>636719.16175005911</v>
      </c>
      <c r="E83" s="528" t="s">
        <v>415</v>
      </c>
      <c r="F83" s="529">
        <f>H74-D74+'[10]summery(new)2'!D20:F20</f>
        <v>153800.18052764237</v>
      </c>
      <c r="G83" s="481"/>
      <c r="H83" s="530"/>
      <c r="I83" s="1443"/>
      <c r="J83" s="478">
        <f>5200*4</f>
        <v>20800</v>
      </c>
      <c r="K83" s="514"/>
      <c r="V83" s="517"/>
      <c r="W83" s="517"/>
      <c r="X83" s="517"/>
      <c r="AB83" s="518"/>
      <c r="AC83" s="519"/>
      <c r="AD83" s="1455"/>
      <c r="AE83" s="1455"/>
      <c r="AF83" s="1455"/>
      <c r="AG83" s="1455"/>
      <c r="AH83" s="1455"/>
      <c r="AI83" s="1455"/>
      <c r="AJ83" s="1455"/>
      <c r="AK83" s="1455"/>
      <c r="AL83" s="1455"/>
      <c r="AM83" s="518"/>
      <c r="AN83" s="518"/>
      <c r="AO83" s="518"/>
      <c r="AP83" s="518"/>
      <c r="AQ83" s="518"/>
      <c r="AR83" s="518"/>
      <c r="AS83" s="518"/>
      <c r="AT83" s="518"/>
    </row>
    <row r="84" spans="1:46" s="272" customFormat="1" ht="23.25" hidden="1">
      <c r="B84" s="2041"/>
      <c r="C84" s="2041"/>
      <c r="D84" s="2041"/>
      <c r="E84" s="2041"/>
      <c r="F84" s="1444"/>
      <c r="G84" s="532"/>
      <c r="H84" s="532"/>
      <c r="V84" s="517"/>
      <c r="W84" s="517"/>
      <c r="X84" s="517"/>
      <c r="AB84" s="518"/>
      <c r="AC84" s="519"/>
      <c r="AD84" s="1455"/>
      <c r="AE84" s="1455"/>
      <c r="AF84" s="1455"/>
      <c r="AG84" s="1455"/>
      <c r="AH84" s="1455"/>
      <c r="AI84" s="1455"/>
      <c r="AJ84" s="1455"/>
      <c r="AK84" s="1455"/>
      <c r="AL84" s="1455"/>
      <c r="AM84" s="518"/>
      <c r="AN84" s="518"/>
      <c r="AO84" s="518"/>
      <c r="AP84" s="518"/>
      <c r="AQ84" s="518"/>
      <c r="AR84" s="518"/>
      <c r="AS84" s="518"/>
      <c r="AT84" s="518"/>
    </row>
    <row r="85" spans="1:46" s="272" customFormat="1" ht="23.25" hidden="1">
      <c r="B85" s="2032"/>
      <c r="C85" s="2032"/>
      <c r="D85" s="2032"/>
      <c r="E85" s="2032"/>
      <c r="F85" s="2032"/>
      <c r="G85" s="2032"/>
      <c r="H85" s="2032"/>
      <c r="I85" s="1437"/>
      <c r="O85" s="1445"/>
      <c r="V85" s="517"/>
      <c r="W85" s="517"/>
      <c r="X85" s="517"/>
      <c r="AB85" s="518"/>
      <c r="AC85" s="519"/>
      <c r="AD85" s="1455"/>
      <c r="AE85" s="1455"/>
      <c r="AF85" s="1455"/>
      <c r="AG85" s="1455"/>
      <c r="AH85" s="1455"/>
      <c r="AI85" s="1455"/>
      <c r="AJ85" s="1455"/>
      <c r="AK85" s="1455"/>
      <c r="AL85" s="1455"/>
      <c r="AM85" s="518"/>
      <c r="AN85" s="518"/>
      <c r="AO85" s="518"/>
      <c r="AP85" s="518"/>
      <c r="AQ85" s="518"/>
      <c r="AR85" s="518"/>
      <c r="AS85" s="518"/>
      <c r="AT85" s="518"/>
    </row>
    <row r="86" spans="1:46" s="272" customFormat="1" ht="23.25" hidden="1">
      <c r="B86" s="2031"/>
      <c r="C86" s="2031"/>
      <c r="D86" s="2031"/>
      <c r="E86" s="2031"/>
      <c r="F86" s="2031"/>
      <c r="G86" s="2031"/>
      <c r="H86" s="2031"/>
      <c r="I86" s="1438"/>
      <c r="J86" s="532"/>
      <c r="N86" s="535"/>
      <c r="V86" s="517"/>
      <c r="W86" s="517"/>
      <c r="X86" s="517"/>
      <c r="AB86" s="518"/>
      <c r="AC86" s="519"/>
      <c r="AD86" s="1455"/>
      <c r="AE86" s="1455"/>
      <c r="AF86" s="1455"/>
      <c r="AG86" s="1455"/>
      <c r="AH86" s="1455"/>
      <c r="AI86" s="1455"/>
      <c r="AJ86" s="1455"/>
      <c r="AK86" s="1455"/>
      <c r="AL86" s="1455"/>
      <c r="AM86" s="518"/>
      <c r="AN86" s="518"/>
      <c r="AO86" s="518"/>
      <c r="AP86" s="518"/>
      <c r="AQ86" s="518"/>
      <c r="AR86" s="518"/>
      <c r="AS86" s="518"/>
      <c r="AT86" s="518"/>
    </row>
    <row r="87" spans="1:46" s="272" customFormat="1" ht="23.25" hidden="1">
      <c r="B87" s="2036"/>
      <c r="C87" s="2036"/>
      <c r="D87" s="2036"/>
      <c r="E87" s="2036"/>
      <c r="F87" s="2036"/>
      <c r="G87" s="2036"/>
      <c r="H87" s="2036"/>
      <c r="I87" s="1437"/>
      <c r="J87" s="532"/>
      <c r="K87" s="474"/>
      <c r="L87" s="474"/>
      <c r="N87" s="535"/>
      <c r="V87" s="517"/>
      <c r="W87" s="517"/>
      <c r="X87" s="517"/>
      <c r="AB87" s="518"/>
      <c r="AC87" s="519"/>
      <c r="AD87" s="1455"/>
      <c r="AE87" s="1455"/>
      <c r="AF87" s="1455"/>
      <c r="AG87" s="1455"/>
      <c r="AH87" s="1455"/>
      <c r="AI87" s="1455"/>
      <c r="AJ87" s="1455"/>
      <c r="AK87" s="1455"/>
      <c r="AL87" s="1455"/>
      <c r="AM87" s="518"/>
      <c r="AN87" s="518"/>
      <c r="AO87" s="518"/>
      <c r="AP87" s="518"/>
      <c r="AQ87" s="518"/>
      <c r="AR87" s="518"/>
      <c r="AS87" s="518"/>
      <c r="AT87" s="518"/>
    </row>
    <row r="88" spans="1:46" s="272" customFormat="1" ht="23.25" hidden="1">
      <c r="B88" s="2032"/>
      <c r="C88" s="2032"/>
      <c r="D88" s="2032"/>
      <c r="E88" s="2032"/>
      <c r="F88" s="2032"/>
      <c r="G88" s="2032"/>
      <c r="H88" s="2032"/>
      <c r="I88" s="1437"/>
      <c r="J88" s="532"/>
      <c r="N88" s="535"/>
      <c r="V88" s="517"/>
      <c r="W88" s="517"/>
      <c r="X88" s="517"/>
      <c r="AB88" s="518"/>
      <c r="AC88" s="519"/>
      <c r="AD88" s="1455"/>
      <c r="AE88" s="1455"/>
      <c r="AF88" s="1455"/>
      <c r="AG88" s="1455"/>
      <c r="AH88" s="1455"/>
      <c r="AI88" s="1455"/>
      <c r="AJ88" s="1455"/>
      <c r="AK88" s="1455"/>
      <c r="AL88" s="1455"/>
      <c r="AM88" s="518"/>
      <c r="AN88" s="518"/>
      <c r="AO88" s="518"/>
      <c r="AP88" s="518"/>
      <c r="AQ88" s="518"/>
      <c r="AR88" s="518"/>
      <c r="AS88" s="518"/>
      <c r="AT88" s="518"/>
    </row>
    <row r="89" spans="1:46" s="272" customFormat="1" ht="23.25" hidden="1">
      <c r="B89" s="2031"/>
      <c r="C89" s="2031"/>
      <c r="D89" s="2031"/>
      <c r="E89" s="2031"/>
      <c r="F89" s="2031"/>
      <c r="G89" s="2031"/>
      <c r="H89" s="2031"/>
      <c r="I89" s="1438"/>
      <c r="J89" s="1445"/>
      <c r="K89" s="1445"/>
      <c r="L89" s="516"/>
      <c r="V89" s="517"/>
      <c r="W89" s="517"/>
      <c r="X89" s="517"/>
      <c r="AB89" s="518"/>
      <c r="AC89" s="519"/>
      <c r="AD89" s="1455"/>
      <c r="AE89" s="1455"/>
      <c r="AF89" s="1455"/>
      <c r="AG89" s="1455"/>
      <c r="AH89" s="1455"/>
      <c r="AI89" s="1455"/>
      <c r="AJ89" s="1455"/>
      <c r="AK89" s="1455"/>
      <c r="AL89" s="1455"/>
      <c r="AM89" s="518"/>
      <c r="AN89" s="518"/>
      <c r="AO89" s="518"/>
      <c r="AP89" s="518"/>
      <c r="AQ89" s="518"/>
      <c r="AR89" s="518"/>
      <c r="AS89" s="518"/>
      <c r="AT89" s="518"/>
    </row>
    <row r="90" spans="1:46" s="272" customFormat="1" ht="27.75" hidden="1">
      <c r="B90" s="2033"/>
      <c r="C90" s="2033"/>
      <c r="D90" s="2033"/>
      <c r="E90" s="2033"/>
      <c r="F90" s="1449">
        <v>890941.81734252698</v>
      </c>
      <c r="G90" s="537"/>
      <c r="H90" s="537"/>
      <c r="I90" s="537"/>
      <c r="J90" s="537"/>
      <c r="K90" s="537"/>
      <c r="L90" s="516"/>
      <c r="V90" s="517"/>
      <c r="W90" s="517"/>
      <c r="X90" s="517"/>
      <c r="AB90" s="518"/>
      <c r="AC90" s="519"/>
      <c r="AD90" s="1455"/>
      <c r="AE90" s="1455"/>
      <c r="AF90" s="1455"/>
      <c r="AG90" s="1455"/>
      <c r="AH90" s="1455"/>
      <c r="AI90" s="1455"/>
      <c r="AJ90" s="1455"/>
      <c r="AK90" s="1455"/>
      <c r="AL90" s="1455"/>
      <c r="AM90" s="518"/>
      <c r="AN90" s="518"/>
      <c r="AO90" s="518"/>
      <c r="AP90" s="518"/>
      <c r="AQ90" s="518"/>
      <c r="AR90" s="518"/>
      <c r="AS90" s="518"/>
      <c r="AT90" s="518"/>
    </row>
    <row r="91" spans="1:46" s="272" customFormat="1" ht="23.25" hidden="1">
      <c r="B91" s="2034"/>
      <c r="C91" s="2034"/>
      <c r="D91" s="2034"/>
      <c r="E91" s="2034"/>
      <c r="F91" s="1439"/>
      <c r="G91" s="532"/>
      <c r="H91" s="537"/>
      <c r="I91" s="537"/>
      <c r="J91" s="537"/>
      <c r="K91" s="537"/>
      <c r="V91" s="517"/>
      <c r="W91" s="517"/>
      <c r="X91" s="517"/>
      <c r="AB91" s="518"/>
      <c r="AC91" s="519"/>
      <c r="AD91" s="1455"/>
      <c r="AE91" s="1455"/>
      <c r="AF91" s="1455"/>
      <c r="AG91" s="1455"/>
      <c r="AH91" s="1455"/>
      <c r="AI91" s="1455"/>
      <c r="AJ91" s="1455"/>
      <c r="AK91" s="1455"/>
      <c r="AL91" s="1455"/>
      <c r="AM91" s="518"/>
      <c r="AN91" s="518"/>
      <c r="AO91" s="518"/>
      <c r="AP91" s="518"/>
      <c r="AQ91" s="518"/>
      <c r="AR91" s="518"/>
      <c r="AS91" s="518"/>
      <c r="AT91" s="518"/>
    </row>
    <row r="92" spans="1:46" s="272" customFormat="1" ht="23.25" hidden="1">
      <c r="B92" s="2035"/>
      <c r="C92" s="2035"/>
      <c r="D92" s="2035"/>
      <c r="E92" s="2035"/>
      <c r="F92" s="539"/>
      <c r="G92" s="537"/>
      <c r="H92" s="537"/>
      <c r="I92" s="537"/>
      <c r="J92" s="537"/>
      <c r="K92" s="537"/>
      <c r="V92" s="517"/>
      <c r="W92" s="517"/>
      <c r="X92" s="517"/>
      <c r="AB92" s="518"/>
      <c r="AC92" s="519"/>
      <c r="AD92" s="1455"/>
      <c r="AE92" s="1455"/>
      <c r="AF92" s="1455"/>
      <c r="AG92" s="1455"/>
      <c r="AH92" s="1455"/>
      <c r="AI92" s="1455"/>
      <c r="AJ92" s="1455"/>
      <c r="AK92" s="1455"/>
      <c r="AL92" s="1455"/>
      <c r="AM92" s="518"/>
      <c r="AN92" s="518"/>
      <c r="AO92" s="518"/>
      <c r="AP92" s="518"/>
      <c r="AQ92" s="518"/>
      <c r="AR92" s="518"/>
      <c r="AS92" s="518"/>
      <c r="AT92" s="518"/>
    </row>
    <row r="93" spans="1:46" s="272" customFormat="1" hidden="1">
      <c r="C93" s="1457"/>
      <c r="D93" s="1457">
        <f>H81-(165750+161600)</f>
        <v>2040230.933666667</v>
      </c>
      <c r="V93" s="517"/>
      <c r="W93" s="517"/>
      <c r="X93" s="517"/>
      <c r="AB93" s="518"/>
      <c r="AC93" s="519"/>
      <c r="AD93" s="1455"/>
      <c r="AE93" s="1455"/>
      <c r="AF93" s="1455"/>
      <c r="AG93" s="1455"/>
      <c r="AH93" s="1455"/>
      <c r="AI93" s="1455"/>
      <c r="AJ93" s="1455"/>
      <c r="AK93" s="1455"/>
      <c r="AL93" s="1455"/>
      <c r="AM93" s="518"/>
      <c r="AN93" s="518"/>
      <c r="AO93" s="518"/>
      <c r="AP93" s="518"/>
      <c r="AQ93" s="518"/>
      <c r="AR93" s="518"/>
      <c r="AS93" s="518"/>
      <c r="AT93" s="518"/>
    </row>
    <row r="94" spans="1:46" s="272" customFormat="1" ht="27.75" hidden="1">
      <c r="B94" s="541"/>
      <c r="C94" s="1458"/>
      <c r="D94" s="1458"/>
      <c r="E94" s="1440"/>
      <c r="F94" s="1440"/>
      <c r="G94" s="516">
        <f>5904+306</f>
        <v>6210</v>
      </c>
      <c r="H94" s="516"/>
      <c r="V94" s="517"/>
      <c r="W94" s="517"/>
      <c r="X94" s="517"/>
      <c r="AB94" s="518"/>
      <c r="AC94" s="519"/>
      <c r="AD94" s="1455"/>
      <c r="AE94" s="1455"/>
      <c r="AF94" s="1455"/>
      <c r="AG94" s="1455"/>
      <c r="AH94" s="1455"/>
      <c r="AI94" s="1455"/>
      <c r="AJ94" s="1455"/>
      <c r="AK94" s="1455"/>
      <c r="AL94" s="1455"/>
      <c r="AM94" s="518"/>
      <c r="AN94" s="518"/>
      <c r="AO94" s="518"/>
      <c r="AP94" s="518"/>
      <c r="AQ94" s="518"/>
      <c r="AR94" s="518"/>
      <c r="AS94" s="518"/>
      <c r="AT94" s="518"/>
    </row>
    <row r="95" spans="1:46" s="272" customFormat="1" ht="27.75" hidden="1">
      <c r="A95" s="2022"/>
      <c r="C95" s="1457"/>
      <c r="D95" s="1457"/>
      <c r="E95" s="2023"/>
      <c r="F95" s="2023"/>
      <c r="G95" s="2023"/>
      <c r="H95" s="1440"/>
      <c r="I95" s="549"/>
      <c r="J95" s="516"/>
      <c r="V95" s="517"/>
      <c r="W95" s="517"/>
      <c r="X95" s="517"/>
      <c r="AB95" s="518"/>
      <c r="AC95" s="519"/>
      <c r="AD95" s="1455"/>
      <c r="AE95" s="1455"/>
      <c r="AF95" s="1455"/>
      <c r="AG95" s="1455"/>
      <c r="AH95" s="1455"/>
      <c r="AI95" s="1455"/>
      <c r="AJ95" s="1455"/>
      <c r="AK95" s="1455"/>
      <c r="AL95" s="1455"/>
      <c r="AM95" s="518"/>
      <c r="AN95" s="518"/>
      <c r="AO95" s="518"/>
      <c r="AP95" s="518"/>
      <c r="AQ95" s="518"/>
      <c r="AR95" s="518"/>
      <c r="AS95" s="518"/>
      <c r="AT95" s="518"/>
    </row>
    <row r="96" spans="1:46" s="272" customFormat="1" ht="27.75" hidden="1">
      <c r="A96" s="2022"/>
      <c r="B96" s="1440"/>
      <c r="C96" s="2024"/>
      <c r="D96" s="2024"/>
      <c r="E96" s="2024"/>
      <c r="F96" s="1440"/>
      <c r="G96" s="539"/>
      <c r="H96" s="539"/>
      <c r="I96" s="543"/>
      <c r="J96" s="539"/>
      <c r="K96" s="544"/>
      <c r="L96" s="544"/>
      <c r="M96" s="545"/>
      <c r="V96" s="517"/>
      <c r="W96" s="517"/>
      <c r="X96" s="517"/>
      <c r="AB96" s="518"/>
      <c r="AC96" s="519"/>
      <c r="AD96" s="1455"/>
      <c r="AE96" s="1455"/>
      <c r="AF96" s="1455"/>
      <c r="AG96" s="1455"/>
      <c r="AH96" s="1455"/>
      <c r="AI96" s="1455"/>
      <c r="AJ96" s="1455"/>
      <c r="AK96" s="1455"/>
      <c r="AL96" s="1455"/>
      <c r="AM96" s="518"/>
      <c r="AN96" s="518"/>
      <c r="AO96" s="518"/>
      <c r="AP96" s="518"/>
      <c r="AQ96" s="518"/>
      <c r="AR96" s="518"/>
      <c r="AS96" s="518"/>
      <c r="AT96" s="518"/>
    </row>
    <row r="97" spans="1:1025" s="272" customFormat="1" hidden="1">
      <c r="A97" s="546"/>
      <c r="B97" s="1457"/>
      <c r="C97" s="1457"/>
      <c r="D97" s="1457"/>
      <c r="E97" s="1457"/>
      <c r="F97" s="1457"/>
      <c r="G97" s="1457"/>
      <c r="H97" s="1457"/>
      <c r="I97" s="396"/>
      <c r="J97" s="1460"/>
      <c r="V97" s="517"/>
      <c r="W97" s="517"/>
      <c r="X97" s="517"/>
      <c r="AB97" s="518"/>
      <c r="AC97" s="519"/>
      <c r="AD97" s="1455"/>
      <c r="AE97" s="1455"/>
      <c r="AF97" s="1455"/>
      <c r="AG97" s="1455"/>
      <c r="AH97" s="1455"/>
      <c r="AI97" s="1455"/>
      <c r="AJ97" s="1455"/>
      <c r="AK97" s="1455"/>
      <c r="AL97" s="1455"/>
      <c r="AM97" s="518"/>
      <c r="AN97" s="518"/>
      <c r="AO97" s="518"/>
      <c r="AP97" s="518"/>
      <c r="AQ97" s="518"/>
      <c r="AR97" s="518"/>
      <c r="AS97" s="518"/>
      <c r="AT97" s="518"/>
    </row>
    <row r="98" spans="1:1025" s="272" customFormat="1" hidden="1">
      <c r="A98" s="546"/>
      <c r="B98" s="1457"/>
      <c r="C98" s="1461" t="s">
        <v>416</v>
      </c>
      <c r="D98" s="1457"/>
      <c r="E98" s="1457"/>
      <c r="F98" s="1457"/>
      <c r="G98" s="1457"/>
      <c r="H98" s="1457"/>
      <c r="I98" s="396"/>
      <c r="J98" s="1460"/>
      <c r="V98" s="517"/>
      <c r="W98" s="517"/>
      <c r="X98" s="517"/>
      <c r="AB98" s="518"/>
      <c r="AC98" s="519"/>
      <c r="AD98" s="1455"/>
      <c r="AE98" s="1455"/>
      <c r="AF98" s="1455"/>
      <c r="AG98" s="1455"/>
      <c r="AH98" s="1455"/>
      <c r="AI98" s="1455"/>
      <c r="AJ98" s="1455"/>
      <c r="AK98" s="1455"/>
      <c r="AL98" s="1455"/>
      <c r="AM98" s="518"/>
      <c r="AN98" s="518"/>
      <c r="AO98" s="518"/>
      <c r="AP98" s="518"/>
      <c r="AQ98" s="518"/>
      <c r="AR98" s="518"/>
      <c r="AS98" s="518"/>
      <c r="AT98" s="518"/>
    </row>
    <row r="99" spans="1:1025" s="272" customFormat="1" hidden="1">
      <c r="A99" s="546"/>
      <c r="B99" s="1456"/>
      <c r="C99" s="1456"/>
      <c r="D99" s="1456"/>
      <c r="E99" s="1456"/>
      <c r="F99" s="1456">
        <f>52200/4</f>
        <v>13050</v>
      </c>
      <c r="G99" s="1457"/>
      <c r="H99" s="1457"/>
      <c r="I99" s="396"/>
      <c r="J99" s="1460"/>
      <c r="V99" s="517"/>
      <c r="W99" s="517"/>
      <c r="X99" s="517"/>
      <c r="AB99" s="518"/>
      <c r="AC99" s="519"/>
      <c r="AD99" s="1455"/>
      <c r="AE99" s="1455"/>
      <c r="AF99" s="1455"/>
      <c r="AG99" s="1455"/>
      <c r="AH99" s="1455"/>
      <c r="AI99" s="1455"/>
      <c r="AJ99" s="1455"/>
      <c r="AK99" s="1455"/>
      <c r="AL99" s="1455"/>
      <c r="AM99" s="518"/>
      <c r="AN99" s="518"/>
      <c r="AO99" s="518"/>
      <c r="AP99" s="518"/>
      <c r="AQ99" s="518"/>
      <c r="AR99" s="518"/>
      <c r="AS99" s="518"/>
      <c r="AT99" s="518"/>
    </row>
    <row r="100" spans="1:1025" s="272" customFormat="1" hidden="1">
      <c r="A100" s="546"/>
      <c r="B100" s="1456"/>
      <c r="C100" s="1456"/>
      <c r="D100" s="1456"/>
      <c r="E100" s="1456"/>
      <c r="F100" s="1456"/>
      <c r="G100" s="1457"/>
      <c r="H100" s="1457"/>
      <c r="I100" s="396"/>
      <c r="J100" s="1460"/>
      <c r="V100" s="517"/>
      <c r="W100" s="517"/>
      <c r="X100" s="517"/>
      <c r="AB100" s="518"/>
      <c r="AC100" s="519"/>
      <c r="AD100" s="1455"/>
      <c r="AE100" s="1455"/>
      <c r="AF100" s="1455"/>
      <c r="AG100" s="1455"/>
      <c r="AH100" s="1455"/>
      <c r="AI100" s="1455"/>
      <c r="AJ100" s="1455"/>
      <c r="AK100" s="1455"/>
      <c r="AL100" s="1455"/>
      <c r="AM100" s="518"/>
      <c r="AN100" s="518"/>
      <c r="AO100" s="518"/>
      <c r="AP100" s="518"/>
      <c r="AQ100" s="518"/>
      <c r="AR100" s="518"/>
      <c r="AS100" s="518"/>
      <c r="AT100" s="518"/>
    </row>
    <row r="101" spans="1:1025" s="272" customFormat="1" hidden="1">
      <c r="A101" s="546"/>
      <c r="B101" s="1456"/>
      <c r="C101" s="1456"/>
      <c r="D101" s="1456"/>
      <c r="E101" s="1456"/>
      <c r="F101" s="1456"/>
      <c r="G101" s="1456"/>
      <c r="H101" s="1456"/>
      <c r="I101" s="396"/>
      <c r="J101" s="1460"/>
      <c r="V101" s="517"/>
      <c r="W101" s="517"/>
      <c r="X101" s="517"/>
      <c r="AB101" s="518"/>
      <c r="AC101" s="519"/>
      <c r="AD101" s="1455"/>
      <c r="AE101" s="1455"/>
      <c r="AF101" s="1455"/>
      <c r="AG101" s="1455"/>
      <c r="AH101" s="1455"/>
      <c r="AI101" s="1455"/>
      <c r="AJ101" s="1455"/>
      <c r="AK101" s="1455"/>
      <c r="AL101" s="1455"/>
      <c r="AM101" s="518"/>
      <c r="AN101" s="518"/>
      <c r="AO101" s="518"/>
      <c r="AP101" s="518"/>
      <c r="AQ101" s="518"/>
      <c r="AR101" s="518"/>
      <c r="AS101" s="518"/>
      <c r="AT101" s="518"/>
    </row>
    <row r="102" spans="1:1025" s="272" customFormat="1">
      <c r="A102" s="546"/>
      <c r="B102" s="1456"/>
      <c r="C102" s="1456"/>
      <c r="D102" s="1456"/>
      <c r="E102" s="1457"/>
      <c r="F102" s="1458"/>
      <c r="G102" s="1457"/>
      <c r="H102" s="1457"/>
      <c r="I102" s="396"/>
      <c r="J102" s="1460"/>
      <c r="V102" s="517"/>
      <c r="W102" s="517"/>
      <c r="X102" s="517"/>
      <c r="AB102" s="518"/>
      <c r="AC102" s="519"/>
      <c r="AD102" s="1455"/>
      <c r="AE102" s="1455"/>
      <c r="AF102" s="1455"/>
      <c r="AG102" s="1455"/>
      <c r="AH102" s="1455"/>
      <c r="AI102" s="1455"/>
      <c r="AJ102" s="1455"/>
      <c r="AK102" s="1455"/>
      <c r="AL102" s="1455"/>
      <c r="AM102" s="518"/>
      <c r="AN102" s="518"/>
      <c r="AO102" s="518"/>
      <c r="AP102" s="518"/>
      <c r="AQ102" s="518"/>
      <c r="AR102" s="518"/>
      <c r="AS102" s="518"/>
      <c r="AT102" s="518"/>
    </row>
    <row r="103" spans="1:1025" s="272" customFormat="1">
      <c r="A103" s="1440"/>
      <c r="B103" s="1456"/>
      <c r="C103" s="1456"/>
      <c r="D103" s="1456"/>
      <c r="E103" s="1457"/>
      <c r="F103" s="1459"/>
      <c r="G103" s="1457"/>
      <c r="H103" s="1457"/>
      <c r="I103" s="396"/>
      <c r="J103" s="396"/>
      <c r="V103" s="517"/>
      <c r="W103" s="517"/>
      <c r="X103" s="517"/>
      <c r="AB103" s="518"/>
      <c r="AC103" s="519"/>
      <c r="AD103" s="1455"/>
      <c r="AE103" s="1455"/>
      <c r="AF103" s="1455"/>
      <c r="AG103" s="1455"/>
      <c r="AH103" s="1455"/>
      <c r="AI103" s="1455"/>
      <c r="AJ103" s="1455"/>
      <c r="AK103" s="1455"/>
      <c r="AL103" s="1455"/>
      <c r="AM103" s="518"/>
      <c r="AN103" s="518"/>
      <c r="AO103" s="518"/>
      <c r="AP103" s="518"/>
      <c r="AQ103" s="518"/>
      <c r="AR103" s="518"/>
      <c r="AS103" s="518"/>
      <c r="AT103" s="518"/>
    </row>
    <row r="104" spans="1:1025" s="272" customFormat="1">
      <c r="A104" s="1440"/>
      <c r="B104" s="1456"/>
      <c r="C104" s="1456"/>
      <c r="D104" s="1456"/>
      <c r="E104" s="1457"/>
      <c r="F104" s="1458"/>
      <c r="G104" s="1457"/>
      <c r="H104" s="1457"/>
      <c r="I104" s="516"/>
      <c r="V104" s="517"/>
      <c r="W104" s="517"/>
      <c r="X104" s="517"/>
      <c r="AB104" s="518"/>
      <c r="AC104" s="519"/>
      <c r="AD104" s="1455"/>
      <c r="AE104" s="1455"/>
      <c r="AF104" s="1455"/>
      <c r="AG104" s="1455"/>
      <c r="AH104" s="1455"/>
      <c r="AI104" s="1455"/>
      <c r="AJ104" s="1455"/>
      <c r="AK104" s="1455"/>
      <c r="AL104" s="1455"/>
      <c r="AM104" s="518"/>
      <c r="AN104" s="518"/>
      <c r="AO104" s="518"/>
      <c r="AP104" s="518"/>
      <c r="AQ104" s="518"/>
      <c r="AR104" s="518"/>
      <c r="AS104" s="518"/>
      <c r="AT104" s="518"/>
    </row>
    <row r="105" spans="1:1025" s="272" customFormat="1" ht="23.25">
      <c r="A105" s="1440"/>
      <c r="B105" s="1456"/>
      <c r="C105" s="1456"/>
      <c r="D105" s="1456"/>
      <c r="E105" s="516"/>
      <c r="F105" s="2062" t="s">
        <v>670</v>
      </c>
      <c r="G105" s="2062"/>
      <c r="H105" s="2062"/>
      <c r="I105" s="516"/>
      <c r="V105" s="517"/>
      <c r="W105" s="517"/>
      <c r="X105" s="517"/>
      <c r="AB105" s="518"/>
      <c r="AC105" s="519"/>
      <c r="AD105" s="1455"/>
      <c r="AE105" s="1455"/>
      <c r="AF105" s="1455"/>
      <c r="AG105" s="1455"/>
      <c r="AH105" s="1455"/>
      <c r="AI105" s="1455"/>
      <c r="AJ105" s="1455"/>
      <c r="AK105" s="1455"/>
      <c r="AL105" s="1455"/>
      <c r="AM105" s="518"/>
      <c r="AN105" s="518"/>
      <c r="AO105" s="518"/>
      <c r="AP105" s="518"/>
      <c r="AQ105" s="518"/>
      <c r="AR105" s="518"/>
      <c r="AS105" s="518"/>
      <c r="AT105" s="518"/>
    </row>
    <row r="106" spans="1:1025" s="272" customFormat="1" ht="23.25">
      <c r="B106" s="1456"/>
      <c r="C106" s="1456"/>
      <c r="D106" s="1456"/>
      <c r="E106" s="516"/>
      <c r="F106" s="1456"/>
      <c r="G106" s="741" t="s">
        <v>788</v>
      </c>
      <c r="H106" s="516"/>
      <c r="I106" s="516"/>
      <c r="V106" s="517"/>
      <c r="W106" s="517"/>
      <c r="X106" s="517"/>
      <c r="AB106" s="518"/>
      <c r="AC106" s="519"/>
      <c r="AD106" s="1455"/>
      <c r="AE106" s="1455"/>
      <c r="AF106" s="1455"/>
      <c r="AG106" s="1455"/>
      <c r="AH106" s="1455"/>
      <c r="AI106" s="1455"/>
      <c r="AJ106" s="1455"/>
      <c r="AK106" s="1455"/>
      <c r="AL106" s="1455"/>
      <c r="AM106" s="518"/>
      <c r="AN106" s="518"/>
      <c r="AO106" s="518"/>
      <c r="AP106" s="518"/>
      <c r="AQ106" s="518"/>
      <c r="AR106" s="518"/>
      <c r="AS106" s="518"/>
      <c r="AT106" s="518"/>
    </row>
    <row r="107" spans="1:1025" s="272" customFormat="1" ht="23.25">
      <c r="A107" s="272">
        <v>49</v>
      </c>
      <c r="B107" s="1456"/>
      <c r="C107" s="1456"/>
      <c r="D107" s="1456"/>
      <c r="E107" s="1440"/>
      <c r="F107" s="2062" t="s">
        <v>671</v>
      </c>
      <c r="G107" s="2062"/>
      <c r="H107" s="2062"/>
      <c r="J107" s="272" t="s">
        <v>668</v>
      </c>
      <c r="O107" s="272" t="s">
        <v>669</v>
      </c>
      <c r="V107" s="517"/>
      <c r="W107" s="517"/>
      <c r="X107" s="517"/>
      <c r="AB107" s="518"/>
      <c r="AC107" s="519"/>
      <c r="AD107" s="1455"/>
      <c r="AE107" s="1455"/>
      <c r="AF107" s="1455"/>
      <c r="AG107" s="1455"/>
      <c r="AH107" s="1455"/>
      <c r="AI107" s="1455"/>
      <c r="AJ107" s="1455"/>
      <c r="AK107" s="1455"/>
      <c r="AL107" s="1455"/>
      <c r="AM107" s="518"/>
      <c r="AN107" s="518"/>
      <c r="AO107" s="518"/>
      <c r="AP107" s="518"/>
      <c r="AQ107" s="518"/>
      <c r="AR107" s="518"/>
      <c r="AS107" s="518"/>
      <c r="AT107" s="518"/>
    </row>
    <row r="108" spans="1:1025">
      <c r="G108" s="742" t="s">
        <v>810</v>
      </c>
      <c r="J108" s="146">
        <f>G74</f>
        <v>2514309.1958500589</v>
      </c>
      <c r="O108" s="146">
        <f>H74</f>
        <v>1669120.7125276423</v>
      </c>
      <c r="AU108" s="621"/>
      <c r="AV108" s="621"/>
      <c r="AW108" s="621"/>
      <c r="AX108" s="621"/>
      <c r="AY108" s="621"/>
      <c r="AZ108" s="621"/>
      <c r="BA108" s="621"/>
      <c r="BB108" s="621"/>
      <c r="BC108" s="621"/>
      <c r="BD108" s="621"/>
      <c r="BE108" s="621"/>
      <c r="BF108" s="621"/>
      <c r="BG108" s="621"/>
      <c r="BH108" s="621"/>
      <c r="BI108" s="621"/>
      <c r="BJ108" s="621"/>
      <c r="BK108" s="621"/>
      <c r="BL108" s="621"/>
      <c r="BM108" s="621"/>
      <c r="BN108" s="621"/>
      <c r="BO108" s="621"/>
      <c r="BP108" s="621"/>
      <c r="BQ108" s="621"/>
      <c r="BR108" s="621"/>
      <c r="BS108" s="621"/>
      <c r="BT108" s="621"/>
      <c r="BU108" s="621"/>
      <c r="BV108" s="621"/>
      <c r="BW108" s="621"/>
      <c r="BX108" s="621"/>
      <c r="BY108" s="621"/>
      <c r="BZ108" s="621"/>
      <c r="CA108" s="621"/>
      <c r="CB108" s="621"/>
      <c r="CC108" s="621"/>
      <c r="CD108" s="621"/>
      <c r="CE108" s="621"/>
      <c r="CF108" s="621"/>
      <c r="CG108" s="621"/>
      <c r="CH108" s="621"/>
      <c r="CI108" s="621"/>
      <c r="CJ108" s="621"/>
      <c r="CK108" s="621"/>
      <c r="CL108" s="621"/>
      <c r="CM108" s="621"/>
      <c r="CN108" s="621"/>
      <c r="CO108" s="621"/>
      <c r="CP108" s="621"/>
      <c r="CQ108" s="621"/>
      <c r="CR108" s="621"/>
      <c r="CS108" s="621"/>
      <c r="CT108" s="621"/>
      <c r="CU108" s="621"/>
      <c r="CV108" s="621"/>
      <c r="CW108" s="621"/>
      <c r="CX108" s="621"/>
      <c r="CY108" s="621"/>
      <c r="CZ108" s="621"/>
      <c r="DA108" s="621"/>
      <c r="DB108" s="621"/>
      <c r="DC108" s="621"/>
      <c r="DD108" s="621"/>
      <c r="DE108" s="621"/>
      <c r="DF108" s="621"/>
      <c r="DG108" s="621"/>
      <c r="DH108" s="621"/>
      <c r="DI108" s="621"/>
      <c r="DJ108" s="621"/>
      <c r="DK108" s="621"/>
      <c r="DL108" s="621"/>
      <c r="DM108" s="621"/>
      <c r="DN108" s="621"/>
      <c r="DO108" s="621"/>
      <c r="DP108" s="621"/>
      <c r="DQ108" s="621"/>
      <c r="DR108" s="621"/>
      <c r="DS108" s="621"/>
      <c r="DT108" s="621"/>
      <c r="DU108" s="621"/>
      <c r="DV108" s="621"/>
      <c r="DW108" s="621"/>
      <c r="DX108" s="621"/>
      <c r="DY108" s="621"/>
      <c r="DZ108" s="621"/>
      <c r="EA108" s="621"/>
      <c r="EB108" s="621"/>
      <c r="EC108" s="621"/>
      <c r="ED108" s="621"/>
      <c r="EE108" s="621"/>
      <c r="EF108" s="621"/>
      <c r="EG108" s="621"/>
      <c r="EH108" s="621"/>
      <c r="EI108" s="621"/>
      <c r="EJ108" s="621"/>
      <c r="EK108" s="621"/>
      <c r="EL108" s="621"/>
      <c r="EM108" s="621"/>
      <c r="EN108" s="621"/>
      <c r="EO108" s="621"/>
      <c r="EP108" s="621"/>
      <c r="EQ108" s="621"/>
      <c r="ER108" s="621"/>
      <c r="ES108" s="621"/>
      <c r="ET108" s="621"/>
      <c r="EU108" s="621"/>
      <c r="EV108" s="621"/>
      <c r="EW108" s="621"/>
      <c r="EX108" s="621"/>
      <c r="EY108" s="621"/>
      <c r="EZ108" s="621"/>
      <c r="FA108" s="621"/>
      <c r="FB108" s="621"/>
      <c r="FC108" s="621"/>
      <c r="FD108" s="621"/>
      <c r="FE108" s="621"/>
      <c r="FF108" s="621"/>
      <c r="FG108" s="621"/>
      <c r="FH108" s="621"/>
      <c r="FI108" s="621"/>
      <c r="FJ108" s="621"/>
      <c r="FK108" s="621"/>
      <c r="FL108" s="621"/>
      <c r="FM108" s="621"/>
      <c r="FN108" s="621"/>
      <c r="FO108" s="621"/>
      <c r="FP108" s="621"/>
      <c r="FQ108" s="621"/>
      <c r="FR108" s="621"/>
      <c r="FS108" s="621"/>
      <c r="FT108" s="621"/>
      <c r="FU108" s="621"/>
      <c r="FV108" s="621"/>
      <c r="FW108" s="621"/>
      <c r="FX108" s="621"/>
      <c r="FY108" s="621"/>
      <c r="FZ108" s="621"/>
      <c r="GA108" s="621"/>
      <c r="GB108" s="621"/>
      <c r="GC108" s="621"/>
      <c r="GD108" s="621"/>
      <c r="GE108" s="621"/>
      <c r="GF108" s="621"/>
      <c r="GG108" s="621"/>
      <c r="GH108" s="621"/>
      <c r="GI108" s="621"/>
      <c r="GJ108" s="621"/>
      <c r="GK108" s="621"/>
      <c r="GL108" s="621"/>
      <c r="GM108" s="621"/>
      <c r="GN108" s="621"/>
      <c r="GO108" s="621"/>
      <c r="GP108" s="621"/>
      <c r="GQ108" s="621"/>
      <c r="GR108" s="621"/>
      <c r="GS108" s="621"/>
      <c r="GT108" s="621"/>
      <c r="GU108" s="621"/>
      <c r="GV108" s="621"/>
      <c r="GW108" s="621"/>
      <c r="GX108" s="621"/>
      <c r="GY108" s="621"/>
      <c r="GZ108" s="621"/>
      <c r="HA108" s="621"/>
      <c r="HB108" s="621"/>
      <c r="HC108" s="621"/>
      <c r="HD108" s="621"/>
      <c r="HE108" s="621"/>
      <c r="HF108" s="621"/>
      <c r="HG108" s="621"/>
      <c r="HH108" s="621"/>
      <c r="HI108" s="621"/>
      <c r="HJ108" s="621"/>
      <c r="HK108" s="621"/>
      <c r="HL108" s="621"/>
      <c r="HM108" s="621"/>
      <c r="HN108" s="621"/>
      <c r="HO108" s="621"/>
      <c r="HP108" s="621"/>
      <c r="HQ108" s="621"/>
      <c r="HR108" s="621"/>
      <c r="HS108" s="621"/>
      <c r="HT108" s="621"/>
      <c r="HU108" s="621"/>
      <c r="HV108" s="621"/>
      <c r="HW108" s="621"/>
      <c r="HX108" s="621"/>
      <c r="HY108" s="621"/>
      <c r="HZ108" s="621"/>
      <c r="IA108" s="621"/>
      <c r="IB108" s="621"/>
      <c r="IC108" s="621"/>
      <c r="ID108" s="621"/>
      <c r="IE108" s="621"/>
      <c r="IF108" s="621"/>
      <c r="IG108" s="621"/>
      <c r="IH108" s="621"/>
      <c r="II108" s="621"/>
      <c r="IJ108" s="621"/>
      <c r="IK108" s="621"/>
      <c r="IL108" s="621"/>
      <c r="IM108" s="621"/>
      <c r="IN108" s="621"/>
      <c r="IO108" s="621"/>
      <c r="IP108" s="621"/>
      <c r="IQ108" s="621"/>
      <c r="IR108" s="621"/>
      <c r="IS108" s="621"/>
      <c r="IT108" s="621"/>
      <c r="IU108" s="621"/>
      <c r="IV108" s="621"/>
      <c r="IW108" s="621"/>
      <c r="IX108" s="621"/>
      <c r="IY108" s="621"/>
      <c r="IZ108" s="621"/>
      <c r="JA108" s="621"/>
      <c r="JB108" s="621"/>
      <c r="JC108" s="621"/>
      <c r="JD108" s="621"/>
      <c r="JE108" s="621"/>
      <c r="JF108" s="621"/>
      <c r="JG108" s="621"/>
      <c r="JH108" s="621"/>
      <c r="JI108" s="621"/>
      <c r="JJ108" s="621"/>
      <c r="JK108" s="621"/>
      <c r="JL108" s="621"/>
      <c r="JM108" s="621"/>
      <c r="JN108" s="621"/>
      <c r="JO108" s="621"/>
      <c r="JP108" s="621"/>
      <c r="JQ108" s="621"/>
      <c r="JR108" s="621"/>
      <c r="JS108" s="621"/>
      <c r="JT108" s="621"/>
      <c r="JU108" s="621"/>
      <c r="JV108" s="621"/>
      <c r="JW108" s="621"/>
      <c r="JX108" s="621"/>
      <c r="JY108" s="621"/>
      <c r="JZ108" s="621"/>
      <c r="KA108" s="621"/>
      <c r="KB108" s="621"/>
      <c r="KC108" s="621"/>
      <c r="KD108" s="621"/>
      <c r="KE108" s="621"/>
      <c r="KF108" s="621"/>
      <c r="KG108" s="621"/>
      <c r="KH108" s="621"/>
      <c r="KI108" s="621"/>
      <c r="KJ108" s="621"/>
      <c r="KK108" s="621"/>
      <c r="KL108" s="621"/>
      <c r="KM108" s="621"/>
      <c r="KN108" s="621"/>
      <c r="KO108" s="621"/>
      <c r="KP108" s="621"/>
      <c r="KQ108" s="621"/>
      <c r="KR108" s="621"/>
      <c r="KS108" s="621"/>
      <c r="KT108" s="621"/>
      <c r="KU108" s="621"/>
      <c r="KV108" s="621"/>
      <c r="KW108" s="621"/>
      <c r="KX108" s="621"/>
      <c r="KY108" s="621"/>
      <c r="KZ108" s="621"/>
      <c r="LA108" s="621"/>
      <c r="LB108" s="621"/>
      <c r="LC108" s="621"/>
      <c r="LD108" s="621"/>
      <c r="LE108" s="621"/>
      <c r="LF108" s="621"/>
      <c r="LG108" s="621"/>
      <c r="LH108" s="621"/>
      <c r="LI108" s="621"/>
      <c r="LJ108" s="621"/>
      <c r="LK108" s="621"/>
      <c r="LL108" s="621"/>
      <c r="LM108" s="621"/>
      <c r="LN108" s="621"/>
      <c r="LO108" s="621"/>
      <c r="LP108" s="621"/>
      <c r="LQ108" s="621"/>
      <c r="LR108" s="621"/>
      <c r="LS108" s="621"/>
      <c r="LT108" s="621"/>
      <c r="LU108" s="621"/>
      <c r="LV108" s="621"/>
      <c r="LW108" s="621"/>
      <c r="LX108" s="621"/>
      <c r="LY108" s="621"/>
      <c r="LZ108" s="621"/>
      <c r="MA108" s="621"/>
      <c r="MB108" s="621"/>
      <c r="MC108" s="621"/>
      <c r="MD108" s="621"/>
      <c r="ME108" s="621"/>
      <c r="MF108" s="621"/>
      <c r="MG108" s="621"/>
      <c r="MH108" s="621"/>
      <c r="MI108" s="621"/>
      <c r="MJ108" s="621"/>
      <c r="MK108" s="621"/>
      <c r="ML108" s="621"/>
      <c r="MM108" s="621"/>
      <c r="MN108" s="621"/>
      <c r="MO108" s="621"/>
      <c r="MP108" s="621"/>
      <c r="MQ108" s="621"/>
      <c r="MR108" s="621"/>
      <c r="MS108" s="621"/>
      <c r="MT108" s="621"/>
      <c r="MU108" s="621"/>
      <c r="MV108" s="621"/>
      <c r="MW108" s="621"/>
      <c r="MX108" s="621"/>
      <c r="MY108" s="621"/>
      <c r="MZ108" s="621"/>
      <c r="NA108" s="621"/>
      <c r="NB108" s="621"/>
      <c r="NC108" s="621"/>
      <c r="ND108" s="621"/>
      <c r="NE108" s="621"/>
      <c r="NF108" s="621"/>
      <c r="NG108" s="621"/>
      <c r="NH108" s="621"/>
      <c r="NI108" s="621"/>
      <c r="NJ108" s="621"/>
      <c r="NK108" s="621"/>
      <c r="NL108" s="621"/>
      <c r="NM108" s="621"/>
      <c r="NN108" s="621"/>
      <c r="NO108" s="621"/>
      <c r="NP108" s="621"/>
      <c r="NQ108" s="621"/>
      <c r="NR108" s="621"/>
      <c r="NS108" s="621"/>
      <c r="NT108" s="621"/>
      <c r="NU108" s="621"/>
      <c r="NV108" s="621"/>
      <c r="NW108" s="621"/>
      <c r="NX108" s="621"/>
      <c r="NY108" s="621"/>
      <c r="NZ108" s="621"/>
      <c r="OA108" s="621"/>
      <c r="OB108" s="621"/>
      <c r="OC108" s="621"/>
      <c r="OD108" s="621"/>
      <c r="OE108" s="621"/>
      <c r="OF108" s="621"/>
      <c r="OG108" s="621"/>
      <c r="OH108" s="621"/>
      <c r="OI108" s="621"/>
      <c r="OJ108" s="621"/>
      <c r="OK108" s="621"/>
      <c r="OL108" s="621"/>
      <c r="OM108" s="621"/>
      <c r="ON108" s="621"/>
      <c r="OO108" s="621"/>
      <c r="OP108" s="621"/>
      <c r="OQ108" s="621"/>
      <c r="OR108" s="621"/>
      <c r="OS108" s="621"/>
      <c r="OT108" s="621"/>
      <c r="OU108" s="621"/>
      <c r="OV108" s="621"/>
      <c r="OW108" s="621"/>
      <c r="OX108" s="621"/>
      <c r="OY108" s="621"/>
      <c r="OZ108" s="621"/>
      <c r="PA108" s="621"/>
      <c r="PB108" s="621"/>
      <c r="PC108" s="621"/>
      <c r="PD108" s="621"/>
      <c r="PE108" s="621"/>
      <c r="PF108" s="621"/>
      <c r="PG108" s="621"/>
      <c r="PH108" s="621"/>
      <c r="PI108" s="621"/>
      <c r="PJ108" s="621"/>
      <c r="PK108" s="621"/>
      <c r="PL108" s="621"/>
      <c r="PM108" s="621"/>
      <c r="PN108" s="621"/>
      <c r="PO108" s="621"/>
      <c r="PP108" s="621"/>
      <c r="PQ108" s="621"/>
      <c r="PR108" s="621"/>
      <c r="PS108" s="621"/>
      <c r="PT108" s="621"/>
      <c r="PU108" s="621"/>
      <c r="PV108" s="621"/>
      <c r="PW108" s="621"/>
      <c r="PX108" s="621"/>
      <c r="PY108" s="621"/>
      <c r="PZ108" s="621"/>
      <c r="QA108" s="621"/>
      <c r="QB108" s="621"/>
      <c r="QC108" s="621"/>
      <c r="QD108" s="621"/>
      <c r="QE108" s="621"/>
      <c r="QF108" s="621"/>
      <c r="QG108" s="621"/>
      <c r="QH108" s="621"/>
      <c r="QI108" s="621"/>
      <c r="QJ108" s="621"/>
      <c r="QK108" s="621"/>
      <c r="QL108" s="621"/>
      <c r="QM108" s="621"/>
      <c r="QN108" s="621"/>
      <c r="QO108" s="621"/>
      <c r="QP108" s="621"/>
      <c r="QQ108" s="621"/>
      <c r="QR108" s="621"/>
      <c r="QS108" s="621"/>
      <c r="QT108" s="621"/>
      <c r="QU108" s="621"/>
      <c r="QV108" s="621"/>
      <c r="QW108" s="621"/>
      <c r="QX108" s="621"/>
      <c r="QY108" s="621"/>
      <c r="QZ108" s="621"/>
      <c r="RA108" s="621"/>
      <c r="RB108" s="621"/>
      <c r="RC108" s="621"/>
      <c r="RD108" s="621"/>
      <c r="RE108" s="621"/>
      <c r="RF108" s="621"/>
      <c r="RG108" s="621"/>
      <c r="RH108" s="621"/>
      <c r="RI108" s="621"/>
      <c r="RJ108" s="621"/>
      <c r="RK108" s="621"/>
      <c r="RL108" s="621"/>
      <c r="RM108" s="621"/>
      <c r="RN108" s="621"/>
      <c r="RO108" s="621"/>
      <c r="RP108" s="621"/>
      <c r="RQ108" s="621"/>
      <c r="RR108" s="621"/>
      <c r="RS108" s="621"/>
      <c r="RT108" s="621"/>
      <c r="RU108" s="621"/>
      <c r="RV108" s="621"/>
      <c r="RW108" s="621"/>
      <c r="RX108" s="621"/>
      <c r="RY108" s="621"/>
      <c r="RZ108" s="621"/>
      <c r="SA108" s="621"/>
      <c r="SB108" s="621"/>
      <c r="SC108" s="621"/>
      <c r="SD108" s="621"/>
      <c r="SE108" s="621"/>
      <c r="SF108" s="621"/>
      <c r="SG108" s="621"/>
      <c r="SH108" s="621"/>
      <c r="SI108" s="621"/>
      <c r="SJ108" s="621"/>
      <c r="SK108" s="621"/>
      <c r="SL108" s="621"/>
      <c r="SM108" s="621"/>
      <c r="SN108" s="621"/>
      <c r="SO108" s="621"/>
      <c r="SP108" s="621"/>
      <c r="SQ108" s="621"/>
      <c r="SR108" s="621"/>
      <c r="SS108" s="621"/>
      <c r="ST108" s="621"/>
      <c r="SU108" s="621"/>
      <c r="SV108" s="621"/>
      <c r="SW108" s="621"/>
      <c r="SX108" s="621"/>
      <c r="SY108" s="621"/>
      <c r="SZ108" s="621"/>
      <c r="TA108" s="621"/>
      <c r="TB108" s="621"/>
      <c r="TC108" s="621"/>
      <c r="TD108" s="621"/>
      <c r="TE108" s="621"/>
      <c r="TF108" s="621"/>
      <c r="TG108" s="621"/>
      <c r="TH108" s="621"/>
      <c r="TI108" s="621"/>
      <c r="TJ108" s="621"/>
      <c r="TK108" s="621"/>
      <c r="TL108" s="621"/>
      <c r="TM108" s="621"/>
      <c r="TN108" s="621"/>
      <c r="TO108" s="621"/>
      <c r="TP108" s="621"/>
      <c r="TQ108" s="621"/>
      <c r="TR108" s="621"/>
      <c r="TS108" s="621"/>
      <c r="TT108" s="621"/>
      <c r="TU108" s="621"/>
      <c r="TV108" s="621"/>
      <c r="TW108" s="621"/>
      <c r="TX108" s="621"/>
      <c r="TY108" s="621"/>
      <c r="TZ108" s="621"/>
      <c r="UA108" s="621"/>
      <c r="UB108" s="621"/>
      <c r="UC108" s="621"/>
      <c r="UD108" s="621"/>
      <c r="UE108" s="621"/>
      <c r="UF108" s="621"/>
      <c r="UG108" s="621"/>
      <c r="UH108" s="621"/>
      <c r="UI108" s="621"/>
      <c r="UJ108" s="621"/>
      <c r="UK108" s="621"/>
      <c r="UL108" s="621"/>
      <c r="UM108" s="621"/>
      <c r="UN108" s="621"/>
      <c r="UO108" s="621"/>
      <c r="UP108" s="621"/>
      <c r="UQ108" s="621"/>
      <c r="UR108" s="621"/>
      <c r="US108" s="621"/>
      <c r="UT108" s="621"/>
      <c r="UU108" s="621"/>
      <c r="UV108" s="621"/>
      <c r="UW108" s="621"/>
      <c r="UX108" s="621"/>
      <c r="UY108" s="621"/>
      <c r="UZ108" s="621"/>
      <c r="VA108" s="621"/>
      <c r="VB108" s="621"/>
      <c r="VC108" s="621"/>
      <c r="VD108" s="621"/>
      <c r="VE108" s="621"/>
      <c r="VF108" s="621"/>
      <c r="VG108" s="621"/>
      <c r="VH108" s="621"/>
      <c r="VI108" s="621"/>
      <c r="VJ108" s="621"/>
      <c r="VK108" s="621"/>
      <c r="VL108" s="621"/>
      <c r="VM108" s="621"/>
      <c r="VN108" s="621"/>
      <c r="VO108" s="621"/>
      <c r="VP108" s="621"/>
      <c r="VQ108" s="621"/>
      <c r="VR108" s="621"/>
      <c r="VS108" s="621"/>
      <c r="VT108" s="621"/>
      <c r="VU108" s="621"/>
      <c r="VV108" s="621"/>
      <c r="VW108" s="621"/>
      <c r="VX108" s="621"/>
      <c r="VY108" s="621"/>
      <c r="VZ108" s="621"/>
      <c r="WA108" s="621"/>
      <c r="WB108" s="621"/>
      <c r="WC108" s="621"/>
      <c r="WD108" s="621"/>
      <c r="WE108" s="621"/>
      <c r="WF108" s="621"/>
      <c r="WG108" s="621"/>
      <c r="WH108" s="621"/>
      <c r="WI108" s="621"/>
      <c r="WJ108" s="621"/>
      <c r="WK108" s="621"/>
      <c r="WL108" s="621"/>
      <c r="WM108" s="621"/>
      <c r="WN108" s="621"/>
      <c r="WO108" s="621"/>
      <c r="WP108" s="621"/>
      <c r="WQ108" s="621"/>
      <c r="WR108" s="621"/>
      <c r="WS108" s="621"/>
      <c r="WT108" s="621"/>
      <c r="WU108" s="621"/>
      <c r="WV108" s="621"/>
      <c r="WW108" s="621"/>
      <c r="WX108" s="621"/>
      <c r="WY108" s="621"/>
      <c r="WZ108" s="621"/>
      <c r="XA108" s="621"/>
      <c r="XB108" s="621"/>
      <c r="XC108" s="621"/>
      <c r="XD108" s="621"/>
      <c r="XE108" s="621"/>
      <c r="XF108" s="621"/>
      <c r="XG108" s="621"/>
      <c r="XH108" s="621"/>
      <c r="XI108" s="621"/>
      <c r="XJ108" s="621"/>
      <c r="XK108" s="621"/>
      <c r="XL108" s="621"/>
      <c r="XM108" s="621"/>
      <c r="XN108" s="621"/>
      <c r="XO108" s="621"/>
      <c r="XP108" s="621"/>
      <c r="XQ108" s="621"/>
      <c r="XR108" s="621"/>
      <c r="XS108" s="621"/>
      <c r="XT108" s="621"/>
      <c r="XU108" s="621"/>
      <c r="XV108" s="621"/>
      <c r="XW108" s="621"/>
      <c r="XX108" s="621"/>
      <c r="XY108" s="621"/>
      <c r="XZ108" s="621"/>
      <c r="YA108" s="621"/>
      <c r="YB108" s="621"/>
      <c r="YC108" s="621"/>
      <c r="YD108" s="621"/>
      <c r="YE108" s="621"/>
      <c r="YF108" s="621"/>
      <c r="YG108" s="621"/>
      <c r="YH108" s="621"/>
      <c r="YI108" s="621"/>
      <c r="YJ108" s="621"/>
      <c r="YK108" s="621"/>
      <c r="YL108" s="621"/>
      <c r="YM108" s="621"/>
      <c r="YN108" s="621"/>
      <c r="YO108" s="621"/>
      <c r="YP108" s="621"/>
      <c r="YQ108" s="621"/>
      <c r="YR108" s="621"/>
      <c r="YS108" s="621"/>
      <c r="YT108" s="621"/>
      <c r="YU108" s="621"/>
      <c r="YV108" s="621"/>
      <c r="YW108" s="621"/>
      <c r="YX108" s="621"/>
      <c r="YY108" s="621"/>
      <c r="YZ108" s="621"/>
      <c r="ZA108" s="621"/>
      <c r="ZB108" s="621"/>
      <c r="ZC108" s="621"/>
      <c r="ZD108" s="621"/>
      <c r="ZE108" s="621"/>
      <c r="ZF108" s="621"/>
      <c r="ZG108" s="621"/>
      <c r="ZH108" s="621"/>
      <c r="ZI108" s="621"/>
      <c r="ZJ108" s="621"/>
      <c r="ZK108" s="621"/>
      <c r="ZL108" s="621"/>
      <c r="ZM108" s="621"/>
      <c r="ZN108" s="621"/>
      <c r="ZO108" s="621"/>
      <c r="ZP108" s="621"/>
      <c r="ZQ108" s="621"/>
      <c r="ZR108" s="621"/>
      <c r="ZS108" s="621"/>
      <c r="ZT108" s="621"/>
      <c r="ZU108" s="621"/>
      <c r="ZV108" s="621"/>
      <c r="ZW108" s="621"/>
      <c r="ZX108" s="621"/>
      <c r="ZY108" s="621"/>
      <c r="ZZ108" s="621"/>
      <c r="AAA108" s="621"/>
      <c r="AAB108" s="621"/>
      <c r="AAC108" s="621"/>
      <c r="AAD108" s="621"/>
      <c r="AAE108" s="621"/>
      <c r="AAF108" s="621"/>
      <c r="AAG108" s="621"/>
      <c r="AAH108" s="621"/>
      <c r="AAI108" s="621"/>
      <c r="AAJ108" s="621"/>
      <c r="AAK108" s="621"/>
      <c r="AAL108" s="621"/>
      <c r="AAM108" s="621"/>
      <c r="AAN108" s="621"/>
      <c r="AAO108" s="621"/>
      <c r="AAP108" s="621"/>
      <c r="AAQ108" s="621"/>
      <c r="AAR108" s="621"/>
      <c r="AAS108" s="621"/>
      <c r="AAT108" s="621"/>
      <c r="AAU108" s="621"/>
      <c r="AAV108" s="621"/>
      <c r="AAW108" s="621"/>
      <c r="AAX108" s="621"/>
      <c r="AAY108" s="621"/>
      <c r="AAZ108" s="621"/>
      <c r="ABA108" s="621"/>
      <c r="ABB108" s="621"/>
      <c r="ABC108" s="621"/>
      <c r="ABD108" s="621"/>
      <c r="ABE108" s="621"/>
      <c r="ABF108" s="621"/>
      <c r="ABG108" s="621"/>
      <c r="ABH108" s="621"/>
      <c r="ABI108" s="621"/>
      <c r="ABJ108" s="621"/>
      <c r="ABK108" s="621"/>
      <c r="ABL108" s="621"/>
      <c r="ABM108" s="621"/>
      <c r="ABN108" s="621"/>
      <c r="ABO108" s="621"/>
      <c r="ABP108" s="621"/>
      <c r="ABQ108" s="621"/>
      <c r="ABR108" s="621"/>
      <c r="ABS108" s="621"/>
      <c r="ABT108" s="621"/>
      <c r="ABU108" s="621"/>
      <c r="ABV108" s="621"/>
      <c r="ABW108" s="621"/>
      <c r="ABX108" s="621"/>
      <c r="ABY108" s="621"/>
      <c r="ABZ108" s="621"/>
      <c r="ACA108" s="621"/>
      <c r="ACB108" s="621"/>
      <c r="ACC108" s="621"/>
      <c r="ACD108" s="621"/>
      <c r="ACE108" s="621"/>
      <c r="ACF108" s="621"/>
      <c r="ACG108" s="621"/>
      <c r="ACH108" s="621"/>
      <c r="ACI108" s="621"/>
      <c r="ACJ108" s="621"/>
      <c r="ACK108" s="621"/>
      <c r="ACL108" s="621"/>
      <c r="ACM108" s="621"/>
      <c r="ACN108" s="621"/>
      <c r="ACO108" s="621"/>
      <c r="ACP108" s="621"/>
      <c r="ACQ108" s="621"/>
      <c r="ACR108" s="621"/>
      <c r="ACS108" s="621"/>
      <c r="ACT108" s="621"/>
      <c r="ACU108" s="621"/>
      <c r="ACV108" s="621"/>
      <c r="ACW108" s="621"/>
      <c r="ACX108" s="621"/>
      <c r="ACY108" s="621"/>
      <c r="ACZ108" s="621"/>
      <c r="ADA108" s="621"/>
      <c r="ADB108" s="621"/>
      <c r="ADC108" s="621"/>
      <c r="ADD108" s="621"/>
      <c r="ADE108" s="621"/>
      <c r="ADF108" s="621"/>
      <c r="ADG108" s="621"/>
      <c r="ADH108" s="621"/>
      <c r="ADI108" s="621"/>
      <c r="ADJ108" s="621"/>
      <c r="ADK108" s="621"/>
      <c r="ADL108" s="621"/>
      <c r="ADM108" s="621"/>
      <c r="ADN108" s="621"/>
      <c r="ADO108" s="621"/>
      <c r="ADP108" s="621"/>
      <c r="ADQ108" s="621"/>
      <c r="ADR108" s="621"/>
      <c r="ADS108" s="621"/>
      <c r="ADT108" s="621"/>
      <c r="ADU108" s="621"/>
      <c r="ADV108" s="621"/>
      <c r="ADW108" s="621"/>
      <c r="ADX108" s="621"/>
      <c r="ADY108" s="621"/>
      <c r="ADZ108" s="621"/>
      <c r="AEA108" s="621"/>
      <c r="AEB108" s="621"/>
      <c r="AEC108" s="621"/>
      <c r="AED108" s="621"/>
      <c r="AEE108" s="621"/>
      <c r="AEF108" s="621"/>
      <c r="AEG108" s="621"/>
      <c r="AEH108" s="621"/>
      <c r="AEI108" s="621"/>
      <c r="AEJ108" s="621"/>
      <c r="AEK108" s="621"/>
      <c r="AEL108" s="621"/>
      <c r="AEM108" s="621"/>
      <c r="AEN108" s="621"/>
      <c r="AEO108" s="621"/>
      <c r="AEP108" s="621"/>
      <c r="AEQ108" s="621"/>
      <c r="AER108" s="621"/>
      <c r="AES108" s="621"/>
      <c r="AET108" s="621"/>
      <c r="AEU108" s="621"/>
      <c r="AEV108" s="621"/>
      <c r="AEW108" s="621"/>
      <c r="AEX108" s="621"/>
      <c r="AEY108" s="621"/>
      <c r="AEZ108" s="621"/>
      <c r="AFA108" s="621"/>
      <c r="AFB108" s="621"/>
      <c r="AFC108" s="621"/>
      <c r="AFD108" s="621"/>
      <c r="AFE108" s="621"/>
      <c r="AFF108" s="621"/>
      <c r="AFG108" s="621"/>
      <c r="AFH108" s="621"/>
      <c r="AFI108" s="621"/>
      <c r="AFJ108" s="621"/>
      <c r="AFK108" s="621"/>
      <c r="AFL108" s="621"/>
      <c r="AFM108" s="621"/>
      <c r="AFN108" s="621"/>
      <c r="AFO108" s="621"/>
      <c r="AFP108" s="621"/>
      <c r="AFQ108" s="621"/>
      <c r="AFR108" s="621"/>
      <c r="AFS108" s="621"/>
      <c r="AFT108" s="621"/>
      <c r="AFU108" s="621"/>
      <c r="AFV108" s="621"/>
      <c r="AFW108" s="621"/>
      <c r="AFX108" s="621"/>
      <c r="AFY108" s="621"/>
      <c r="AFZ108" s="621"/>
      <c r="AGA108" s="621"/>
      <c r="AGB108" s="621"/>
      <c r="AGC108" s="621"/>
      <c r="AGD108" s="621"/>
      <c r="AGE108" s="621"/>
      <c r="AGF108" s="621"/>
      <c r="AGG108" s="621"/>
      <c r="AGH108" s="621"/>
      <c r="AGI108" s="621"/>
      <c r="AGJ108" s="621"/>
      <c r="AGK108" s="621"/>
      <c r="AGL108" s="621"/>
      <c r="AGM108" s="621"/>
      <c r="AGN108" s="621"/>
      <c r="AGO108" s="621"/>
      <c r="AGP108" s="621"/>
      <c r="AGQ108" s="621"/>
      <c r="AGR108" s="621"/>
      <c r="AGS108" s="621"/>
      <c r="AGT108" s="621"/>
      <c r="AGU108" s="621"/>
      <c r="AGV108" s="621"/>
      <c r="AGW108" s="621"/>
      <c r="AGX108" s="621"/>
      <c r="AGY108" s="621"/>
      <c r="AGZ108" s="621"/>
      <c r="AHA108" s="621"/>
      <c r="AHB108" s="621"/>
      <c r="AHC108" s="621"/>
      <c r="AHD108" s="621"/>
      <c r="AHE108" s="621"/>
      <c r="AHF108" s="621"/>
      <c r="AHG108" s="621"/>
      <c r="AHH108" s="621"/>
      <c r="AHI108" s="621"/>
      <c r="AHJ108" s="621"/>
      <c r="AHK108" s="621"/>
      <c r="AHL108" s="621"/>
      <c r="AHM108" s="621"/>
      <c r="AHN108" s="621"/>
      <c r="AHO108" s="621"/>
      <c r="AHP108" s="621"/>
      <c r="AHQ108" s="621"/>
      <c r="AHR108" s="621"/>
      <c r="AHS108" s="621"/>
      <c r="AHT108" s="621"/>
      <c r="AHU108" s="621"/>
      <c r="AHV108" s="621"/>
      <c r="AHW108" s="621"/>
      <c r="AHX108" s="621"/>
      <c r="AHY108" s="621"/>
      <c r="AHZ108" s="621"/>
      <c r="AIA108" s="621"/>
      <c r="AIB108" s="621"/>
      <c r="AIC108" s="621"/>
      <c r="AID108" s="621"/>
      <c r="AIE108" s="621"/>
      <c r="AIF108" s="621"/>
      <c r="AIG108" s="621"/>
      <c r="AIH108" s="621"/>
      <c r="AII108" s="621"/>
      <c r="AIJ108" s="621"/>
      <c r="AIK108" s="621"/>
      <c r="AIL108" s="621"/>
      <c r="AIM108" s="621"/>
      <c r="AIN108" s="621"/>
      <c r="AIO108" s="621"/>
      <c r="AIP108" s="621"/>
      <c r="AIQ108" s="621"/>
      <c r="AIR108" s="621"/>
      <c r="AIS108" s="621"/>
      <c r="AIT108" s="621"/>
      <c r="AIU108" s="621"/>
      <c r="AIV108" s="621"/>
      <c r="AIW108" s="621"/>
      <c r="AIX108" s="621"/>
      <c r="AIY108" s="621"/>
      <c r="AIZ108" s="621"/>
      <c r="AJA108" s="621"/>
      <c r="AJB108" s="621"/>
      <c r="AJC108" s="621"/>
      <c r="AJD108" s="621"/>
      <c r="AJE108" s="621"/>
      <c r="AJF108" s="621"/>
      <c r="AJG108" s="621"/>
      <c r="AJH108" s="621"/>
      <c r="AJI108" s="621"/>
      <c r="AJJ108" s="621"/>
      <c r="AJK108" s="621"/>
      <c r="AJL108" s="621"/>
      <c r="AJM108" s="621"/>
      <c r="AJN108" s="621"/>
      <c r="AJO108" s="621"/>
      <c r="AJP108" s="621"/>
      <c r="AJQ108" s="621"/>
      <c r="AJR108" s="621"/>
      <c r="AJS108" s="621"/>
      <c r="AJT108" s="621"/>
      <c r="AJU108" s="621"/>
      <c r="AJV108" s="621"/>
      <c r="AJW108" s="621"/>
      <c r="AJX108" s="621"/>
      <c r="AJY108" s="621"/>
      <c r="AJZ108" s="621"/>
      <c r="AKA108" s="621"/>
      <c r="AKB108" s="621"/>
      <c r="AKC108" s="621"/>
      <c r="AKD108" s="621"/>
      <c r="AKE108" s="621"/>
      <c r="AKF108" s="621"/>
      <c r="AKG108" s="621"/>
      <c r="AKH108" s="621"/>
      <c r="AKI108" s="621"/>
      <c r="AKJ108" s="621"/>
      <c r="AKK108" s="621"/>
      <c r="AKL108" s="621"/>
      <c r="AKM108" s="621"/>
      <c r="AKN108" s="621"/>
      <c r="AKO108" s="621"/>
      <c r="AKP108" s="621"/>
      <c r="AKQ108" s="621"/>
      <c r="AKR108" s="621"/>
      <c r="AKS108" s="621"/>
      <c r="AKT108" s="621"/>
      <c r="AKU108" s="621"/>
      <c r="AKV108" s="621"/>
      <c r="AKW108" s="621"/>
      <c r="AKX108" s="621"/>
      <c r="AKY108" s="621"/>
      <c r="AKZ108" s="621"/>
      <c r="ALA108" s="621"/>
      <c r="ALB108" s="621"/>
      <c r="ALC108" s="621"/>
      <c r="ALD108" s="621"/>
      <c r="ALE108" s="621"/>
      <c r="ALF108" s="621"/>
      <c r="ALG108" s="621"/>
      <c r="ALH108" s="621"/>
      <c r="ALI108" s="621"/>
      <c r="ALJ108" s="621"/>
      <c r="ALK108" s="621"/>
      <c r="ALL108" s="621"/>
      <c r="ALM108" s="621"/>
      <c r="ALN108" s="621"/>
      <c r="ALO108" s="621"/>
      <c r="ALP108" s="621"/>
      <c r="ALQ108" s="621"/>
      <c r="ALR108" s="621"/>
      <c r="ALS108" s="621"/>
      <c r="ALT108" s="621"/>
      <c r="ALU108" s="621"/>
      <c r="ALV108" s="621"/>
      <c r="ALW108" s="621"/>
      <c r="ALX108" s="621"/>
      <c r="ALY108" s="621"/>
      <c r="ALZ108" s="621"/>
      <c r="AMA108" s="621"/>
      <c r="AMB108" s="621"/>
      <c r="AMC108" s="621"/>
      <c r="AMD108" s="621"/>
      <c r="AME108" s="621"/>
      <c r="AMF108" s="621"/>
      <c r="AMG108" s="621"/>
      <c r="AMH108" s="621"/>
      <c r="AMI108" s="621"/>
      <c r="AMJ108" s="621"/>
      <c r="AMK108" s="621"/>
    </row>
    <row r="109" spans="1:1025" ht="27" customHeight="1">
      <c r="F109" s="2062" t="s">
        <v>672</v>
      </c>
      <c r="G109" s="2062"/>
      <c r="H109" s="2062"/>
      <c r="AU109" s="621"/>
      <c r="AV109" s="621"/>
      <c r="AW109" s="621"/>
      <c r="AX109" s="621"/>
      <c r="AY109" s="621"/>
      <c r="AZ109" s="621"/>
      <c r="BA109" s="621"/>
      <c r="BB109" s="621"/>
      <c r="BC109" s="621"/>
      <c r="BD109" s="621"/>
      <c r="BE109" s="621"/>
      <c r="BF109" s="621"/>
      <c r="BG109" s="621"/>
      <c r="BH109" s="621"/>
      <c r="BI109" s="621"/>
      <c r="BJ109" s="621"/>
      <c r="BK109" s="621"/>
      <c r="BL109" s="621"/>
      <c r="BM109" s="621"/>
      <c r="BN109" s="621"/>
      <c r="BO109" s="621"/>
      <c r="BP109" s="621"/>
      <c r="BQ109" s="621"/>
      <c r="BR109" s="621"/>
      <c r="BS109" s="621"/>
      <c r="BT109" s="621"/>
      <c r="BU109" s="621"/>
      <c r="BV109" s="621"/>
      <c r="BW109" s="621"/>
      <c r="BX109" s="621"/>
      <c r="BY109" s="621"/>
      <c r="BZ109" s="621"/>
      <c r="CA109" s="621"/>
      <c r="CB109" s="621"/>
      <c r="CC109" s="621"/>
      <c r="CD109" s="621"/>
      <c r="CE109" s="621"/>
      <c r="CF109" s="621"/>
      <c r="CG109" s="621"/>
      <c r="CH109" s="621"/>
      <c r="CI109" s="621"/>
      <c r="CJ109" s="621"/>
      <c r="CK109" s="621"/>
      <c r="CL109" s="621"/>
      <c r="CM109" s="621"/>
      <c r="CN109" s="621"/>
      <c r="CO109" s="621"/>
      <c r="CP109" s="621"/>
      <c r="CQ109" s="621"/>
      <c r="CR109" s="621"/>
      <c r="CS109" s="621"/>
      <c r="CT109" s="621"/>
      <c r="CU109" s="621"/>
      <c r="CV109" s="621"/>
      <c r="CW109" s="621"/>
      <c r="CX109" s="621"/>
      <c r="CY109" s="621"/>
      <c r="CZ109" s="621"/>
      <c r="DA109" s="621"/>
      <c r="DB109" s="621"/>
      <c r="DC109" s="621"/>
      <c r="DD109" s="621"/>
      <c r="DE109" s="621"/>
      <c r="DF109" s="621"/>
      <c r="DG109" s="621"/>
      <c r="DH109" s="621"/>
      <c r="DI109" s="621"/>
      <c r="DJ109" s="621"/>
      <c r="DK109" s="621"/>
      <c r="DL109" s="621"/>
      <c r="DM109" s="621"/>
      <c r="DN109" s="621"/>
      <c r="DO109" s="621"/>
      <c r="DP109" s="621"/>
      <c r="DQ109" s="621"/>
      <c r="DR109" s="621"/>
      <c r="DS109" s="621"/>
      <c r="DT109" s="621"/>
      <c r="DU109" s="621"/>
      <c r="DV109" s="621"/>
      <c r="DW109" s="621"/>
      <c r="DX109" s="621"/>
      <c r="DY109" s="621"/>
      <c r="DZ109" s="621"/>
      <c r="EA109" s="621"/>
      <c r="EB109" s="621"/>
      <c r="EC109" s="621"/>
      <c r="ED109" s="621"/>
      <c r="EE109" s="621"/>
      <c r="EF109" s="621"/>
      <c r="EG109" s="621"/>
      <c r="EH109" s="621"/>
      <c r="EI109" s="621"/>
      <c r="EJ109" s="621"/>
      <c r="EK109" s="621"/>
      <c r="EL109" s="621"/>
      <c r="EM109" s="621"/>
      <c r="EN109" s="621"/>
      <c r="EO109" s="621"/>
      <c r="EP109" s="621"/>
      <c r="EQ109" s="621"/>
      <c r="ER109" s="621"/>
      <c r="ES109" s="621"/>
      <c r="ET109" s="621"/>
      <c r="EU109" s="621"/>
      <c r="EV109" s="621"/>
      <c r="EW109" s="621"/>
      <c r="EX109" s="621"/>
      <c r="EY109" s="621"/>
      <c r="EZ109" s="621"/>
      <c r="FA109" s="621"/>
      <c r="FB109" s="621"/>
      <c r="FC109" s="621"/>
      <c r="FD109" s="621"/>
      <c r="FE109" s="621"/>
      <c r="FF109" s="621"/>
      <c r="FG109" s="621"/>
      <c r="FH109" s="621"/>
      <c r="FI109" s="621"/>
      <c r="FJ109" s="621"/>
      <c r="FK109" s="621"/>
      <c r="FL109" s="621"/>
      <c r="FM109" s="621"/>
      <c r="FN109" s="621"/>
      <c r="FO109" s="621"/>
      <c r="FP109" s="621"/>
      <c r="FQ109" s="621"/>
      <c r="FR109" s="621"/>
      <c r="FS109" s="621"/>
      <c r="FT109" s="621"/>
      <c r="FU109" s="621"/>
      <c r="FV109" s="621"/>
      <c r="FW109" s="621"/>
      <c r="FX109" s="621"/>
      <c r="FY109" s="621"/>
      <c r="FZ109" s="621"/>
      <c r="GA109" s="621"/>
      <c r="GB109" s="621"/>
      <c r="GC109" s="621"/>
      <c r="GD109" s="621"/>
      <c r="GE109" s="621"/>
      <c r="GF109" s="621"/>
      <c r="GG109" s="621"/>
      <c r="GH109" s="621"/>
      <c r="GI109" s="621"/>
      <c r="GJ109" s="621"/>
      <c r="GK109" s="621"/>
      <c r="GL109" s="621"/>
      <c r="GM109" s="621"/>
      <c r="GN109" s="621"/>
      <c r="GO109" s="621"/>
      <c r="GP109" s="621"/>
      <c r="GQ109" s="621"/>
      <c r="GR109" s="621"/>
      <c r="GS109" s="621"/>
      <c r="GT109" s="621"/>
      <c r="GU109" s="621"/>
      <c r="GV109" s="621"/>
      <c r="GW109" s="621"/>
      <c r="GX109" s="621"/>
      <c r="GY109" s="621"/>
      <c r="GZ109" s="621"/>
      <c r="HA109" s="621"/>
      <c r="HB109" s="621"/>
      <c r="HC109" s="621"/>
      <c r="HD109" s="621"/>
      <c r="HE109" s="621"/>
      <c r="HF109" s="621"/>
      <c r="HG109" s="621"/>
      <c r="HH109" s="621"/>
      <c r="HI109" s="621"/>
      <c r="HJ109" s="621"/>
      <c r="HK109" s="621"/>
      <c r="HL109" s="621"/>
      <c r="HM109" s="621"/>
      <c r="HN109" s="621"/>
      <c r="HO109" s="621"/>
      <c r="HP109" s="621"/>
      <c r="HQ109" s="621"/>
      <c r="HR109" s="621"/>
      <c r="HS109" s="621"/>
      <c r="HT109" s="621"/>
      <c r="HU109" s="621"/>
      <c r="HV109" s="621"/>
      <c r="HW109" s="621"/>
      <c r="HX109" s="621"/>
      <c r="HY109" s="621"/>
      <c r="HZ109" s="621"/>
      <c r="IA109" s="621"/>
      <c r="IB109" s="621"/>
      <c r="IC109" s="621"/>
      <c r="ID109" s="621"/>
      <c r="IE109" s="621"/>
      <c r="IF109" s="621"/>
      <c r="IG109" s="621"/>
      <c r="IH109" s="621"/>
      <c r="II109" s="621"/>
      <c r="IJ109" s="621"/>
      <c r="IK109" s="621"/>
      <c r="IL109" s="621"/>
      <c r="IM109" s="621"/>
      <c r="IN109" s="621"/>
      <c r="IO109" s="621"/>
      <c r="IP109" s="621"/>
      <c r="IQ109" s="621"/>
      <c r="IR109" s="621"/>
      <c r="IS109" s="621"/>
      <c r="IT109" s="621"/>
      <c r="IU109" s="621"/>
      <c r="IV109" s="621"/>
      <c r="IW109" s="621"/>
      <c r="IX109" s="621"/>
      <c r="IY109" s="621"/>
      <c r="IZ109" s="621"/>
      <c r="JA109" s="621"/>
      <c r="JB109" s="621"/>
      <c r="JC109" s="621"/>
      <c r="JD109" s="621"/>
      <c r="JE109" s="621"/>
      <c r="JF109" s="621"/>
      <c r="JG109" s="621"/>
      <c r="JH109" s="621"/>
      <c r="JI109" s="621"/>
      <c r="JJ109" s="621"/>
      <c r="JK109" s="621"/>
      <c r="JL109" s="621"/>
      <c r="JM109" s="621"/>
      <c r="JN109" s="621"/>
      <c r="JO109" s="621"/>
      <c r="JP109" s="621"/>
      <c r="JQ109" s="621"/>
      <c r="JR109" s="621"/>
      <c r="JS109" s="621"/>
      <c r="JT109" s="621"/>
      <c r="JU109" s="621"/>
      <c r="JV109" s="621"/>
      <c r="JW109" s="621"/>
      <c r="JX109" s="621"/>
      <c r="JY109" s="621"/>
      <c r="JZ109" s="621"/>
      <c r="KA109" s="621"/>
      <c r="KB109" s="621"/>
      <c r="KC109" s="621"/>
      <c r="KD109" s="621"/>
      <c r="KE109" s="621"/>
      <c r="KF109" s="621"/>
      <c r="KG109" s="621"/>
      <c r="KH109" s="621"/>
      <c r="KI109" s="621"/>
      <c r="KJ109" s="621"/>
      <c r="KK109" s="621"/>
      <c r="KL109" s="621"/>
      <c r="KM109" s="621"/>
      <c r="KN109" s="621"/>
      <c r="KO109" s="621"/>
      <c r="KP109" s="621"/>
      <c r="KQ109" s="621"/>
      <c r="KR109" s="621"/>
      <c r="KS109" s="621"/>
      <c r="KT109" s="621"/>
      <c r="KU109" s="621"/>
      <c r="KV109" s="621"/>
      <c r="KW109" s="621"/>
      <c r="KX109" s="621"/>
      <c r="KY109" s="621"/>
      <c r="KZ109" s="621"/>
      <c r="LA109" s="621"/>
      <c r="LB109" s="621"/>
      <c r="LC109" s="621"/>
      <c r="LD109" s="621"/>
      <c r="LE109" s="621"/>
      <c r="LF109" s="621"/>
      <c r="LG109" s="621"/>
      <c r="LH109" s="621"/>
      <c r="LI109" s="621"/>
      <c r="LJ109" s="621"/>
      <c r="LK109" s="621"/>
      <c r="LL109" s="621"/>
      <c r="LM109" s="621"/>
      <c r="LN109" s="621"/>
      <c r="LO109" s="621"/>
      <c r="LP109" s="621"/>
      <c r="LQ109" s="621"/>
      <c r="LR109" s="621"/>
      <c r="LS109" s="621"/>
      <c r="LT109" s="621"/>
      <c r="LU109" s="621"/>
      <c r="LV109" s="621"/>
      <c r="LW109" s="621"/>
      <c r="LX109" s="621"/>
      <c r="LY109" s="621"/>
      <c r="LZ109" s="621"/>
      <c r="MA109" s="621"/>
      <c r="MB109" s="621"/>
      <c r="MC109" s="621"/>
      <c r="MD109" s="621"/>
      <c r="ME109" s="621"/>
      <c r="MF109" s="621"/>
      <c r="MG109" s="621"/>
      <c r="MH109" s="621"/>
      <c r="MI109" s="621"/>
      <c r="MJ109" s="621"/>
      <c r="MK109" s="621"/>
      <c r="ML109" s="621"/>
      <c r="MM109" s="621"/>
      <c r="MN109" s="621"/>
      <c r="MO109" s="621"/>
      <c r="MP109" s="621"/>
      <c r="MQ109" s="621"/>
      <c r="MR109" s="621"/>
      <c r="MS109" s="621"/>
      <c r="MT109" s="621"/>
      <c r="MU109" s="621"/>
      <c r="MV109" s="621"/>
      <c r="MW109" s="621"/>
      <c r="MX109" s="621"/>
      <c r="MY109" s="621"/>
      <c r="MZ109" s="621"/>
      <c r="NA109" s="621"/>
      <c r="NB109" s="621"/>
      <c r="NC109" s="621"/>
      <c r="ND109" s="621"/>
      <c r="NE109" s="621"/>
      <c r="NF109" s="621"/>
      <c r="NG109" s="621"/>
      <c r="NH109" s="621"/>
      <c r="NI109" s="621"/>
      <c r="NJ109" s="621"/>
      <c r="NK109" s="621"/>
      <c r="NL109" s="621"/>
      <c r="NM109" s="621"/>
      <c r="NN109" s="621"/>
      <c r="NO109" s="621"/>
      <c r="NP109" s="621"/>
      <c r="NQ109" s="621"/>
      <c r="NR109" s="621"/>
      <c r="NS109" s="621"/>
      <c r="NT109" s="621"/>
      <c r="NU109" s="621"/>
      <c r="NV109" s="621"/>
      <c r="NW109" s="621"/>
      <c r="NX109" s="621"/>
      <c r="NY109" s="621"/>
      <c r="NZ109" s="621"/>
      <c r="OA109" s="621"/>
      <c r="OB109" s="621"/>
      <c r="OC109" s="621"/>
      <c r="OD109" s="621"/>
      <c r="OE109" s="621"/>
      <c r="OF109" s="621"/>
      <c r="OG109" s="621"/>
      <c r="OH109" s="621"/>
      <c r="OI109" s="621"/>
      <c r="OJ109" s="621"/>
      <c r="OK109" s="621"/>
      <c r="OL109" s="621"/>
      <c r="OM109" s="621"/>
      <c r="ON109" s="621"/>
      <c r="OO109" s="621"/>
      <c r="OP109" s="621"/>
      <c r="OQ109" s="621"/>
      <c r="OR109" s="621"/>
      <c r="OS109" s="621"/>
      <c r="OT109" s="621"/>
      <c r="OU109" s="621"/>
      <c r="OV109" s="621"/>
      <c r="OW109" s="621"/>
      <c r="OX109" s="621"/>
      <c r="OY109" s="621"/>
      <c r="OZ109" s="621"/>
      <c r="PA109" s="621"/>
      <c r="PB109" s="621"/>
      <c r="PC109" s="621"/>
      <c r="PD109" s="621"/>
      <c r="PE109" s="621"/>
      <c r="PF109" s="621"/>
      <c r="PG109" s="621"/>
      <c r="PH109" s="621"/>
      <c r="PI109" s="621"/>
      <c r="PJ109" s="621"/>
      <c r="PK109" s="621"/>
      <c r="PL109" s="621"/>
      <c r="PM109" s="621"/>
      <c r="PN109" s="621"/>
      <c r="PO109" s="621"/>
      <c r="PP109" s="621"/>
      <c r="PQ109" s="621"/>
      <c r="PR109" s="621"/>
      <c r="PS109" s="621"/>
      <c r="PT109" s="621"/>
      <c r="PU109" s="621"/>
      <c r="PV109" s="621"/>
      <c r="PW109" s="621"/>
      <c r="PX109" s="621"/>
      <c r="PY109" s="621"/>
      <c r="PZ109" s="621"/>
      <c r="QA109" s="621"/>
      <c r="QB109" s="621"/>
      <c r="QC109" s="621"/>
      <c r="QD109" s="621"/>
      <c r="QE109" s="621"/>
      <c r="QF109" s="621"/>
      <c r="QG109" s="621"/>
      <c r="QH109" s="621"/>
      <c r="QI109" s="621"/>
      <c r="QJ109" s="621"/>
      <c r="QK109" s="621"/>
      <c r="QL109" s="621"/>
      <c r="QM109" s="621"/>
      <c r="QN109" s="621"/>
      <c r="QO109" s="621"/>
      <c r="QP109" s="621"/>
      <c r="QQ109" s="621"/>
      <c r="QR109" s="621"/>
      <c r="QS109" s="621"/>
      <c r="QT109" s="621"/>
      <c r="QU109" s="621"/>
      <c r="QV109" s="621"/>
      <c r="QW109" s="621"/>
      <c r="QX109" s="621"/>
      <c r="QY109" s="621"/>
      <c r="QZ109" s="621"/>
      <c r="RA109" s="621"/>
      <c r="RB109" s="621"/>
      <c r="RC109" s="621"/>
      <c r="RD109" s="621"/>
      <c r="RE109" s="621"/>
      <c r="RF109" s="621"/>
      <c r="RG109" s="621"/>
      <c r="RH109" s="621"/>
      <c r="RI109" s="621"/>
      <c r="RJ109" s="621"/>
      <c r="RK109" s="621"/>
      <c r="RL109" s="621"/>
      <c r="RM109" s="621"/>
      <c r="RN109" s="621"/>
      <c r="RO109" s="621"/>
      <c r="RP109" s="621"/>
      <c r="RQ109" s="621"/>
      <c r="RR109" s="621"/>
      <c r="RS109" s="621"/>
      <c r="RT109" s="621"/>
      <c r="RU109" s="621"/>
      <c r="RV109" s="621"/>
      <c r="RW109" s="621"/>
      <c r="RX109" s="621"/>
      <c r="RY109" s="621"/>
      <c r="RZ109" s="621"/>
      <c r="SA109" s="621"/>
      <c r="SB109" s="621"/>
      <c r="SC109" s="621"/>
      <c r="SD109" s="621"/>
      <c r="SE109" s="621"/>
      <c r="SF109" s="621"/>
      <c r="SG109" s="621"/>
      <c r="SH109" s="621"/>
      <c r="SI109" s="621"/>
      <c r="SJ109" s="621"/>
      <c r="SK109" s="621"/>
      <c r="SL109" s="621"/>
      <c r="SM109" s="621"/>
      <c r="SN109" s="621"/>
      <c r="SO109" s="621"/>
      <c r="SP109" s="621"/>
      <c r="SQ109" s="621"/>
      <c r="SR109" s="621"/>
      <c r="SS109" s="621"/>
      <c r="ST109" s="621"/>
      <c r="SU109" s="621"/>
      <c r="SV109" s="621"/>
      <c r="SW109" s="621"/>
      <c r="SX109" s="621"/>
      <c r="SY109" s="621"/>
      <c r="SZ109" s="621"/>
      <c r="TA109" s="621"/>
      <c r="TB109" s="621"/>
      <c r="TC109" s="621"/>
      <c r="TD109" s="621"/>
      <c r="TE109" s="621"/>
      <c r="TF109" s="621"/>
      <c r="TG109" s="621"/>
      <c r="TH109" s="621"/>
      <c r="TI109" s="621"/>
      <c r="TJ109" s="621"/>
      <c r="TK109" s="621"/>
      <c r="TL109" s="621"/>
      <c r="TM109" s="621"/>
      <c r="TN109" s="621"/>
      <c r="TO109" s="621"/>
      <c r="TP109" s="621"/>
      <c r="TQ109" s="621"/>
      <c r="TR109" s="621"/>
      <c r="TS109" s="621"/>
      <c r="TT109" s="621"/>
      <c r="TU109" s="621"/>
      <c r="TV109" s="621"/>
      <c r="TW109" s="621"/>
      <c r="TX109" s="621"/>
      <c r="TY109" s="621"/>
      <c r="TZ109" s="621"/>
      <c r="UA109" s="621"/>
      <c r="UB109" s="621"/>
      <c r="UC109" s="621"/>
      <c r="UD109" s="621"/>
      <c r="UE109" s="621"/>
      <c r="UF109" s="621"/>
      <c r="UG109" s="621"/>
      <c r="UH109" s="621"/>
      <c r="UI109" s="621"/>
      <c r="UJ109" s="621"/>
      <c r="UK109" s="621"/>
      <c r="UL109" s="621"/>
      <c r="UM109" s="621"/>
      <c r="UN109" s="621"/>
      <c r="UO109" s="621"/>
      <c r="UP109" s="621"/>
      <c r="UQ109" s="621"/>
      <c r="UR109" s="621"/>
      <c r="US109" s="621"/>
      <c r="UT109" s="621"/>
      <c r="UU109" s="621"/>
      <c r="UV109" s="621"/>
      <c r="UW109" s="621"/>
      <c r="UX109" s="621"/>
      <c r="UY109" s="621"/>
      <c r="UZ109" s="621"/>
      <c r="VA109" s="621"/>
      <c r="VB109" s="621"/>
      <c r="VC109" s="621"/>
      <c r="VD109" s="621"/>
      <c r="VE109" s="621"/>
      <c r="VF109" s="621"/>
      <c r="VG109" s="621"/>
      <c r="VH109" s="621"/>
      <c r="VI109" s="621"/>
      <c r="VJ109" s="621"/>
      <c r="VK109" s="621"/>
      <c r="VL109" s="621"/>
      <c r="VM109" s="621"/>
      <c r="VN109" s="621"/>
      <c r="VO109" s="621"/>
      <c r="VP109" s="621"/>
      <c r="VQ109" s="621"/>
      <c r="VR109" s="621"/>
      <c r="VS109" s="621"/>
      <c r="VT109" s="621"/>
      <c r="VU109" s="621"/>
      <c r="VV109" s="621"/>
      <c r="VW109" s="621"/>
      <c r="VX109" s="621"/>
      <c r="VY109" s="621"/>
      <c r="VZ109" s="621"/>
      <c r="WA109" s="621"/>
      <c r="WB109" s="621"/>
      <c r="WC109" s="621"/>
      <c r="WD109" s="621"/>
      <c r="WE109" s="621"/>
      <c r="WF109" s="621"/>
      <c r="WG109" s="621"/>
      <c r="WH109" s="621"/>
      <c r="WI109" s="621"/>
      <c r="WJ109" s="621"/>
      <c r="WK109" s="621"/>
      <c r="WL109" s="621"/>
      <c r="WM109" s="621"/>
      <c r="WN109" s="621"/>
      <c r="WO109" s="621"/>
      <c r="WP109" s="621"/>
      <c r="WQ109" s="621"/>
      <c r="WR109" s="621"/>
      <c r="WS109" s="621"/>
      <c r="WT109" s="621"/>
      <c r="WU109" s="621"/>
      <c r="WV109" s="621"/>
      <c r="WW109" s="621"/>
      <c r="WX109" s="621"/>
      <c r="WY109" s="621"/>
      <c r="WZ109" s="621"/>
      <c r="XA109" s="621"/>
      <c r="XB109" s="621"/>
      <c r="XC109" s="621"/>
      <c r="XD109" s="621"/>
      <c r="XE109" s="621"/>
      <c r="XF109" s="621"/>
      <c r="XG109" s="621"/>
      <c r="XH109" s="621"/>
      <c r="XI109" s="621"/>
      <c r="XJ109" s="621"/>
      <c r="XK109" s="621"/>
      <c r="XL109" s="621"/>
      <c r="XM109" s="621"/>
      <c r="XN109" s="621"/>
      <c r="XO109" s="621"/>
      <c r="XP109" s="621"/>
      <c r="XQ109" s="621"/>
      <c r="XR109" s="621"/>
      <c r="XS109" s="621"/>
      <c r="XT109" s="621"/>
      <c r="XU109" s="621"/>
      <c r="XV109" s="621"/>
      <c r="XW109" s="621"/>
      <c r="XX109" s="621"/>
      <c r="XY109" s="621"/>
      <c r="XZ109" s="621"/>
      <c r="YA109" s="621"/>
      <c r="YB109" s="621"/>
      <c r="YC109" s="621"/>
      <c r="YD109" s="621"/>
      <c r="YE109" s="621"/>
      <c r="YF109" s="621"/>
      <c r="YG109" s="621"/>
      <c r="YH109" s="621"/>
      <c r="YI109" s="621"/>
      <c r="YJ109" s="621"/>
      <c r="YK109" s="621"/>
      <c r="YL109" s="621"/>
      <c r="YM109" s="621"/>
      <c r="YN109" s="621"/>
      <c r="YO109" s="621"/>
      <c r="YP109" s="621"/>
      <c r="YQ109" s="621"/>
      <c r="YR109" s="621"/>
      <c r="YS109" s="621"/>
      <c r="YT109" s="621"/>
      <c r="YU109" s="621"/>
      <c r="YV109" s="621"/>
      <c r="YW109" s="621"/>
      <c r="YX109" s="621"/>
      <c r="YY109" s="621"/>
      <c r="YZ109" s="621"/>
      <c r="ZA109" s="621"/>
      <c r="ZB109" s="621"/>
      <c r="ZC109" s="621"/>
      <c r="ZD109" s="621"/>
      <c r="ZE109" s="621"/>
      <c r="ZF109" s="621"/>
      <c r="ZG109" s="621"/>
      <c r="ZH109" s="621"/>
      <c r="ZI109" s="621"/>
      <c r="ZJ109" s="621"/>
      <c r="ZK109" s="621"/>
      <c r="ZL109" s="621"/>
      <c r="ZM109" s="621"/>
      <c r="ZN109" s="621"/>
      <c r="ZO109" s="621"/>
      <c r="ZP109" s="621"/>
      <c r="ZQ109" s="621"/>
      <c r="ZR109" s="621"/>
      <c r="ZS109" s="621"/>
      <c r="ZT109" s="621"/>
      <c r="ZU109" s="621"/>
      <c r="ZV109" s="621"/>
      <c r="ZW109" s="621"/>
      <c r="ZX109" s="621"/>
      <c r="ZY109" s="621"/>
      <c r="ZZ109" s="621"/>
      <c r="AAA109" s="621"/>
      <c r="AAB109" s="621"/>
      <c r="AAC109" s="621"/>
      <c r="AAD109" s="621"/>
      <c r="AAE109" s="621"/>
      <c r="AAF109" s="621"/>
      <c r="AAG109" s="621"/>
      <c r="AAH109" s="621"/>
      <c r="AAI109" s="621"/>
      <c r="AAJ109" s="621"/>
      <c r="AAK109" s="621"/>
      <c r="AAL109" s="621"/>
      <c r="AAM109" s="621"/>
      <c r="AAN109" s="621"/>
      <c r="AAO109" s="621"/>
      <c r="AAP109" s="621"/>
      <c r="AAQ109" s="621"/>
      <c r="AAR109" s="621"/>
      <c r="AAS109" s="621"/>
      <c r="AAT109" s="621"/>
      <c r="AAU109" s="621"/>
      <c r="AAV109" s="621"/>
      <c r="AAW109" s="621"/>
      <c r="AAX109" s="621"/>
      <c r="AAY109" s="621"/>
      <c r="AAZ109" s="621"/>
      <c r="ABA109" s="621"/>
      <c r="ABB109" s="621"/>
      <c r="ABC109" s="621"/>
      <c r="ABD109" s="621"/>
      <c r="ABE109" s="621"/>
      <c r="ABF109" s="621"/>
      <c r="ABG109" s="621"/>
      <c r="ABH109" s="621"/>
      <c r="ABI109" s="621"/>
      <c r="ABJ109" s="621"/>
      <c r="ABK109" s="621"/>
      <c r="ABL109" s="621"/>
      <c r="ABM109" s="621"/>
      <c r="ABN109" s="621"/>
      <c r="ABO109" s="621"/>
      <c r="ABP109" s="621"/>
      <c r="ABQ109" s="621"/>
      <c r="ABR109" s="621"/>
      <c r="ABS109" s="621"/>
      <c r="ABT109" s="621"/>
      <c r="ABU109" s="621"/>
      <c r="ABV109" s="621"/>
      <c r="ABW109" s="621"/>
      <c r="ABX109" s="621"/>
      <c r="ABY109" s="621"/>
      <c r="ABZ109" s="621"/>
      <c r="ACA109" s="621"/>
      <c r="ACB109" s="621"/>
      <c r="ACC109" s="621"/>
      <c r="ACD109" s="621"/>
      <c r="ACE109" s="621"/>
      <c r="ACF109" s="621"/>
      <c r="ACG109" s="621"/>
      <c r="ACH109" s="621"/>
      <c r="ACI109" s="621"/>
      <c r="ACJ109" s="621"/>
      <c r="ACK109" s="621"/>
      <c r="ACL109" s="621"/>
      <c r="ACM109" s="621"/>
      <c r="ACN109" s="621"/>
      <c r="ACO109" s="621"/>
      <c r="ACP109" s="621"/>
      <c r="ACQ109" s="621"/>
      <c r="ACR109" s="621"/>
      <c r="ACS109" s="621"/>
      <c r="ACT109" s="621"/>
      <c r="ACU109" s="621"/>
      <c r="ACV109" s="621"/>
      <c r="ACW109" s="621"/>
      <c r="ACX109" s="621"/>
      <c r="ACY109" s="621"/>
      <c r="ACZ109" s="621"/>
      <c r="ADA109" s="621"/>
      <c r="ADB109" s="621"/>
      <c r="ADC109" s="621"/>
      <c r="ADD109" s="621"/>
      <c r="ADE109" s="621"/>
      <c r="ADF109" s="621"/>
      <c r="ADG109" s="621"/>
      <c r="ADH109" s="621"/>
      <c r="ADI109" s="621"/>
      <c r="ADJ109" s="621"/>
      <c r="ADK109" s="621"/>
      <c r="ADL109" s="621"/>
      <c r="ADM109" s="621"/>
      <c r="ADN109" s="621"/>
      <c r="ADO109" s="621"/>
      <c r="ADP109" s="621"/>
      <c r="ADQ109" s="621"/>
      <c r="ADR109" s="621"/>
      <c r="ADS109" s="621"/>
      <c r="ADT109" s="621"/>
      <c r="ADU109" s="621"/>
      <c r="ADV109" s="621"/>
      <c r="ADW109" s="621"/>
      <c r="ADX109" s="621"/>
      <c r="ADY109" s="621"/>
      <c r="ADZ109" s="621"/>
      <c r="AEA109" s="621"/>
      <c r="AEB109" s="621"/>
      <c r="AEC109" s="621"/>
      <c r="AED109" s="621"/>
      <c r="AEE109" s="621"/>
      <c r="AEF109" s="621"/>
      <c r="AEG109" s="621"/>
      <c r="AEH109" s="621"/>
      <c r="AEI109" s="621"/>
      <c r="AEJ109" s="621"/>
      <c r="AEK109" s="621"/>
      <c r="AEL109" s="621"/>
      <c r="AEM109" s="621"/>
      <c r="AEN109" s="621"/>
      <c r="AEO109" s="621"/>
      <c r="AEP109" s="621"/>
      <c r="AEQ109" s="621"/>
      <c r="AER109" s="621"/>
      <c r="AES109" s="621"/>
      <c r="AET109" s="621"/>
      <c r="AEU109" s="621"/>
      <c r="AEV109" s="621"/>
      <c r="AEW109" s="621"/>
      <c r="AEX109" s="621"/>
      <c r="AEY109" s="621"/>
      <c r="AEZ109" s="621"/>
      <c r="AFA109" s="621"/>
      <c r="AFB109" s="621"/>
      <c r="AFC109" s="621"/>
      <c r="AFD109" s="621"/>
      <c r="AFE109" s="621"/>
      <c r="AFF109" s="621"/>
      <c r="AFG109" s="621"/>
      <c r="AFH109" s="621"/>
      <c r="AFI109" s="621"/>
      <c r="AFJ109" s="621"/>
      <c r="AFK109" s="621"/>
      <c r="AFL109" s="621"/>
      <c r="AFM109" s="621"/>
      <c r="AFN109" s="621"/>
      <c r="AFO109" s="621"/>
      <c r="AFP109" s="621"/>
      <c r="AFQ109" s="621"/>
      <c r="AFR109" s="621"/>
      <c r="AFS109" s="621"/>
      <c r="AFT109" s="621"/>
      <c r="AFU109" s="621"/>
      <c r="AFV109" s="621"/>
      <c r="AFW109" s="621"/>
      <c r="AFX109" s="621"/>
      <c r="AFY109" s="621"/>
      <c r="AFZ109" s="621"/>
      <c r="AGA109" s="621"/>
      <c r="AGB109" s="621"/>
      <c r="AGC109" s="621"/>
      <c r="AGD109" s="621"/>
      <c r="AGE109" s="621"/>
      <c r="AGF109" s="621"/>
      <c r="AGG109" s="621"/>
      <c r="AGH109" s="621"/>
      <c r="AGI109" s="621"/>
      <c r="AGJ109" s="621"/>
      <c r="AGK109" s="621"/>
      <c r="AGL109" s="621"/>
      <c r="AGM109" s="621"/>
      <c r="AGN109" s="621"/>
      <c r="AGO109" s="621"/>
      <c r="AGP109" s="621"/>
      <c r="AGQ109" s="621"/>
      <c r="AGR109" s="621"/>
      <c r="AGS109" s="621"/>
      <c r="AGT109" s="621"/>
      <c r="AGU109" s="621"/>
      <c r="AGV109" s="621"/>
      <c r="AGW109" s="621"/>
      <c r="AGX109" s="621"/>
      <c r="AGY109" s="621"/>
      <c r="AGZ109" s="621"/>
      <c r="AHA109" s="621"/>
      <c r="AHB109" s="621"/>
      <c r="AHC109" s="621"/>
      <c r="AHD109" s="621"/>
      <c r="AHE109" s="621"/>
      <c r="AHF109" s="621"/>
      <c r="AHG109" s="621"/>
      <c r="AHH109" s="621"/>
      <c r="AHI109" s="621"/>
      <c r="AHJ109" s="621"/>
      <c r="AHK109" s="621"/>
      <c r="AHL109" s="621"/>
      <c r="AHM109" s="621"/>
      <c r="AHN109" s="621"/>
      <c r="AHO109" s="621"/>
      <c r="AHP109" s="621"/>
      <c r="AHQ109" s="621"/>
      <c r="AHR109" s="621"/>
      <c r="AHS109" s="621"/>
      <c r="AHT109" s="621"/>
      <c r="AHU109" s="621"/>
      <c r="AHV109" s="621"/>
      <c r="AHW109" s="621"/>
      <c r="AHX109" s="621"/>
      <c r="AHY109" s="621"/>
      <c r="AHZ109" s="621"/>
      <c r="AIA109" s="621"/>
      <c r="AIB109" s="621"/>
      <c r="AIC109" s="621"/>
      <c r="AID109" s="621"/>
      <c r="AIE109" s="621"/>
      <c r="AIF109" s="621"/>
      <c r="AIG109" s="621"/>
      <c r="AIH109" s="621"/>
      <c r="AII109" s="621"/>
      <c r="AIJ109" s="621"/>
      <c r="AIK109" s="621"/>
      <c r="AIL109" s="621"/>
      <c r="AIM109" s="621"/>
      <c r="AIN109" s="621"/>
      <c r="AIO109" s="621"/>
      <c r="AIP109" s="621"/>
      <c r="AIQ109" s="621"/>
      <c r="AIR109" s="621"/>
      <c r="AIS109" s="621"/>
      <c r="AIT109" s="621"/>
      <c r="AIU109" s="621"/>
      <c r="AIV109" s="621"/>
      <c r="AIW109" s="621"/>
      <c r="AIX109" s="621"/>
      <c r="AIY109" s="621"/>
      <c r="AIZ109" s="621"/>
      <c r="AJA109" s="621"/>
      <c r="AJB109" s="621"/>
      <c r="AJC109" s="621"/>
      <c r="AJD109" s="621"/>
      <c r="AJE109" s="621"/>
      <c r="AJF109" s="621"/>
      <c r="AJG109" s="621"/>
      <c r="AJH109" s="621"/>
      <c r="AJI109" s="621"/>
      <c r="AJJ109" s="621"/>
      <c r="AJK109" s="621"/>
      <c r="AJL109" s="621"/>
      <c r="AJM109" s="621"/>
      <c r="AJN109" s="621"/>
      <c r="AJO109" s="621"/>
      <c r="AJP109" s="621"/>
      <c r="AJQ109" s="621"/>
      <c r="AJR109" s="621"/>
      <c r="AJS109" s="621"/>
      <c r="AJT109" s="621"/>
      <c r="AJU109" s="621"/>
      <c r="AJV109" s="621"/>
      <c r="AJW109" s="621"/>
      <c r="AJX109" s="621"/>
      <c r="AJY109" s="621"/>
      <c r="AJZ109" s="621"/>
      <c r="AKA109" s="621"/>
      <c r="AKB109" s="621"/>
      <c r="AKC109" s="621"/>
      <c r="AKD109" s="621"/>
      <c r="AKE109" s="621"/>
      <c r="AKF109" s="621"/>
      <c r="AKG109" s="621"/>
      <c r="AKH109" s="621"/>
      <c r="AKI109" s="621"/>
      <c r="AKJ109" s="621"/>
      <c r="AKK109" s="621"/>
      <c r="AKL109" s="621"/>
      <c r="AKM109" s="621"/>
      <c r="AKN109" s="621"/>
      <c r="AKO109" s="621"/>
      <c r="AKP109" s="621"/>
      <c r="AKQ109" s="621"/>
      <c r="AKR109" s="621"/>
      <c r="AKS109" s="621"/>
      <c r="AKT109" s="621"/>
      <c r="AKU109" s="621"/>
      <c r="AKV109" s="621"/>
      <c r="AKW109" s="621"/>
      <c r="AKX109" s="621"/>
      <c r="AKY109" s="621"/>
      <c r="AKZ109" s="621"/>
      <c r="ALA109" s="621"/>
      <c r="ALB109" s="621"/>
      <c r="ALC109" s="621"/>
      <c r="ALD109" s="621"/>
      <c r="ALE109" s="621"/>
      <c r="ALF109" s="621"/>
      <c r="ALG109" s="621"/>
      <c r="ALH109" s="621"/>
      <c r="ALI109" s="621"/>
      <c r="ALJ109" s="621"/>
      <c r="ALK109" s="621"/>
      <c r="ALL109" s="621"/>
      <c r="ALM109" s="621"/>
      <c r="ALN109" s="621"/>
      <c r="ALO109" s="621"/>
      <c r="ALP109" s="621"/>
      <c r="ALQ109" s="621"/>
      <c r="ALR109" s="621"/>
      <c r="ALS109" s="621"/>
      <c r="ALT109" s="621"/>
      <c r="ALU109" s="621"/>
      <c r="ALV109" s="621"/>
      <c r="ALW109" s="621"/>
      <c r="ALX109" s="621"/>
      <c r="ALY109" s="621"/>
      <c r="ALZ109" s="621"/>
      <c r="AMA109" s="621"/>
      <c r="AMB109" s="621"/>
      <c r="AMC109" s="621"/>
      <c r="AMD109" s="621"/>
      <c r="AME109" s="621"/>
      <c r="AMF109" s="621"/>
      <c r="AMG109" s="621"/>
      <c r="AMH109" s="621"/>
      <c r="AMI109" s="621"/>
      <c r="AMJ109" s="621"/>
      <c r="AMK109" s="621"/>
    </row>
    <row r="110" spans="1:1025">
      <c r="G110" s="742" t="s">
        <v>809</v>
      </c>
      <c r="AU110" s="621"/>
      <c r="AV110" s="621"/>
      <c r="AW110" s="621"/>
      <c r="AX110" s="621"/>
      <c r="AY110" s="621"/>
      <c r="AZ110" s="621"/>
      <c r="BA110" s="621"/>
      <c r="BB110" s="621"/>
      <c r="BC110" s="621"/>
      <c r="BD110" s="621"/>
      <c r="BE110" s="621"/>
      <c r="BF110" s="621"/>
      <c r="BG110" s="621"/>
      <c r="BH110" s="621"/>
      <c r="BI110" s="621"/>
      <c r="BJ110" s="621"/>
      <c r="BK110" s="621"/>
      <c r="BL110" s="621"/>
      <c r="BM110" s="621"/>
      <c r="BN110" s="621"/>
      <c r="BO110" s="621"/>
      <c r="BP110" s="621"/>
      <c r="BQ110" s="621"/>
      <c r="BR110" s="621"/>
      <c r="BS110" s="621"/>
      <c r="BT110" s="621"/>
      <c r="BU110" s="621"/>
      <c r="BV110" s="621"/>
      <c r="BW110" s="621"/>
      <c r="BX110" s="621"/>
      <c r="BY110" s="621"/>
      <c r="BZ110" s="621"/>
      <c r="CA110" s="621"/>
      <c r="CB110" s="621"/>
      <c r="CC110" s="621"/>
      <c r="CD110" s="621"/>
      <c r="CE110" s="621"/>
      <c r="CF110" s="621"/>
      <c r="CG110" s="621"/>
      <c r="CH110" s="621"/>
      <c r="CI110" s="621"/>
      <c r="CJ110" s="621"/>
      <c r="CK110" s="621"/>
      <c r="CL110" s="621"/>
      <c r="CM110" s="621"/>
      <c r="CN110" s="621"/>
      <c r="CO110" s="621"/>
      <c r="CP110" s="621"/>
      <c r="CQ110" s="621"/>
      <c r="CR110" s="621"/>
      <c r="CS110" s="621"/>
      <c r="CT110" s="621"/>
      <c r="CU110" s="621"/>
      <c r="CV110" s="621"/>
      <c r="CW110" s="621"/>
      <c r="CX110" s="621"/>
      <c r="CY110" s="621"/>
      <c r="CZ110" s="621"/>
      <c r="DA110" s="621"/>
      <c r="DB110" s="621"/>
      <c r="DC110" s="621"/>
      <c r="DD110" s="621"/>
      <c r="DE110" s="621"/>
      <c r="DF110" s="621"/>
      <c r="DG110" s="621"/>
      <c r="DH110" s="621"/>
      <c r="DI110" s="621"/>
      <c r="DJ110" s="621"/>
      <c r="DK110" s="621"/>
      <c r="DL110" s="621"/>
      <c r="DM110" s="621"/>
      <c r="DN110" s="621"/>
      <c r="DO110" s="621"/>
      <c r="DP110" s="621"/>
      <c r="DQ110" s="621"/>
      <c r="DR110" s="621"/>
      <c r="DS110" s="621"/>
      <c r="DT110" s="621"/>
      <c r="DU110" s="621"/>
      <c r="DV110" s="621"/>
      <c r="DW110" s="621"/>
      <c r="DX110" s="621"/>
      <c r="DY110" s="621"/>
      <c r="DZ110" s="621"/>
      <c r="EA110" s="621"/>
      <c r="EB110" s="621"/>
      <c r="EC110" s="621"/>
      <c r="ED110" s="621"/>
      <c r="EE110" s="621"/>
      <c r="EF110" s="621"/>
      <c r="EG110" s="621"/>
      <c r="EH110" s="621"/>
      <c r="EI110" s="621"/>
      <c r="EJ110" s="621"/>
      <c r="EK110" s="621"/>
      <c r="EL110" s="621"/>
      <c r="EM110" s="621"/>
      <c r="EN110" s="621"/>
      <c r="EO110" s="621"/>
      <c r="EP110" s="621"/>
      <c r="EQ110" s="621"/>
      <c r="ER110" s="621"/>
      <c r="ES110" s="621"/>
      <c r="ET110" s="621"/>
      <c r="EU110" s="621"/>
      <c r="EV110" s="621"/>
      <c r="EW110" s="621"/>
      <c r="EX110" s="621"/>
      <c r="EY110" s="621"/>
      <c r="EZ110" s="621"/>
      <c r="FA110" s="621"/>
      <c r="FB110" s="621"/>
      <c r="FC110" s="621"/>
      <c r="FD110" s="621"/>
      <c r="FE110" s="621"/>
      <c r="FF110" s="621"/>
      <c r="FG110" s="621"/>
      <c r="FH110" s="621"/>
      <c r="FI110" s="621"/>
      <c r="FJ110" s="621"/>
      <c r="FK110" s="621"/>
      <c r="FL110" s="621"/>
      <c r="FM110" s="621"/>
      <c r="FN110" s="621"/>
      <c r="FO110" s="621"/>
      <c r="FP110" s="621"/>
      <c r="FQ110" s="621"/>
      <c r="FR110" s="621"/>
      <c r="FS110" s="621"/>
      <c r="FT110" s="621"/>
      <c r="FU110" s="621"/>
      <c r="FV110" s="621"/>
      <c r="FW110" s="621"/>
      <c r="FX110" s="621"/>
      <c r="FY110" s="621"/>
      <c r="FZ110" s="621"/>
      <c r="GA110" s="621"/>
      <c r="GB110" s="621"/>
      <c r="GC110" s="621"/>
      <c r="GD110" s="621"/>
      <c r="GE110" s="621"/>
      <c r="GF110" s="621"/>
      <c r="GG110" s="621"/>
      <c r="GH110" s="621"/>
      <c r="GI110" s="621"/>
      <c r="GJ110" s="621"/>
      <c r="GK110" s="621"/>
      <c r="GL110" s="621"/>
      <c r="GM110" s="621"/>
      <c r="GN110" s="621"/>
      <c r="GO110" s="621"/>
      <c r="GP110" s="621"/>
      <c r="GQ110" s="621"/>
      <c r="GR110" s="621"/>
      <c r="GS110" s="621"/>
      <c r="GT110" s="621"/>
      <c r="GU110" s="621"/>
      <c r="GV110" s="621"/>
      <c r="GW110" s="621"/>
      <c r="GX110" s="621"/>
      <c r="GY110" s="621"/>
      <c r="GZ110" s="621"/>
      <c r="HA110" s="621"/>
      <c r="HB110" s="621"/>
      <c r="HC110" s="621"/>
      <c r="HD110" s="621"/>
      <c r="HE110" s="621"/>
      <c r="HF110" s="621"/>
      <c r="HG110" s="621"/>
      <c r="HH110" s="621"/>
      <c r="HI110" s="621"/>
      <c r="HJ110" s="621"/>
      <c r="HK110" s="621"/>
      <c r="HL110" s="621"/>
      <c r="HM110" s="621"/>
      <c r="HN110" s="621"/>
      <c r="HO110" s="621"/>
      <c r="HP110" s="621"/>
      <c r="HQ110" s="621"/>
      <c r="HR110" s="621"/>
      <c r="HS110" s="621"/>
      <c r="HT110" s="621"/>
      <c r="HU110" s="621"/>
      <c r="HV110" s="621"/>
      <c r="HW110" s="621"/>
      <c r="HX110" s="621"/>
      <c r="HY110" s="621"/>
      <c r="HZ110" s="621"/>
      <c r="IA110" s="621"/>
      <c r="IB110" s="621"/>
      <c r="IC110" s="621"/>
      <c r="ID110" s="621"/>
      <c r="IE110" s="621"/>
      <c r="IF110" s="621"/>
      <c r="IG110" s="621"/>
      <c r="IH110" s="621"/>
      <c r="II110" s="621"/>
      <c r="IJ110" s="621"/>
      <c r="IK110" s="621"/>
      <c r="IL110" s="621"/>
      <c r="IM110" s="621"/>
      <c r="IN110" s="621"/>
      <c r="IO110" s="621"/>
      <c r="IP110" s="621"/>
      <c r="IQ110" s="621"/>
      <c r="IR110" s="621"/>
      <c r="IS110" s="621"/>
      <c r="IT110" s="621"/>
      <c r="IU110" s="621"/>
      <c r="IV110" s="621"/>
      <c r="IW110" s="621"/>
      <c r="IX110" s="621"/>
      <c r="IY110" s="621"/>
      <c r="IZ110" s="621"/>
      <c r="JA110" s="621"/>
      <c r="JB110" s="621"/>
      <c r="JC110" s="621"/>
      <c r="JD110" s="621"/>
      <c r="JE110" s="621"/>
      <c r="JF110" s="621"/>
      <c r="JG110" s="621"/>
      <c r="JH110" s="621"/>
      <c r="JI110" s="621"/>
      <c r="JJ110" s="621"/>
      <c r="JK110" s="621"/>
      <c r="JL110" s="621"/>
      <c r="JM110" s="621"/>
      <c r="JN110" s="621"/>
      <c r="JO110" s="621"/>
      <c r="JP110" s="621"/>
      <c r="JQ110" s="621"/>
      <c r="JR110" s="621"/>
      <c r="JS110" s="621"/>
      <c r="JT110" s="621"/>
      <c r="JU110" s="621"/>
      <c r="JV110" s="621"/>
      <c r="JW110" s="621"/>
      <c r="JX110" s="621"/>
      <c r="JY110" s="621"/>
      <c r="JZ110" s="621"/>
      <c r="KA110" s="621"/>
      <c r="KB110" s="621"/>
      <c r="KC110" s="621"/>
      <c r="KD110" s="621"/>
      <c r="KE110" s="621"/>
      <c r="KF110" s="621"/>
      <c r="KG110" s="621"/>
      <c r="KH110" s="621"/>
      <c r="KI110" s="621"/>
      <c r="KJ110" s="621"/>
      <c r="KK110" s="621"/>
      <c r="KL110" s="621"/>
      <c r="KM110" s="621"/>
      <c r="KN110" s="621"/>
      <c r="KO110" s="621"/>
      <c r="KP110" s="621"/>
      <c r="KQ110" s="621"/>
      <c r="KR110" s="621"/>
      <c r="KS110" s="621"/>
      <c r="KT110" s="621"/>
      <c r="KU110" s="621"/>
      <c r="KV110" s="621"/>
      <c r="KW110" s="621"/>
      <c r="KX110" s="621"/>
      <c r="KY110" s="621"/>
      <c r="KZ110" s="621"/>
      <c r="LA110" s="621"/>
      <c r="LB110" s="621"/>
      <c r="LC110" s="621"/>
      <c r="LD110" s="621"/>
      <c r="LE110" s="621"/>
      <c r="LF110" s="621"/>
      <c r="LG110" s="621"/>
      <c r="LH110" s="621"/>
      <c r="LI110" s="621"/>
      <c r="LJ110" s="621"/>
      <c r="LK110" s="621"/>
      <c r="LL110" s="621"/>
      <c r="LM110" s="621"/>
      <c r="LN110" s="621"/>
      <c r="LO110" s="621"/>
      <c r="LP110" s="621"/>
      <c r="LQ110" s="621"/>
      <c r="LR110" s="621"/>
      <c r="LS110" s="621"/>
      <c r="LT110" s="621"/>
      <c r="LU110" s="621"/>
      <c r="LV110" s="621"/>
      <c r="LW110" s="621"/>
      <c r="LX110" s="621"/>
      <c r="LY110" s="621"/>
      <c r="LZ110" s="621"/>
      <c r="MA110" s="621"/>
      <c r="MB110" s="621"/>
      <c r="MC110" s="621"/>
      <c r="MD110" s="621"/>
      <c r="ME110" s="621"/>
      <c r="MF110" s="621"/>
      <c r="MG110" s="621"/>
      <c r="MH110" s="621"/>
      <c r="MI110" s="621"/>
      <c r="MJ110" s="621"/>
      <c r="MK110" s="621"/>
      <c r="ML110" s="621"/>
      <c r="MM110" s="621"/>
      <c r="MN110" s="621"/>
      <c r="MO110" s="621"/>
      <c r="MP110" s="621"/>
      <c r="MQ110" s="621"/>
      <c r="MR110" s="621"/>
      <c r="MS110" s="621"/>
      <c r="MT110" s="621"/>
      <c r="MU110" s="621"/>
      <c r="MV110" s="621"/>
      <c r="MW110" s="621"/>
      <c r="MX110" s="621"/>
      <c r="MY110" s="621"/>
      <c r="MZ110" s="621"/>
      <c r="NA110" s="621"/>
      <c r="NB110" s="621"/>
      <c r="NC110" s="621"/>
      <c r="ND110" s="621"/>
      <c r="NE110" s="621"/>
      <c r="NF110" s="621"/>
      <c r="NG110" s="621"/>
      <c r="NH110" s="621"/>
      <c r="NI110" s="621"/>
      <c r="NJ110" s="621"/>
      <c r="NK110" s="621"/>
      <c r="NL110" s="621"/>
      <c r="NM110" s="621"/>
      <c r="NN110" s="621"/>
      <c r="NO110" s="621"/>
      <c r="NP110" s="621"/>
      <c r="NQ110" s="621"/>
      <c r="NR110" s="621"/>
      <c r="NS110" s="621"/>
      <c r="NT110" s="621"/>
      <c r="NU110" s="621"/>
      <c r="NV110" s="621"/>
      <c r="NW110" s="621"/>
      <c r="NX110" s="621"/>
      <c r="NY110" s="621"/>
      <c r="NZ110" s="621"/>
      <c r="OA110" s="621"/>
      <c r="OB110" s="621"/>
      <c r="OC110" s="621"/>
      <c r="OD110" s="621"/>
      <c r="OE110" s="621"/>
      <c r="OF110" s="621"/>
      <c r="OG110" s="621"/>
      <c r="OH110" s="621"/>
      <c r="OI110" s="621"/>
      <c r="OJ110" s="621"/>
      <c r="OK110" s="621"/>
      <c r="OL110" s="621"/>
      <c r="OM110" s="621"/>
      <c r="ON110" s="621"/>
      <c r="OO110" s="621"/>
      <c r="OP110" s="621"/>
      <c r="OQ110" s="621"/>
      <c r="OR110" s="621"/>
      <c r="OS110" s="621"/>
      <c r="OT110" s="621"/>
      <c r="OU110" s="621"/>
      <c r="OV110" s="621"/>
      <c r="OW110" s="621"/>
      <c r="OX110" s="621"/>
      <c r="OY110" s="621"/>
      <c r="OZ110" s="621"/>
      <c r="PA110" s="621"/>
      <c r="PB110" s="621"/>
      <c r="PC110" s="621"/>
      <c r="PD110" s="621"/>
      <c r="PE110" s="621"/>
      <c r="PF110" s="621"/>
      <c r="PG110" s="621"/>
      <c r="PH110" s="621"/>
      <c r="PI110" s="621"/>
      <c r="PJ110" s="621"/>
      <c r="PK110" s="621"/>
      <c r="PL110" s="621"/>
      <c r="PM110" s="621"/>
      <c r="PN110" s="621"/>
      <c r="PO110" s="621"/>
      <c r="PP110" s="621"/>
      <c r="PQ110" s="621"/>
      <c r="PR110" s="621"/>
      <c r="PS110" s="621"/>
      <c r="PT110" s="621"/>
      <c r="PU110" s="621"/>
      <c r="PV110" s="621"/>
      <c r="PW110" s="621"/>
      <c r="PX110" s="621"/>
      <c r="PY110" s="621"/>
      <c r="PZ110" s="621"/>
      <c r="QA110" s="621"/>
      <c r="QB110" s="621"/>
      <c r="QC110" s="621"/>
      <c r="QD110" s="621"/>
      <c r="QE110" s="621"/>
      <c r="QF110" s="621"/>
      <c r="QG110" s="621"/>
      <c r="QH110" s="621"/>
      <c r="QI110" s="621"/>
      <c r="QJ110" s="621"/>
      <c r="QK110" s="621"/>
      <c r="QL110" s="621"/>
      <c r="QM110" s="621"/>
      <c r="QN110" s="621"/>
      <c r="QO110" s="621"/>
      <c r="QP110" s="621"/>
      <c r="QQ110" s="621"/>
      <c r="QR110" s="621"/>
      <c r="QS110" s="621"/>
      <c r="QT110" s="621"/>
      <c r="QU110" s="621"/>
      <c r="QV110" s="621"/>
      <c r="QW110" s="621"/>
      <c r="QX110" s="621"/>
      <c r="QY110" s="621"/>
      <c r="QZ110" s="621"/>
      <c r="RA110" s="621"/>
      <c r="RB110" s="621"/>
      <c r="RC110" s="621"/>
      <c r="RD110" s="621"/>
      <c r="RE110" s="621"/>
      <c r="RF110" s="621"/>
      <c r="RG110" s="621"/>
      <c r="RH110" s="621"/>
      <c r="RI110" s="621"/>
      <c r="RJ110" s="621"/>
      <c r="RK110" s="621"/>
      <c r="RL110" s="621"/>
      <c r="RM110" s="621"/>
      <c r="RN110" s="621"/>
      <c r="RO110" s="621"/>
      <c r="RP110" s="621"/>
      <c r="RQ110" s="621"/>
      <c r="RR110" s="621"/>
      <c r="RS110" s="621"/>
      <c r="RT110" s="621"/>
      <c r="RU110" s="621"/>
      <c r="RV110" s="621"/>
      <c r="RW110" s="621"/>
      <c r="RX110" s="621"/>
      <c r="RY110" s="621"/>
      <c r="RZ110" s="621"/>
      <c r="SA110" s="621"/>
      <c r="SB110" s="621"/>
      <c r="SC110" s="621"/>
      <c r="SD110" s="621"/>
      <c r="SE110" s="621"/>
      <c r="SF110" s="621"/>
      <c r="SG110" s="621"/>
      <c r="SH110" s="621"/>
      <c r="SI110" s="621"/>
      <c r="SJ110" s="621"/>
      <c r="SK110" s="621"/>
      <c r="SL110" s="621"/>
      <c r="SM110" s="621"/>
      <c r="SN110" s="621"/>
      <c r="SO110" s="621"/>
      <c r="SP110" s="621"/>
      <c r="SQ110" s="621"/>
      <c r="SR110" s="621"/>
      <c r="SS110" s="621"/>
      <c r="ST110" s="621"/>
      <c r="SU110" s="621"/>
      <c r="SV110" s="621"/>
      <c r="SW110" s="621"/>
      <c r="SX110" s="621"/>
      <c r="SY110" s="621"/>
      <c r="SZ110" s="621"/>
      <c r="TA110" s="621"/>
      <c r="TB110" s="621"/>
      <c r="TC110" s="621"/>
      <c r="TD110" s="621"/>
      <c r="TE110" s="621"/>
      <c r="TF110" s="621"/>
      <c r="TG110" s="621"/>
      <c r="TH110" s="621"/>
      <c r="TI110" s="621"/>
      <c r="TJ110" s="621"/>
      <c r="TK110" s="621"/>
      <c r="TL110" s="621"/>
      <c r="TM110" s="621"/>
      <c r="TN110" s="621"/>
      <c r="TO110" s="621"/>
      <c r="TP110" s="621"/>
      <c r="TQ110" s="621"/>
      <c r="TR110" s="621"/>
      <c r="TS110" s="621"/>
      <c r="TT110" s="621"/>
      <c r="TU110" s="621"/>
      <c r="TV110" s="621"/>
      <c r="TW110" s="621"/>
      <c r="TX110" s="621"/>
      <c r="TY110" s="621"/>
      <c r="TZ110" s="621"/>
      <c r="UA110" s="621"/>
      <c r="UB110" s="621"/>
      <c r="UC110" s="621"/>
      <c r="UD110" s="621"/>
      <c r="UE110" s="621"/>
      <c r="UF110" s="621"/>
      <c r="UG110" s="621"/>
      <c r="UH110" s="621"/>
      <c r="UI110" s="621"/>
      <c r="UJ110" s="621"/>
      <c r="UK110" s="621"/>
      <c r="UL110" s="621"/>
      <c r="UM110" s="621"/>
      <c r="UN110" s="621"/>
      <c r="UO110" s="621"/>
      <c r="UP110" s="621"/>
      <c r="UQ110" s="621"/>
      <c r="UR110" s="621"/>
      <c r="US110" s="621"/>
      <c r="UT110" s="621"/>
      <c r="UU110" s="621"/>
      <c r="UV110" s="621"/>
      <c r="UW110" s="621"/>
      <c r="UX110" s="621"/>
      <c r="UY110" s="621"/>
      <c r="UZ110" s="621"/>
      <c r="VA110" s="621"/>
      <c r="VB110" s="621"/>
      <c r="VC110" s="621"/>
      <c r="VD110" s="621"/>
      <c r="VE110" s="621"/>
      <c r="VF110" s="621"/>
      <c r="VG110" s="621"/>
      <c r="VH110" s="621"/>
      <c r="VI110" s="621"/>
      <c r="VJ110" s="621"/>
      <c r="VK110" s="621"/>
      <c r="VL110" s="621"/>
      <c r="VM110" s="621"/>
      <c r="VN110" s="621"/>
      <c r="VO110" s="621"/>
      <c r="VP110" s="621"/>
      <c r="VQ110" s="621"/>
      <c r="VR110" s="621"/>
      <c r="VS110" s="621"/>
      <c r="VT110" s="621"/>
      <c r="VU110" s="621"/>
      <c r="VV110" s="621"/>
      <c r="VW110" s="621"/>
      <c r="VX110" s="621"/>
      <c r="VY110" s="621"/>
      <c r="VZ110" s="621"/>
      <c r="WA110" s="621"/>
      <c r="WB110" s="621"/>
      <c r="WC110" s="621"/>
      <c r="WD110" s="621"/>
      <c r="WE110" s="621"/>
      <c r="WF110" s="621"/>
      <c r="WG110" s="621"/>
      <c r="WH110" s="621"/>
      <c r="WI110" s="621"/>
      <c r="WJ110" s="621"/>
      <c r="WK110" s="621"/>
      <c r="WL110" s="621"/>
      <c r="WM110" s="621"/>
      <c r="WN110" s="621"/>
      <c r="WO110" s="621"/>
      <c r="WP110" s="621"/>
      <c r="WQ110" s="621"/>
      <c r="WR110" s="621"/>
      <c r="WS110" s="621"/>
      <c r="WT110" s="621"/>
      <c r="WU110" s="621"/>
      <c r="WV110" s="621"/>
      <c r="WW110" s="621"/>
      <c r="WX110" s="621"/>
      <c r="WY110" s="621"/>
      <c r="WZ110" s="621"/>
      <c r="XA110" s="621"/>
      <c r="XB110" s="621"/>
      <c r="XC110" s="621"/>
      <c r="XD110" s="621"/>
      <c r="XE110" s="621"/>
      <c r="XF110" s="621"/>
      <c r="XG110" s="621"/>
      <c r="XH110" s="621"/>
      <c r="XI110" s="621"/>
      <c r="XJ110" s="621"/>
      <c r="XK110" s="621"/>
      <c r="XL110" s="621"/>
      <c r="XM110" s="621"/>
      <c r="XN110" s="621"/>
      <c r="XO110" s="621"/>
      <c r="XP110" s="621"/>
      <c r="XQ110" s="621"/>
      <c r="XR110" s="621"/>
      <c r="XS110" s="621"/>
      <c r="XT110" s="621"/>
      <c r="XU110" s="621"/>
      <c r="XV110" s="621"/>
      <c r="XW110" s="621"/>
      <c r="XX110" s="621"/>
      <c r="XY110" s="621"/>
      <c r="XZ110" s="621"/>
      <c r="YA110" s="621"/>
      <c r="YB110" s="621"/>
      <c r="YC110" s="621"/>
      <c r="YD110" s="621"/>
      <c r="YE110" s="621"/>
      <c r="YF110" s="621"/>
      <c r="YG110" s="621"/>
      <c r="YH110" s="621"/>
      <c r="YI110" s="621"/>
      <c r="YJ110" s="621"/>
      <c r="YK110" s="621"/>
      <c r="YL110" s="621"/>
      <c r="YM110" s="621"/>
      <c r="YN110" s="621"/>
      <c r="YO110" s="621"/>
      <c r="YP110" s="621"/>
      <c r="YQ110" s="621"/>
      <c r="YR110" s="621"/>
      <c r="YS110" s="621"/>
      <c r="YT110" s="621"/>
      <c r="YU110" s="621"/>
      <c r="YV110" s="621"/>
      <c r="YW110" s="621"/>
      <c r="YX110" s="621"/>
      <c r="YY110" s="621"/>
      <c r="YZ110" s="621"/>
      <c r="ZA110" s="621"/>
      <c r="ZB110" s="621"/>
      <c r="ZC110" s="621"/>
      <c r="ZD110" s="621"/>
      <c r="ZE110" s="621"/>
      <c r="ZF110" s="621"/>
      <c r="ZG110" s="621"/>
      <c r="ZH110" s="621"/>
      <c r="ZI110" s="621"/>
      <c r="ZJ110" s="621"/>
      <c r="ZK110" s="621"/>
      <c r="ZL110" s="621"/>
      <c r="ZM110" s="621"/>
      <c r="ZN110" s="621"/>
      <c r="ZO110" s="621"/>
      <c r="ZP110" s="621"/>
      <c r="ZQ110" s="621"/>
      <c r="ZR110" s="621"/>
      <c r="ZS110" s="621"/>
      <c r="ZT110" s="621"/>
      <c r="ZU110" s="621"/>
      <c r="ZV110" s="621"/>
      <c r="ZW110" s="621"/>
      <c r="ZX110" s="621"/>
      <c r="ZY110" s="621"/>
      <c r="ZZ110" s="621"/>
      <c r="AAA110" s="621"/>
      <c r="AAB110" s="621"/>
      <c r="AAC110" s="621"/>
      <c r="AAD110" s="621"/>
      <c r="AAE110" s="621"/>
      <c r="AAF110" s="621"/>
      <c r="AAG110" s="621"/>
      <c r="AAH110" s="621"/>
      <c r="AAI110" s="621"/>
      <c r="AAJ110" s="621"/>
      <c r="AAK110" s="621"/>
      <c r="AAL110" s="621"/>
      <c r="AAM110" s="621"/>
      <c r="AAN110" s="621"/>
      <c r="AAO110" s="621"/>
      <c r="AAP110" s="621"/>
      <c r="AAQ110" s="621"/>
      <c r="AAR110" s="621"/>
      <c r="AAS110" s="621"/>
      <c r="AAT110" s="621"/>
      <c r="AAU110" s="621"/>
      <c r="AAV110" s="621"/>
      <c r="AAW110" s="621"/>
      <c r="AAX110" s="621"/>
      <c r="AAY110" s="621"/>
      <c r="AAZ110" s="621"/>
      <c r="ABA110" s="621"/>
      <c r="ABB110" s="621"/>
      <c r="ABC110" s="621"/>
      <c r="ABD110" s="621"/>
      <c r="ABE110" s="621"/>
      <c r="ABF110" s="621"/>
      <c r="ABG110" s="621"/>
      <c r="ABH110" s="621"/>
      <c r="ABI110" s="621"/>
      <c r="ABJ110" s="621"/>
      <c r="ABK110" s="621"/>
      <c r="ABL110" s="621"/>
      <c r="ABM110" s="621"/>
      <c r="ABN110" s="621"/>
      <c r="ABO110" s="621"/>
      <c r="ABP110" s="621"/>
      <c r="ABQ110" s="621"/>
      <c r="ABR110" s="621"/>
      <c r="ABS110" s="621"/>
      <c r="ABT110" s="621"/>
      <c r="ABU110" s="621"/>
      <c r="ABV110" s="621"/>
      <c r="ABW110" s="621"/>
      <c r="ABX110" s="621"/>
      <c r="ABY110" s="621"/>
      <c r="ABZ110" s="621"/>
      <c r="ACA110" s="621"/>
      <c r="ACB110" s="621"/>
      <c r="ACC110" s="621"/>
      <c r="ACD110" s="621"/>
      <c r="ACE110" s="621"/>
      <c r="ACF110" s="621"/>
      <c r="ACG110" s="621"/>
      <c r="ACH110" s="621"/>
      <c r="ACI110" s="621"/>
      <c r="ACJ110" s="621"/>
      <c r="ACK110" s="621"/>
      <c r="ACL110" s="621"/>
      <c r="ACM110" s="621"/>
      <c r="ACN110" s="621"/>
      <c r="ACO110" s="621"/>
      <c r="ACP110" s="621"/>
      <c r="ACQ110" s="621"/>
      <c r="ACR110" s="621"/>
      <c r="ACS110" s="621"/>
      <c r="ACT110" s="621"/>
      <c r="ACU110" s="621"/>
      <c r="ACV110" s="621"/>
      <c r="ACW110" s="621"/>
      <c r="ACX110" s="621"/>
      <c r="ACY110" s="621"/>
      <c r="ACZ110" s="621"/>
      <c r="ADA110" s="621"/>
      <c r="ADB110" s="621"/>
      <c r="ADC110" s="621"/>
      <c r="ADD110" s="621"/>
      <c r="ADE110" s="621"/>
      <c r="ADF110" s="621"/>
      <c r="ADG110" s="621"/>
      <c r="ADH110" s="621"/>
      <c r="ADI110" s="621"/>
      <c r="ADJ110" s="621"/>
      <c r="ADK110" s="621"/>
      <c r="ADL110" s="621"/>
      <c r="ADM110" s="621"/>
      <c r="ADN110" s="621"/>
      <c r="ADO110" s="621"/>
      <c r="ADP110" s="621"/>
      <c r="ADQ110" s="621"/>
      <c r="ADR110" s="621"/>
      <c r="ADS110" s="621"/>
      <c r="ADT110" s="621"/>
      <c r="ADU110" s="621"/>
      <c r="ADV110" s="621"/>
      <c r="ADW110" s="621"/>
      <c r="ADX110" s="621"/>
      <c r="ADY110" s="621"/>
      <c r="ADZ110" s="621"/>
      <c r="AEA110" s="621"/>
      <c r="AEB110" s="621"/>
      <c r="AEC110" s="621"/>
      <c r="AED110" s="621"/>
      <c r="AEE110" s="621"/>
      <c r="AEF110" s="621"/>
      <c r="AEG110" s="621"/>
      <c r="AEH110" s="621"/>
      <c r="AEI110" s="621"/>
      <c r="AEJ110" s="621"/>
      <c r="AEK110" s="621"/>
      <c r="AEL110" s="621"/>
      <c r="AEM110" s="621"/>
      <c r="AEN110" s="621"/>
      <c r="AEO110" s="621"/>
      <c r="AEP110" s="621"/>
      <c r="AEQ110" s="621"/>
      <c r="AER110" s="621"/>
      <c r="AES110" s="621"/>
      <c r="AET110" s="621"/>
      <c r="AEU110" s="621"/>
      <c r="AEV110" s="621"/>
      <c r="AEW110" s="621"/>
      <c r="AEX110" s="621"/>
      <c r="AEY110" s="621"/>
      <c r="AEZ110" s="621"/>
      <c r="AFA110" s="621"/>
      <c r="AFB110" s="621"/>
      <c r="AFC110" s="621"/>
      <c r="AFD110" s="621"/>
      <c r="AFE110" s="621"/>
      <c r="AFF110" s="621"/>
      <c r="AFG110" s="621"/>
      <c r="AFH110" s="621"/>
      <c r="AFI110" s="621"/>
      <c r="AFJ110" s="621"/>
      <c r="AFK110" s="621"/>
      <c r="AFL110" s="621"/>
      <c r="AFM110" s="621"/>
      <c r="AFN110" s="621"/>
      <c r="AFO110" s="621"/>
      <c r="AFP110" s="621"/>
      <c r="AFQ110" s="621"/>
      <c r="AFR110" s="621"/>
      <c r="AFS110" s="621"/>
      <c r="AFT110" s="621"/>
      <c r="AFU110" s="621"/>
      <c r="AFV110" s="621"/>
      <c r="AFW110" s="621"/>
      <c r="AFX110" s="621"/>
      <c r="AFY110" s="621"/>
      <c r="AFZ110" s="621"/>
      <c r="AGA110" s="621"/>
      <c r="AGB110" s="621"/>
      <c r="AGC110" s="621"/>
      <c r="AGD110" s="621"/>
      <c r="AGE110" s="621"/>
      <c r="AGF110" s="621"/>
      <c r="AGG110" s="621"/>
      <c r="AGH110" s="621"/>
      <c r="AGI110" s="621"/>
      <c r="AGJ110" s="621"/>
      <c r="AGK110" s="621"/>
      <c r="AGL110" s="621"/>
      <c r="AGM110" s="621"/>
      <c r="AGN110" s="621"/>
      <c r="AGO110" s="621"/>
      <c r="AGP110" s="621"/>
      <c r="AGQ110" s="621"/>
      <c r="AGR110" s="621"/>
      <c r="AGS110" s="621"/>
      <c r="AGT110" s="621"/>
      <c r="AGU110" s="621"/>
      <c r="AGV110" s="621"/>
      <c r="AGW110" s="621"/>
      <c r="AGX110" s="621"/>
      <c r="AGY110" s="621"/>
      <c r="AGZ110" s="621"/>
      <c r="AHA110" s="621"/>
      <c r="AHB110" s="621"/>
      <c r="AHC110" s="621"/>
      <c r="AHD110" s="621"/>
      <c r="AHE110" s="621"/>
      <c r="AHF110" s="621"/>
      <c r="AHG110" s="621"/>
      <c r="AHH110" s="621"/>
      <c r="AHI110" s="621"/>
      <c r="AHJ110" s="621"/>
      <c r="AHK110" s="621"/>
      <c r="AHL110" s="621"/>
      <c r="AHM110" s="621"/>
      <c r="AHN110" s="621"/>
      <c r="AHO110" s="621"/>
      <c r="AHP110" s="621"/>
      <c r="AHQ110" s="621"/>
      <c r="AHR110" s="621"/>
      <c r="AHS110" s="621"/>
      <c r="AHT110" s="621"/>
      <c r="AHU110" s="621"/>
      <c r="AHV110" s="621"/>
      <c r="AHW110" s="621"/>
      <c r="AHX110" s="621"/>
      <c r="AHY110" s="621"/>
      <c r="AHZ110" s="621"/>
      <c r="AIA110" s="621"/>
      <c r="AIB110" s="621"/>
      <c r="AIC110" s="621"/>
      <c r="AID110" s="621"/>
      <c r="AIE110" s="621"/>
      <c r="AIF110" s="621"/>
      <c r="AIG110" s="621"/>
      <c r="AIH110" s="621"/>
      <c r="AII110" s="621"/>
      <c r="AIJ110" s="621"/>
      <c r="AIK110" s="621"/>
      <c r="AIL110" s="621"/>
      <c r="AIM110" s="621"/>
      <c r="AIN110" s="621"/>
      <c r="AIO110" s="621"/>
      <c r="AIP110" s="621"/>
      <c r="AIQ110" s="621"/>
      <c r="AIR110" s="621"/>
      <c r="AIS110" s="621"/>
      <c r="AIT110" s="621"/>
      <c r="AIU110" s="621"/>
      <c r="AIV110" s="621"/>
      <c r="AIW110" s="621"/>
      <c r="AIX110" s="621"/>
      <c r="AIY110" s="621"/>
      <c r="AIZ110" s="621"/>
      <c r="AJA110" s="621"/>
      <c r="AJB110" s="621"/>
      <c r="AJC110" s="621"/>
      <c r="AJD110" s="621"/>
      <c r="AJE110" s="621"/>
      <c r="AJF110" s="621"/>
      <c r="AJG110" s="621"/>
      <c r="AJH110" s="621"/>
      <c r="AJI110" s="621"/>
      <c r="AJJ110" s="621"/>
      <c r="AJK110" s="621"/>
      <c r="AJL110" s="621"/>
      <c r="AJM110" s="621"/>
      <c r="AJN110" s="621"/>
      <c r="AJO110" s="621"/>
      <c r="AJP110" s="621"/>
      <c r="AJQ110" s="621"/>
      <c r="AJR110" s="621"/>
      <c r="AJS110" s="621"/>
      <c r="AJT110" s="621"/>
      <c r="AJU110" s="621"/>
      <c r="AJV110" s="621"/>
      <c r="AJW110" s="621"/>
      <c r="AJX110" s="621"/>
      <c r="AJY110" s="621"/>
      <c r="AJZ110" s="621"/>
      <c r="AKA110" s="621"/>
      <c r="AKB110" s="621"/>
      <c r="AKC110" s="621"/>
      <c r="AKD110" s="621"/>
      <c r="AKE110" s="621"/>
      <c r="AKF110" s="621"/>
      <c r="AKG110" s="621"/>
      <c r="AKH110" s="621"/>
      <c r="AKI110" s="621"/>
      <c r="AKJ110" s="621"/>
      <c r="AKK110" s="621"/>
      <c r="AKL110" s="621"/>
      <c r="AKM110" s="621"/>
      <c r="AKN110" s="621"/>
      <c r="AKO110" s="621"/>
      <c r="AKP110" s="621"/>
      <c r="AKQ110" s="621"/>
      <c r="AKR110" s="621"/>
      <c r="AKS110" s="621"/>
      <c r="AKT110" s="621"/>
      <c r="AKU110" s="621"/>
      <c r="AKV110" s="621"/>
      <c r="AKW110" s="621"/>
      <c r="AKX110" s="621"/>
      <c r="AKY110" s="621"/>
      <c r="AKZ110" s="621"/>
      <c r="ALA110" s="621"/>
      <c r="ALB110" s="621"/>
      <c r="ALC110" s="621"/>
      <c r="ALD110" s="621"/>
      <c r="ALE110" s="621"/>
      <c r="ALF110" s="621"/>
      <c r="ALG110" s="621"/>
      <c r="ALH110" s="621"/>
      <c r="ALI110" s="621"/>
      <c r="ALJ110" s="621"/>
      <c r="ALK110" s="621"/>
      <c r="ALL110" s="621"/>
      <c r="ALM110" s="621"/>
      <c r="ALN110" s="621"/>
      <c r="ALO110" s="621"/>
      <c r="ALP110" s="621"/>
      <c r="ALQ110" s="621"/>
      <c r="ALR110" s="621"/>
      <c r="ALS110" s="621"/>
      <c r="ALT110" s="621"/>
      <c r="ALU110" s="621"/>
      <c r="ALV110" s="621"/>
      <c r="ALW110" s="621"/>
      <c r="ALX110" s="621"/>
      <c r="ALY110" s="621"/>
      <c r="ALZ110" s="621"/>
      <c r="AMA110" s="621"/>
      <c r="AMB110" s="621"/>
      <c r="AMC110" s="621"/>
      <c r="AMD110" s="621"/>
      <c r="AME110" s="621"/>
      <c r="AMF110" s="621"/>
      <c r="AMG110" s="621"/>
      <c r="AMH110" s="621"/>
      <c r="AMI110" s="621"/>
      <c r="AMJ110" s="621"/>
      <c r="AMK110" s="621"/>
    </row>
    <row r="111" spans="1:1025">
      <c r="G111" s="742"/>
      <c r="AU111" s="621"/>
      <c r="AV111" s="621"/>
      <c r="AW111" s="621"/>
      <c r="AX111" s="621"/>
      <c r="AY111" s="621"/>
      <c r="AZ111" s="621"/>
      <c r="BA111" s="621"/>
      <c r="BB111" s="621"/>
      <c r="BC111" s="621"/>
      <c r="BD111" s="621"/>
      <c r="BE111" s="621"/>
      <c r="BF111" s="621"/>
      <c r="BG111" s="621"/>
      <c r="BH111" s="621"/>
      <c r="BI111" s="621"/>
      <c r="BJ111" s="621"/>
      <c r="BK111" s="621"/>
      <c r="BL111" s="621"/>
      <c r="BM111" s="621"/>
      <c r="BN111" s="621"/>
      <c r="BO111" s="621"/>
      <c r="BP111" s="621"/>
      <c r="BQ111" s="621"/>
      <c r="BR111" s="621"/>
      <c r="BS111" s="621"/>
      <c r="BT111" s="621"/>
      <c r="BU111" s="621"/>
      <c r="BV111" s="621"/>
      <c r="BW111" s="621"/>
      <c r="BX111" s="621"/>
      <c r="BY111" s="621"/>
      <c r="BZ111" s="621"/>
      <c r="CA111" s="621"/>
      <c r="CB111" s="621"/>
      <c r="CC111" s="621"/>
      <c r="CD111" s="621"/>
      <c r="CE111" s="621"/>
      <c r="CF111" s="621"/>
      <c r="CG111" s="621"/>
      <c r="CH111" s="621"/>
      <c r="CI111" s="621"/>
      <c r="CJ111" s="621"/>
      <c r="CK111" s="621"/>
      <c r="CL111" s="621"/>
      <c r="CM111" s="621"/>
      <c r="CN111" s="621"/>
      <c r="CO111" s="621"/>
      <c r="CP111" s="621"/>
      <c r="CQ111" s="621"/>
      <c r="CR111" s="621"/>
      <c r="CS111" s="621"/>
      <c r="CT111" s="621"/>
      <c r="CU111" s="621"/>
      <c r="CV111" s="621"/>
      <c r="CW111" s="621"/>
      <c r="CX111" s="621"/>
      <c r="CY111" s="621"/>
      <c r="CZ111" s="621"/>
      <c r="DA111" s="621"/>
      <c r="DB111" s="621"/>
      <c r="DC111" s="621"/>
      <c r="DD111" s="621"/>
      <c r="DE111" s="621"/>
      <c r="DF111" s="621"/>
      <c r="DG111" s="621"/>
      <c r="DH111" s="621"/>
      <c r="DI111" s="621"/>
      <c r="DJ111" s="621"/>
      <c r="DK111" s="621"/>
      <c r="DL111" s="621"/>
      <c r="DM111" s="621"/>
      <c r="DN111" s="621"/>
      <c r="DO111" s="621"/>
      <c r="DP111" s="621"/>
      <c r="DQ111" s="621"/>
      <c r="DR111" s="621"/>
      <c r="DS111" s="621"/>
      <c r="DT111" s="621"/>
      <c r="DU111" s="621"/>
      <c r="DV111" s="621"/>
      <c r="DW111" s="621"/>
      <c r="DX111" s="621"/>
      <c r="DY111" s="621"/>
      <c r="DZ111" s="621"/>
      <c r="EA111" s="621"/>
      <c r="EB111" s="621"/>
      <c r="EC111" s="621"/>
      <c r="ED111" s="621"/>
      <c r="EE111" s="621"/>
      <c r="EF111" s="621"/>
      <c r="EG111" s="621"/>
      <c r="EH111" s="621"/>
      <c r="EI111" s="621"/>
      <c r="EJ111" s="621"/>
      <c r="EK111" s="621"/>
      <c r="EL111" s="621"/>
      <c r="EM111" s="621"/>
      <c r="EN111" s="621"/>
      <c r="EO111" s="621"/>
      <c r="EP111" s="621"/>
      <c r="EQ111" s="621"/>
      <c r="ER111" s="621"/>
      <c r="ES111" s="621"/>
      <c r="ET111" s="621"/>
      <c r="EU111" s="621"/>
      <c r="EV111" s="621"/>
      <c r="EW111" s="621"/>
      <c r="EX111" s="621"/>
      <c r="EY111" s="621"/>
      <c r="EZ111" s="621"/>
      <c r="FA111" s="621"/>
      <c r="FB111" s="621"/>
      <c r="FC111" s="621"/>
      <c r="FD111" s="621"/>
      <c r="FE111" s="621"/>
      <c r="FF111" s="621"/>
      <c r="FG111" s="621"/>
      <c r="FH111" s="621"/>
      <c r="FI111" s="621"/>
      <c r="FJ111" s="621"/>
      <c r="FK111" s="621"/>
      <c r="FL111" s="621"/>
      <c r="FM111" s="621"/>
      <c r="FN111" s="621"/>
      <c r="FO111" s="621"/>
      <c r="FP111" s="621"/>
      <c r="FQ111" s="621"/>
      <c r="FR111" s="621"/>
      <c r="FS111" s="621"/>
      <c r="FT111" s="621"/>
      <c r="FU111" s="621"/>
      <c r="FV111" s="621"/>
      <c r="FW111" s="621"/>
      <c r="FX111" s="621"/>
      <c r="FY111" s="621"/>
      <c r="FZ111" s="621"/>
      <c r="GA111" s="621"/>
      <c r="GB111" s="621"/>
      <c r="GC111" s="621"/>
      <c r="GD111" s="621"/>
      <c r="GE111" s="621"/>
      <c r="GF111" s="621"/>
      <c r="GG111" s="621"/>
      <c r="GH111" s="621"/>
      <c r="GI111" s="621"/>
      <c r="GJ111" s="621"/>
      <c r="GK111" s="621"/>
      <c r="GL111" s="621"/>
      <c r="GM111" s="621"/>
      <c r="GN111" s="621"/>
      <c r="GO111" s="621"/>
      <c r="GP111" s="621"/>
      <c r="GQ111" s="621"/>
      <c r="GR111" s="621"/>
      <c r="GS111" s="621"/>
      <c r="GT111" s="621"/>
      <c r="GU111" s="621"/>
      <c r="GV111" s="621"/>
      <c r="GW111" s="621"/>
      <c r="GX111" s="621"/>
      <c r="GY111" s="621"/>
      <c r="GZ111" s="621"/>
      <c r="HA111" s="621"/>
      <c r="HB111" s="621"/>
      <c r="HC111" s="621"/>
      <c r="HD111" s="621"/>
      <c r="HE111" s="621"/>
      <c r="HF111" s="621"/>
      <c r="HG111" s="621"/>
      <c r="HH111" s="621"/>
      <c r="HI111" s="621"/>
      <c r="HJ111" s="621"/>
      <c r="HK111" s="621"/>
      <c r="HL111" s="621"/>
      <c r="HM111" s="621"/>
      <c r="HN111" s="621"/>
      <c r="HO111" s="621"/>
      <c r="HP111" s="621"/>
      <c r="HQ111" s="621"/>
      <c r="HR111" s="621"/>
      <c r="HS111" s="621"/>
      <c r="HT111" s="621"/>
      <c r="HU111" s="621"/>
      <c r="HV111" s="621"/>
      <c r="HW111" s="621"/>
      <c r="HX111" s="621"/>
      <c r="HY111" s="621"/>
      <c r="HZ111" s="621"/>
      <c r="IA111" s="621"/>
      <c r="IB111" s="621"/>
      <c r="IC111" s="621"/>
      <c r="ID111" s="621"/>
      <c r="IE111" s="621"/>
      <c r="IF111" s="621"/>
      <c r="IG111" s="621"/>
      <c r="IH111" s="621"/>
      <c r="II111" s="621"/>
      <c r="IJ111" s="621"/>
      <c r="IK111" s="621"/>
      <c r="IL111" s="621"/>
      <c r="IM111" s="621"/>
      <c r="IN111" s="621"/>
      <c r="IO111" s="621"/>
      <c r="IP111" s="621"/>
      <c r="IQ111" s="621"/>
      <c r="IR111" s="621"/>
      <c r="IS111" s="621"/>
      <c r="IT111" s="621"/>
      <c r="IU111" s="621"/>
      <c r="IV111" s="621"/>
      <c r="IW111" s="621"/>
      <c r="IX111" s="621"/>
      <c r="IY111" s="621"/>
      <c r="IZ111" s="621"/>
      <c r="JA111" s="621"/>
      <c r="JB111" s="621"/>
      <c r="JC111" s="621"/>
      <c r="JD111" s="621"/>
      <c r="JE111" s="621"/>
      <c r="JF111" s="621"/>
      <c r="JG111" s="621"/>
      <c r="JH111" s="621"/>
      <c r="JI111" s="621"/>
      <c r="JJ111" s="621"/>
      <c r="JK111" s="621"/>
      <c r="JL111" s="621"/>
      <c r="JM111" s="621"/>
      <c r="JN111" s="621"/>
      <c r="JO111" s="621"/>
      <c r="JP111" s="621"/>
      <c r="JQ111" s="621"/>
      <c r="JR111" s="621"/>
      <c r="JS111" s="621"/>
      <c r="JT111" s="621"/>
      <c r="JU111" s="621"/>
      <c r="JV111" s="621"/>
      <c r="JW111" s="621"/>
      <c r="JX111" s="621"/>
      <c r="JY111" s="621"/>
      <c r="JZ111" s="621"/>
      <c r="KA111" s="621"/>
      <c r="KB111" s="621"/>
      <c r="KC111" s="621"/>
      <c r="KD111" s="621"/>
      <c r="KE111" s="621"/>
      <c r="KF111" s="621"/>
      <c r="KG111" s="621"/>
      <c r="KH111" s="621"/>
      <c r="KI111" s="621"/>
      <c r="KJ111" s="621"/>
      <c r="KK111" s="621"/>
      <c r="KL111" s="621"/>
      <c r="KM111" s="621"/>
      <c r="KN111" s="621"/>
      <c r="KO111" s="621"/>
      <c r="KP111" s="621"/>
      <c r="KQ111" s="621"/>
      <c r="KR111" s="621"/>
      <c r="KS111" s="621"/>
      <c r="KT111" s="621"/>
      <c r="KU111" s="621"/>
      <c r="KV111" s="621"/>
      <c r="KW111" s="621"/>
      <c r="KX111" s="621"/>
      <c r="KY111" s="621"/>
      <c r="KZ111" s="621"/>
      <c r="LA111" s="621"/>
      <c r="LB111" s="621"/>
      <c r="LC111" s="621"/>
      <c r="LD111" s="621"/>
      <c r="LE111" s="621"/>
      <c r="LF111" s="621"/>
      <c r="LG111" s="621"/>
      <c r="LH111" s="621"/>
      <c r="LI111" s="621"/>
      <c r="LJ111" s="621"/>
      <c r="LK111" s="621"/>
      <c r="LL111" s="621"/>
      <c r="LM111" s="621"/>
      <c r="LN111" s="621"/>
      <c r="LO111" s="621"/>
      <c r="LP111" s="621"/>
      <c r="LQ111" s="621"/>
      <c r="LR111" s="621"/>
      <c r="LS111" s="621"/>
      <c r="LT111" s="621"/>
      <c r="LU111" s="621"/>
      <c r="LV111" s="621"/>
      <c r="LW111" s="621"/>
      <c r="LX111" s="621"/>
      <c r="LY111" s="621"/>
      <c r="LZ111" s="621"/>
      <c r="MA111" s="621"/>
      <c r="MB111" s="621"/>
      <c r="MC111" s="621"/>
      <c r="MD111" s="621"/>
      <c r="ME111" s="621"/>
      <c r="MF111" s="621"/>
      <c r="MG111" s="621"/>
      <c r="MH111" s="621"/>
      <c r="MI111" s="621"/>
      <c r="MJ111" s="621"/>
      <c r="MK111" s="621"/>
      <c r="ML111" s="621"/>
      <c r="MM111" s="621"/>
      <c r="MN111" s="621"/>
      <c r="MO111" s="621"/>
      <c r="MP111" s="621"/>
      <c r="MQ111" s="621"/>
      <c r="MR111" s="621"/>
      <c r="MS111" s="621"/>
      <c r="MT111" s="621"/>
      <c r="MU111" s="621"/>
      <c r="MV111" s="621"/>
      <c r="MW111" s="621"/>
      <c r="MX111" s="621"/>
      <c r="MY111" s="621"/>
      <c r="MZ111" s="621"/>
      <c r="NA111" s="621"/>
      <c r="NB111" s="621"/>
      <c r="NC111" s="621"/>
      <c r="ND111" s="621"/>
      <c r="NE111" s="621"/>
      <c r="NF111" s="621"/>
      <c r="NG111" s="621"/>
      <c r="NH111" s="621"/>
      <c r="NI111" s="621"/>
      <c r="NJ111" s="621"/>
      <c r="NK111" s="621"/>
      <c r="NL111" s="621"/>
      <c r="NM111" s="621"/>
      <c r="NN111" s="621"/>
      <c r="NO111" s="621"/>
      <c r="NP111" s="621"/>
      <c r="NQ111" s="621"/>
      <c r="NR111" s="621"/>
      <c r="NS111" s="621"/>
      <c r="NT111" s="621"/>
      <c r="NU111" s="621"/>
      <c r="NV111" s="621"/>
      <c r="NW111" s="621"/>
      <c r="NX111" s="621"/>
      <c r="NY111" s="621"/>
      <c r="NZ111" s="621"/>
      <c r="OA111" s="621"/>
      <c r="OB111" s="621"/>
      <c r="OC111" s="621"/>
      <c r="OD111" s="621"/>
      <c r="OE111" s="621"/>
      <c r="OF111" s="621"/>
      <c r="OG111" s="621"/>
      <c r="OH111" s="621"/>
      <c r="OI111" s="621"/>
      <c r="OJ111" s="621"/>
      <c r="OK111" s="621"/>
      <c r="OL111" s="621"/>
      <c r="OM111" s="621"/>
      <c r="ON111" s="621"/>
      <c r="OO111" s="621"/>
      <c r="OP111" s="621"/>
      <c r="OQ111" s="621"/>
      <c r="OR111" s="621"/>
      <c r="OS111" s="621"/>
      <c r="OT111" s="621"/>
      <c r="OU111" s="621"/>
      <c r="OV111" s="621"/>
      <c r="OW111" s="621"/>
      <c r="OX111" s="621"/>
      <c r="OY111" s="621"/>
      <c r="OZ111" s="621"/>
      <c r="PA111" s="621"/>
      <c r="PB111" s="621"/>
      <c r="PC111" s="621"/>
      <c r="PD111" s="621"/>
      <c r="PE111" s="621"/>
      <c r="PF111" s="621"/>
      <c r="PG111" s="621"/>
      <c r="PH111" s="621"/>
      <c r="PI111" s="621"/>
      <c r="PJ111" s="621"/>
      <c r="PK111" s="621"/>
      <c r="PL111" s="621"/>
      <c r="PM111" s="621"/>
      <c r="PN111" s="621"/>
      <c r="PO111" s="621"/>
      <c r="PP111" s="621"/>
      <c r="PQ111" s="621"/>
      <c r="PR111" s="621"/>
      <c r="PS111" s="621"/>
      <c r="PT111" s="621"/>
      <c r="PU111" s="621"/>
      <c r="PV111" s="621"/>
      <c r="PW111" s="621"/>
      <c r="PX111" s="621"/>
      <c r="PY111" s="621"/>
      <c r="PZ111" s="621"/>
      <c r="QA111" s="621"/>
      <c r="QB111" s="621"/>
      <c r="QC111" s="621"/>
      <c r="QD111" s="621"/>
      <c r="QE111" s="621"/>
      <c r="QF111" s="621"/>
      <c r="QG111" s="621"/>
      <c r="QH111" s="621"/>
      <c r="QI111" s="621"/>
      <c r="QJ111" s="621"/>
      <c r="QK111" s="621"/>
      <c r="QL111" s="621"/>
      <c r="QM111" s="621"/>
      <c r="QN111" s="621"/>
      <c r="QO111" s="621"/>
      <c r="QP111" s="621"/>
      <c r="QQ111" s="621"/>
      <c r="QR111" s="621"/>
      <c r="QS111" s="621"/>
      <c r="QT111" s="621"/>
      <c r="QU111" s="621"/>
      <c r="QV111" s="621"/>
      <c r="QW111" s="621"/>
      <c r="QX111" s="621"/>
      <c r="QY111" s="621"/>
      <c r="QZ111" s="621"/>
      <c r="RA111" s="621"/>
      <c r="RB111" s="621"/>
      <c r="RC111" s="621"/>
      <c r="RD111" s="621"/>
      <c r="RE111" s="621"/>
      <c r="RF111" s="621"/>
      <c r="RG111" s="621"/>
      <c r="RH111" s="621"/>
      <c r="RI111" s="621"/>
      <c r="RJ111" s="621"/>
      <c r="RK111" s="621"/>
      <c r="RL111" s="621"/>
      <c r="RM111" s="621"/>
      <c r="RN111" s="621"/>
      <c r="RO111" s="621"/>
      <c r="RP111" s="621"/>
      <c r="RQ111" s="621"/>
      <c r="RR111" s="621"/>
      <c r="RS111" s="621"/>
      <c r="RT111" s="621"/>
      <c r="RU111" s="621"/>
      <c r="RV111" s="621"/>
      <c r="RW111" s="621"/>
      <c r="RX111" s="621"/>
      <c r="RY111" s="621"/>
      <c r="RZ111" s="621"/>
      <c r="SA111" s="621"/>
      <c r="SB111" s="621"/>
      <c r="SC111" s="621"/>
      <c r="SD111" s="621"/>
      <c r="SE111" s="621"/>
      <c r="SF111" s="621"/>
      <c r="SG111" s="621"/>
      <c r="SH111" s="621"/>
      <c r="SI111" s="621"/>
      <c r="SJ111" s="621"/>
      <c r="SK111" s="621"/>
      <c r="SL111" s="621"/>
      <c r="SM111" s="621"/>
      <c r="SN111" s="621"/>
      <c r="SO111" s="621"/>
      <c r="SP111" s="621"/>
      <c r="SQ111" s="621"/>
      <c r="SR111" s="621"/>
      <c r="SS111" s="621"/>
      <c r="ST111" s="621"/>
      <c r="SU111" s="621"/>
      <c r="SV111" s="621"/>
      <c r="SW111" s="621"/>
      <c r="SX111" s="621"/>
      <c r="SY111" s="621"/>
      <c r="SZ111" s="621"/>
      <c r="TA111" s="621"/>
      <c r="TB111" s="621"/>
      <c r="TC111" s="621"/>
      <c r="TD111" s="621"/>
      <c r="TE111" s="621"/>
      <c r="TF111" s="621"/>
      <c r="TG111" s="621"/>
      <c r="TH111" s="621"/>
      <c r="TI111" s="621"/>
      <c r="TJ111" s="621"/>
      <c r="TK111" s="621"/>
      <c r="TL111" s="621"/>
      <c r="TM111" s="621"/>
      <c r="TN111" s="621"/>
      <c r="TO111" s="621"/>
      <c r="TP111" s="621"/>
      <c r="TQ111" s="621"/>
      <c r="TR111" s="621"/>
      <c r="TS111" s="621"/>
      <c r="TT111" s="621"/>
      <c r="TU111" s="621"/>
      <c r="TV111" s="621"/>
      <c r="TW111" s="621"/>
      <c r="TX111" s="621"/>
      <c r="TY111" s="621"/>
      <c r="TZ111" s="621"/>
      <c r="UA111" s="621"/>
      <c r="UB111" s="621"/>
      <c r="UC111" s="621"/>
      <c r="UD111" s="621"/>
      <c r="UE111" s="621"/>
      <c r="UF111" s="621"/>
      <c r="UG111" s="621"/>
      <c r="UH111" s="621"/>
      <c r="UI111" s="621"/>
      <c r="UJ111" s="621"/>
      <c r="UK111" s="621"/>
      <c r="UL111" s="621"/>
      <c r="UM111" s="621"/>
      <c r="UN111" s="621"/>
      <c r="UO111" s="621"/>
      <c r="UP111" s="621"/>
      <c r="UQ111" s="621"/>
      <c r="UR111" s="621"/>
      <c r="US111" s="621"/>
      <c r="UT111" s="621"/>
      <c r="UU111" s="621"/>
      <c r="UV111" s="621"/>
      <c r="UW111" s="621"/>
      <c r="UX111" s="621"/>
      <c r="UY111" s="621"/>
      <c r="UZ111" s="621"/>
      <c r="VA111" s="621"/>
      <c r="VB111" s="621"/>
      <c r="VC111" s="621"/>
      <c r="VD111" s="621"/>
      <c r="VE111" s="621"/>
      <c r="VF111" s="621"/>
      <c r="VG111" s="621"/>
      <c r="VH111" s="621"/>
      <c r="VI111" s="621"/>
      <c r="VJ111" s="621"/>
      <c r="VK111" s="621"/>
      <c r="VL111" s="621"/>
      <c r="VM111" s="621"/>
      <c r="VN111" s="621"/>
      <c r="VO111" s="621"/>
      <c r="VP111" s="621"/>
      <c r="VQ111" s="621"/>
      <c r="VR111" s="621"/>
      <c r="VS111" s="621"/>
      <c r="VT111" s="621"/>
      <c r="VU111" s="621"/>
      <c r="VV111" s="621"/>
      <c r="VW111" s="621"/>
      <c r="VX111" s="621"/>
      <c r="VY111" s="621"/>
      <c r="VZ111" s="621"/>
      <c r="WA111" s="621"/>
      <c r="WB111" s="621"/>
      <c r="WC111" s="621"/>
      <c r="WD111" s="621"/>
      <c r="WE111" s="621"/>
      <c r="WF111" s="621"/>
      <c r="WG111" s="621"/>
      <c r="WH111" s="621"/>
      <c r="WI111" s="621"/>
      <c r="WJ111" s="621"/>
      <c r="WK111" s="621"/>
      <c r="WL111" s="621"/>
      <c r="WM111" s="621"/>
      <c r="WN111" s="621"/>
      <c r="WO111" s="621"/>
      <c r="WP111" s="621"/>
      <c r="WQ111" s="621"/>
      <c r="WR111" s="621"/>
      <c r="WS111" s="621"/>
      <c r="WT111" s="621"/>
      <c r="WU111" s="621"/>
      <c r="WV111" s="621"/>
      <c r="WW111" s="621"/>
      <c r="WX111" s="621"/>
      <c r="WY111" s="621"/>
      <c r="WZ111" s="621"/>
      <c r="XA111" s="621"/>
      <c r="XB111" s="621"/>
      <c r="XC111" s="621"/>
      <c r="XD111" s="621"/>
      <c r="XE111" s="621"/>
      <c r="XF111" s="621"/>
      <c r="XG111" s="621"/>
      <c r="XH111" s="621"/>
      <c r="XI111" s="621"/>
      <c r="XJ111" s="621"/>
      <c r="XK111" s="621"/>
      <c r="XL111" s="621"/>
      <c r="XM111" s="621"/>
      <c r="XN111" s="621"/>
      <c r="XO111" s="621"/>
      <c r="XP111" s="621"/>
      <c r="XQ111" s="621"/>
      <c r="XR111" s="621"/>
      <c r="XS111" s="621"/>
      <c r="XT111" s="621"/>
      <c r="XU111" s="621"/>
      <c r="XV111" s="621"/>
      <c r="XW111" s="621"/>
      <c r="XX111" s="621"/>
      <c r="XY111" s="621"/>
      <c r="XZ111" s="621"/>
      <c r="YA111" s="621"/>
      <c r="YB111" s="621"/>
      <c r="YC111" s="621"/>
      <c r="YD111" s="621"/>
      <c r="YE111" s="621"/>
      <c r="YF111" s="621"/>
      <c r="YG111" s="621"/>
      <c r="YH111" s="621"/>
      <c r="YI111" s="621"/>
      <c r="YJ111" s="621"/>
      <c r="YK111" s="621"/>
      <c r="YL111" s="621"/>
      <c r="YM111" s="621"/>
      <c r="YN111" s="621"/>
      <c r="YO111" s="621"/>
      <c r="YP111" s="621"/>
      <c r="YQ111" s="621"/>
      <c r="YR111" s="621"/>
      <c r="YS111" s="621"/>
      <c r="YT111" s="621"/>
      <c r="YU111" s="621"/>
      <c r="YV111" s="621"/>
      <c r="YW111" s="621"/>
      <c r="YX111" s="621"/>
      <c r="YY111" s="621"/>
      <c r="YZ111" s="621"/>
      <c r="ZA111" s="621"/>
      <c r="ZB111" s="621"/>
      <c r="ZC111" s="621"/>
      <c r="ZD111" s="621"/>
      <c r="ZE111" s="621"/>
      <c r="ZF111" s="621"/>
      <c r="ZG111" s="621"/>
      <c r="ZH111" s="621"/>
      <c r="ZI111" s="621"/>
      <c r="ZJ111" s="621"/>
      <c r="ZK111" s="621"/>
      <c r="ZL111" s="621"/>
      <c r="ZM111" s="621"/>
      <c r="ZN111" s="621"/>
      <c r="ZO111" s="621"/>
      <c r="ZP111" s="621"/>
      <c r="ZQ111" s="621"/>
      <c r="ZR111" s="621"/>
      <c r="ZS111" s="621"/>
      <c r="ZT111" s="621"/>
      <c r="ZU111" s="621"/>
      <c r="ZV111" s="621"/>
      <c r="ZW111" s="621"/>
      <c r="ZX111" s="621"/>
      <c r="ZY111" s="621"/>
      <c r="ZZ111" s="621"/>
      <c r="AAA111" s="621"/>
      <c r="AAB111" s="621"/>
      <c r="AAC111" s="621"/>
      <c r="AAD111" s="621"/>
      <c r="AAE111" s="621"/>
      <c r="AAF111" s="621"/>
      <c r="AAG111" s="621"/>
      <c r="AAH111" s="621"/>
      <c r="AAI111" s="621"/>
      <c r="AAJ111" s="621"/>
      <c r="AAK111" s="621"/>
      <c r="AAL111" s="621"/>
      <c r="AAM111" s="621"/>
      <c r="AAN111" s="621"/>
      <c r="AAO111" s="621"/>
      <c r="AAP111" s="621"/>
      <c r="AAQ111" s="621"/>
      <c r="AAR111" s="621"/>
      <c r="AAS111" s="621"/>
      <c r="AAT111" s="621"/>
      <c r="AAU111" s="621"/>
      <c r="AAV111" s="621"/>
      <c r="AAW111" s="621"/>
      <c r="AAX111" s="621"/>
      <c r="AAY111" s="621"/>
      <c r="AAZ111" s="621"/>
      <c r="ABA111" s="621"/>
      <c r="ABB111" s="621"/>
      <c r="ABC111" s="621"/>
      <c r="ABD111" s="621"/>
      <c r="ABE111" s="621"/>
      <c r="ABF111" s="621"/>
      <c r="ABG111" s="621"/>
      <c r="ABH111" s="621"/>
      <c r="ABI111" s="621"/>
      <c r="ABJ111" s="621"/>
      <c r="ABK111" s="621"/>
      <c r="ABL111" s="621"/>
      <c r="ABM111" s="621"/>
      <c r="ABN111" s="621"/>
      <c r="ABO111" s="621"/>
      <c r="ABP111" s="621"/>
      <c r="ABQ111" s="621"/>
      <c r="ABR111" s="621"/>
      <c r="ABS111" s="621"/>
      <c r="ABT111" s="621"/>
      <c r="ABU111" s="621"/>
      <c r="ABV111" s="621"/>
      <c r="ABW111" s="621"/>
      <c r="ABX111" s="621"/>
      <c r="ABY111" s="621"/>
      <c r="ABZ111" s="621"/>
      <c r="ACA111" s="621"/>
      <c r="ACB111" s="621"/>
      <c r="ACC111" s="621"/>
      <c r="ACD111" s="621"/>
      <c r="ACE111" s="621"/>
      <c r="ACF111" s="621"/>
      <c r="ACG111" s="621"/>
      <c r="ACH111" s="621"/>
      <c r="ACI111" s="621"/>
      <c r="ACJ111" s="621"/>
      <c r="ACK111" s="621"/>
      <c r="ACL111" s="621"/>
      <c r="ACM111" s="621"/>
      <c r="ACN111" s="621"/>
      <c r="ACO111" s="621"/>
      <c r="ACP111" s="621"/>
      <c r="ACQ111" s="621"/>
      <c r="ACR111" s="621"/>
      <c r="ACS111" s="621"/>
      <c r="ACT111" s="621"/>
      <c r="ACU111" s="621"/>
      <c r="ACV111" s="621"/>
      <c r="ACW111" s="621"/>
      <c r="ACX111" s="621"/>
      <c r="ACY111" s="621"/>
      <c r="ACZ111" s="621"/>
      <c r="ADA111" s="621"/>
      <c r="ADB111" s="621"/>
      <c r="ADC111" s="621"/>
      <c r="ADD111" s="621"/>
      <c r="ADE111" s="621"/>
      <c r="ADF111" s="621"/>
      <c r="ADG111" s="621"/>
      <c r="ADH111" s="621"/>
      <c r="ADI111" s="621"/>
      <c r="ADJ111" s="621"/>
      <c r="ADK111" s="621"/>
      <c r="ADL111" s="621"/>
      <c r="ADM111" s="621"/>
      <c r="ADN111" s="621"/>
      <c r="ADO111" s="621"/>
      <c r="ADP111" s="621"/>
      <c r="ADQ111" s="621"/>
      <c r="ADR111" s="621"/>
      <c r="ADS111" s="621"/>
      <c r="ADT111" s="621"/>
      <c r="ADU111" s="621"/>
      <c r="ADV111" s="621"/>
      <c r="ADW111" s="621"/>
      <c r="ADX111" s="621"/>
      <c r="ADY111" s="621"/>
      <c r="ADZ111" s="621"/>
      <c r="AEA111" s="621"/>
      <c r="AEB111" s="621"/>
      <c r="AEC111" s="621"/>
      <c r="AED111" s="621"/>
      <c r="AEE111" s="621"/>
      <c r="AEF111" s="621"/>
      <c r="AEG111" s="621"/>
      <c r="AEH111" s="621"/>
      <c r="AEI111" s="621"/>
      <c r="AEJ111" s="621"/>
      <c r="AEK111" s="621"/>
      <c r="AEL111" s="621"/>
      <c r="AEM111" s="621"/>
      <c r="AEN111" s="621"/>
      <c r="AEO111" s="621"/>
      <c r="AEP111" s="621"/>
      <c r="AEQ111" s="621"/>
      <c r="AER111" s="621"/>
      <c r="AES111" s="621"/>
      <c r="AET111" s="621"/>
      <c r="AEU111" s="621"/>
      <c r="AEV111" s="621"/>
      <c r="AEW111" s="621"/>
      <c r="AEX111" s="621"/>
      <c r="AEY111" s="621"/>
      <c r="AEZ111" s="621"/>
      <c r="AFA111" s="621"/>
      <c r="AFB111" s="621"/>
      <c r="AFC111" s="621"/>
      <c r="AFD111" s="621"/>
      <c r="AFE111" s="621"/>
      <c r="AFF111" s="621"/>
      <c r="AFG111" s="621"/>
      <c r="AFH111" s="621"/>
      <c r="AFI111" s="621"/>
      <c r="AFJ111" s="621"/>
      <c r="AFK111" s="621"/>
      <c r="AFL111" s="621"/>
      <c r="AFM111" s="621"/>
      <c r="AFN111" s="621"/>
      <c r="AFO111" s="621"/>
      <c r="AFP111" s="621"/>
      <c r="AFQ111" s="621"/>
      <c r="AFR111" s="621"/>
      <c r="AFS111" s="621"/>
      <c r="AFT111" s="621"/>
      <c r="AFU111" s="621"/>
      <c r="AFV111" s="621"/>
      <c r="AFW111" s="621"/>
      <c r="AFX111" s="621"/>
      <c r="AFY111" s="621"/>
      <c r="AFZ111" s="621"/>
      <c r="AGA111" s="621"/>
      <c r="AGB111" s="621"/>
      <c r="AGC111" s="621"/>
      <c r="AGD111" s="621"/>
      <c r="AGE111" s="621"/>
      <c r="AGF111" s="621"/>
      <c r="AGG111" s="621"/>
      <c r="AGH111" s="621"/>
      <c r="AGI111" s="621"/>
      <c r="AGJ111" s="621"/>
      <c r="AGK111" s="621"/>
      <c r="AGL111" s="621"/>
      <c r="AGM111" s="621"/>
      <c r="AGN111" s="621"/>
      <c r="AGO111" s="621"/>
      <c r="AGP111" s="621"/>
      <c r="AGQ111" s="621"/>
      <c r="AGR111" s="621"/>
      <c r="AGS111" s="621"/>
      <c r="AGT111" s="621"/>
      <c r="AGU111" s="621"/>
      <c r="AGV111" s="621"/>
      <c r="AGW111" s="621"/>
      <c r="AGX111" s="621"/>
      <c r="AGY111" s="621"/>
      <c r="AGZ111" s="621"/>
      <c r="AHA111" s="621"/>
      <c r="AHB111" s="621"/>
      <c r="AHC111" s="621"/>
      <c r="AHD111" s="621"/>
      <c r="AHE111" s="621"/>
      <c r="AHF111" s="621"/>
      <c r="AHG111" s="621"/>
      <c r="AHH111" s="621"/>
      <c r="AHI111" s="621"/>
      <c r="AHJ111" s="621"/>
      <c r="AHK111" s="621"/>
      <c r="AHL111" s="621"/>
      <c r="AHM111" s="621"/>
      <c r="AHN111" s="621"/>
      <c r="AHO111" s="621"/>
      <c r="AHP111" s="621"/>
      <c r="AHQ111" s="621"/>
      <c r="AHR111" s="621"/>
      <c r="AHS111" s="621"/>
      <c r="AHT111" s="621"/>
      <c r="AHU111" s="621"/>
      <c r="AHV111" s="621"/>
      <c r="AHW111" s="621"/>
      <c r="AHX111" s="621"/>
      <c r="AHY111" s="621"/>
      <c r="AHZ111" s="621"/>
      <c r="AIA111" s="621"/>
      <c r="AIB111" s="621"/>
      <c r="AIC111" s="621"/>
      <c r="AID111" s="621"/>
      <c r="AIE111" s="621"/>
      <c r="AIF111" s="621"/>
      <c r="AIG111" s="621"/>
      <c r="AIH111" s="621"/>
      <c r="AII111" s="621"/>
      <c r="AIJ111" s="621"/>
      <c r="AIK111" s="621"/>
      <c r="AIL111" s="621"/>
      <c r="AIM111" s="621"/>
      <c r="AIN111" s="621"/>
      <c r="AIO111" s="621"/>
      <c r="AIP111" s="621"/>
      <c r="AIQ111" s="621"/>
      <c r="AIR111" s="621"/>
      <c r="AIS111" s="621"/>
      <c r="AIT111" s="621"/>
      <c r="AIU111" s="621"/>
      <c r="AIV111" s="621"/>
      <c r="AIW111" s="621"/>
      <c r="AIX111" s="621"/>
      <c r="AIY111" s="621"/>
      <c r="AIZ111" s="621"/>
      <c r="AJA111" s="621"/>
      <c r="AJB111" s="621"/>
      <c r="AJC111" s="621"/>
      <c r="AJD111" s="621"/>
      <c r="AJE111" s="621"/>
      <c r="AJF111" s="621"/>
      <c r="AJG111" s="621"/>
      <c r="AJH111" s="621"/>
      <c r="AJI111" s="621"/>
      <c r="AJJ111" s="621"/>
      <c r="AJK111" s="621"/>
      <c r="AJL111" s="621"/>
      <c r="AJM111" s="621"/>
      <c r="AJN111" s="621"/>
      <c r="AJO111" s="621"/>
      <c r="AJP111" s="621"/>
      <c r="AJQ111" s="621"/>
      <c r="AJR111" s="621"/>
      <c r="AJS111" s="621"/>
      <c r="AJT111" s="621"/>
      <c r="AJU111" s="621"/>
      <c r="AJV111" s="621"/>
      <c r="AJW111" s="621"/>
      <c r="AJX111" s="621"/>
      <c r="AJY111" s="621"/>
      <c r="AJZ111" s="621"/>
      <c r="AKA111" s="621"/>
      <c r="AKB111" s="621"/>
      <c r="AKC111" s="621"/>
      <c r="AKD111" s="621"/>
      <c r="AKE111" s="621"/>
      <c r="AKF111" s="621"/>
      <c r="AKG111" s="621"/>
      <c r="AKH111" s="621"/>
      <c r="AKI111" s="621"/>
      <c r="AKJ111" s="621"/>
      <c r="AKK111" s="621"/>
      <c r="AKL111" s="621"/>
      <c r="AKM111" s="621"/>
      <c r="AKN111" s="621"/>
      <c r="AKO111" s="621"/>
      <c r="AKP111" s="621"/>
      <c r="AKQ111" s="621"/>
      <c r="AKR111" s="621"/>
      <c r="AKS111" s="621"/>
      <c r="AKT111" s="621"/>
      <c r="AKU111" s="621"/>
      <c r="AKV111" s="621"/>
      <c r="AKW111" s="621"/>
      <c r="AKX111" s="621"/>
      <c r="AKY111" s="621"/>
      <c r="AKZ111" s="621"/>
      <c r="ALA111" s="621"/>
      <c r="ALB111" s="621"/>
      <c r="ALC111" s="621"/>
      <c r="ALD111" s="621"/>
      <c r="ALE111" s="621"/>
      <c r="ALF111" s="621"/>
      <c r="ALG111" s="621"/>
      <c r="ALH111" s="621"/>
      <c r="ALI111" s="621"/>
      <c r="ALJ111" s="621"/>
      <c r="ALK111" s="621"/>
      <c r="ALL111" s="621"/>
      <c r="ALM111" s="621"/>
      <c r="ALN111" s="621"/>
      <c r="ALO111" s="621"/>
      <c r="ALP111" s="621"/>
      <c r="ALQ111" s="621"/>
      <c r="ALR111" s="621"/>
      <c r="ALS111" s="621"/>
      <c r="ALT111" s="621"/>
      <c r="ALU111" s="621"/>
      <c r="ALV111" s="621"/>
      <c r="ALW111" s="621"/>
      <c r="ALX111" s="621"/>
      <c r="ALY111" s="621"/>
      <c r="ALZ111" s="621"/>
      <c r="AMA111" s="621"/>
      <c r="AMB111" s="621"/>
      <c r="AMC111" s="621"/>
      <c r="AMD111" s="621"/>
      <c r="AME111" s="621"/>
      <c r="AMF111" s="621"/>
      <c r="AMG111" s="621"/>
      <c r="AMH111" s="621"/>
      <c r="AMI111" s="621"/>
      <c r="AMJ111" s="621"/>
      <c r="AMK111" s="621"/>
    </row>
    <row r="123" spans="1:1025">
      <c r="A123" s="621"/>
      <c r="B123" s="621"/>
      <c r="C123" s="621"/>
      <c r="G123" s="135">
        <f>77*967</f>
        <v>74459</v>
      </c>
      <c r="H123" s="621"/>
      <c r="I123" s="621"/>
      <c r="J123" s="621"/>
      <c r="K123" s="621"/>
      <c r="L123" s="621"/>
      <c r="M123" s="621"/>
      <c r="N123" s="621"/>
      <c r="O123" s="621"/>
      <c r="P123" s="621"/>
      <c r="Q123" s="621"/>
      <c r="R123" s="621"/>
      <c r="S123" s="621"/>
      <c r="T123" s="621"/>
      <c r="U123" s="621"/>
      <c r="V123" s="621"/>
      <c r="W123" s="621"/>
      <c r="X123" s="621"/>
      <c r="Y123" s="621"/>
      <c r="Z123" s="621"/>
      <c r="AA123" s="621"/>
      <c r="AB123" s="621"/>
      <c r="AC123" s="621"/>
      <c r="AD123" s="621"/>
      <c r="AE123" s="621"/>
      <c r="AF123" s="621"/>
      <c r="AG123" s="621"/>
      <c r="AH123" s="621"/>
      <c r="AI123" s="621"/>
      <c r="AJ123" s="621"/>
      <c r="AK123" s="621"/>
      <c r="AL123" s="621"/>
      <c r="AM123" s="621"/>
      <c r="AN123" s="621"/>
      <c r="AO123" s="621"/>
      <c r="AP123" s="621"/>
      <c r="AQ123" s="621"/>
      <c r="AR123" s="621"/>
      <c r="AS123" s="621"/>
      <c r="AT123" s="621"/>
      <c r="AU123" s="621"/>
      <c r="AV123" s="621"/>
      <c r="AW123" s="621"/>
      <c r="AX123" s="621"/>
      <c r="AY123" s="621"/>
      <c r="AZ123" s="621"/>
      <c r="BA123" s="621"/>
      <c r="BB123" s="621"/>
      <c r="BC123" s="621"/>
      <c r="BD123" s="621"/>
      <c r="BE123" s="621"/>
      <c r="BF123" s="621"/>
      <c r="BG123" s="621"/>
      <c r="BH123" s="621"/>
      <c r="BI123" s="621"/>
      <c r="BJ123" s="621"/>
      <c r="BK123" s="621"/>
      <c r="BL123" s="621"/>
      <c r="BM123" s="621"/>
      <c r="BN123" s="621"/>
      <c r="BO123" s="621"/>
      <c r="BP123" s="621"/>
      <c r="BQ123" s="621"/>
      <c r="BR123" s="621"/>
      <c r="BS123" s="621"/>
      <c r="BT123" s="621"/>
      <c r="BU123" s="621"/>
      <c r="BV123" s="621"/>
      <c r="BW123" s="621"/>
      <c r="BX123" s="621"/>
      <c r="BY123" s="621"/>
      <c r="BZ123" s="621"/>
      <c r="CA123" s="621"/>
      <c r="CB123" s="621"/>
      <c r="CC123" s="621"/>
      <c r="CD123" s="621"/>
      <c r="CE123" s="621"/>
      <c r="CF123" s="621"/>
      <c r="CG123" s="621"/>
      <c r="CH123" s="621"/>
      <c r="CI123" s="621"/>
      <c r="CJ123" s="621"/>
      <c r="CK123" s="621"/>
      <c r="CL123" s="621"/>
      <c r="CM123" s="621"/>
      <c r="CN123" s="621"/>
      <c r="CO123" s="621"/>
      <c r="CP123" s="621"/>
      <c r="CQ123" s="621"/>
      <c r="CR123" s="621"/>
      <c r="CS123" s="621"/>
      <c r="CT123" s="621"/>
      <c r="CU123" s="621"/>
      <c r="CV123" s="621"/>
      <c r="CW123" s="621"/>
      <c r="CX123" s="621"/>
      <c r="CY123" s="621"/>
      <c r="CZ123" s="621"/>
      <c r="DA123" s="621"/>
      <c r="DB123" s="621"/>
      <c r="DC123" s="621"/>
      <c r="DD123" s="621"/>
      <c r="DE123" s="621"/>
      <c r="DF123" s="621"/>
      <c r="DG123" s="621"/>
      <c r="DH123" s="621"/>
      <c r="DI123" s="621"/>
      <c r="DJ123" s="621"/>
      <c r="DK123" s="621"/>
      <c r="DL123" s="621"/>
      <c r="DM123" s="621"/>
      <c r="DN123" s="621"/>
      <c r="DO123" s="621"/>
      <c r="DP123" s="621"/>
      <c r="DQ123" s="621"/>
      <c r="DR123" s="621"/>
      <c r="DS123" s="621"/>
      <c r="DT123" s="621"/>
      <c r="DU123" s="621"/>
      <c r="DV123" s="621"/>
      <c r="DW123" s="621"/>
      <c r="DX123" s="621"/>
      <c r="DY123" s="621"/>
      <c r="DZ123" s="621"/>
      <c r="EA123" s="621"/>
      <c r="EB123" s="621"/>
      <c r="EC123" s="621"/>
      <c r="ED123" s="621"/>
      <c r="EE123" s="621"/>
      <c r="EF123" s="621"/>
      <c r="EG123" s="621"/>
      <c r="EH123" s="621"/>
      <c r="EI123" s="621"/>
      <c r="EJ123" s="621"/>
      <c r="EK123" s="621"/>
      <c r="EL123" s="621"/>
      <c r="EM123" s="621"/>
      <c r="EN123" s="621"/>
      <c r="EO123" s="621"/>
      <c r="EP123" s="621"/>
      <c r="EQ123" s="621"/>
      <c r="ER123" s="621"/>
      <c r="ES123" s="621"/>
      <c r="ET123" s="621"/>
      <c r="EU123" s="621"/>
      <c r="EV123" s="621"/>
      <c r="EW123" s="621"/>
      <c r="EX123" s="621"/>
      <c r="EY123" s="621"/>
      <c r="EZ123" s="621"/>
      <c r="FA123" s="621"/>
      <c r="FB123" s="621"/>
      <c r="FC123" s="621"/>
      <c r="FD123" s="621"/>
      <c r="FE123" s="621"/>
      <c r="FF123" s="621"/>
      <c r="FG123" s="621"/>
      <c r="FH123" s="621"/>
      <c r="FI123" s="621"/>
      <c r="FJ123" s="621"/>
      <c r="FK123" s="621"/>
      <c r="FL123" s="621"/>
      <c r="FM123" s="621"/>
      <c r="FN123" s="621"/>
      <c r="FO123" s="621"/>
      <c r="FP123" s="621"/>
      <c r="FQ123" s="621"/>
      <c r="FR123" s="621"/>
      <c r="FS123" s="621"/>
      <c r="FT123" s="621"/>
      <c r="FU123" s="621"/>
      <c r="FV123" s="621"/>
      <c r="FW123" s="621"/>
      <c r="FX123" s="621"/>
      <c r="FY123" s="621"/>
      <c r="FZ123" s="621"/>
      <c r="GA123" s="621"/>
      <c r="GB123" s="621"/>
      <c r="GC123" s="621"/>
      <c r="GD123" s="621"/>
      <c r="GE123" s="621"/>
      <c r="GF123" s="621"/>
      <c r="GG123" s="621"/>
      <c r="GH123" s="621"/>
      <c r="GI123" s="621"/>
      <c r="GJ123" s="621"/>
      <c r="GK123" s="621"/>
      <c r="GL123" s="621"/>
      <c r="GM123" s="621"/>
      <c r="GN123" s="621"/>
      <c r="GO123" s="621"/>
      <c r="GP123" s="621"/>
      <c r="GQ123" s="621"/>
      <c r="GR123" s="621"/>
      <c r="GS123" s="621"/>
      <c r="GT123" s="621"/>
      <c r="GU123" s="621"/>
      <c r="GV123" s="621"/>
      <c r="GW123" s="621"/>
      <c r="GX123" s="621"/>
      <c r="GY123" s="621"/>
      <c r="GZ123" s="621"/>
      <c r="HA123" s="621"/>
      <c r="HB123" s="621"/>
      <c r="HC123" s="621"/>
      <c r="HD123" s="621"/>
      <c r="HE123" s="621"/>
      <c r="HF123" s="621"/>
      <c r="HG123" s="621"/>
      <c r="HH123" s="621"/>
      <c r="HI123" s="621"/>
      <c r="HJ123" s="621"/>
      <c r="HK123" s="621"/>
      <c r="HL123" s="621"/>
      <c r="HM123" s="621"/>
      <c r="HN123" s="621"/>
      <c r="HO123" s="621"/>
      <c r="HP123" s="621"/>
      <c r="HQ123" s="621"/>
      <c r="HR123" s="621"/>
      <c r="HS123" s="621"/>
      <c r="HT123" s="621"/>
      <c r="HU123" s="621"/>
      <c r="HV123" s="621"/>
      <c r="HW123" s="621"/>
      <c r="HX123" s="621"/>
      <c r="HY123" s="621"/>
      <c r="HZ123" s="621"/>
      <c r="IA123" s="621"/>
      <c r="IB123" s="621"/>
      <c r="IC123" s="621"/>
      <c r="ID123" s="621"/>
      <c r="IE123" s="621"/>
      <c r="IF123" s="621"/>
      <c r="IG123" s="621"/>
      <c r="IH123" s="621"/>
      <c r="II123" s="621"/>
      <c r="IJ123" s="621"/>
      <c r="IK123" s="621"/>
      <c r="IL123" s="621"/>
      <c r="IM123" s="621"/>
      <c r="IN123" s="621"/>
      <c r="IO123" s="621"/>
      <c r="IP123" s="621"/>
      <c r="IQ123" s="621"/>
      <c r="IR123" s="621"/>
      <c r="IS123" s="621"/>
      <c r="IT123" s="621"/>
      <c r="IU123" s="621"/>
      <c r="IV123" s="621"/>
      <c r="IW123" s="621"/>
      <c r="IX123" s="621"/>
      <c r="IY123" s="621"/>
      <c r="IZ123" s="621"/>
      <c r="JA123" s="621"/>
      <c r="JB123" s="621"/>
      <c r="JC123" s="621"/>
      <c r="JD123" s="621"/>
      <c r="JE123" s="621"/>
      <c r="JF123" s="621"/>
      <c r="JG123" s="621"/>
      <c r="JH123" s="621"/>
      <c r="JI123" s="621"/>
      <c r="JJ123" s="621"/>
      <c r="JK123" s="621"/>
      <c r="JL123" s="621"/>
      <c r="JM123" s="621"/>
      <c r="JN123" s="621"/>
      <c r="JO123" s="621"/>
      <c r="JP123" s="621"/>
      <c r="JQ123" s="621"/>
      <c r="JR123" s="621"/>
      <c r="JS123" s="621"/>
      <c r="JT123" s="621"/>
      <c r="JU123" s="621"/>
      <c r="JV123" s="621"/>
      <c r="JW123" s="621"/>
      <c r="JX123" s="621"/>
      <c r="JY123" s="621"/>
      <c r="JZ123" s="621"/>
      <c r="KA123" s="621"/>
      <c r="KB123" s="621"/>
      <c r="KC123" s="621"/>
      <c r="KD123" s="621"/>
      <c r="KE123" s="621"/>
      <c r="KF123" s="621"/>
      <c r="KG123" s="621"/>
      <c r="KH123" s="621"/>
      <c r="KI123" s="621"/>
      <c r="KJ123" s="621"/>
      <c r="KK123" s="621"/>
      <c r="KL123" s="621"/>
      <c r="KM123" s="621"/>
      <c r="KN123" s="621"/>
      <c r="KO123" s="621"/>
      <c r="KP123" s="621"/>
      <c r="KQ123" s="621"/>
      <c r="KR123" s="621"/>
      <c r="KS123" s="621"/>
      <c r="KT123" s="621"/>
      <c r="KU123" s="621"/>
      <c r="KV123" s="621"/>
      <c r="KW123" s="621"/>
      <c r="KX123" s="621"/>
      <c r="KY123" s="621"/>
      <c r="KZ123" s="621"/>
      <c r="LA123" s="621"/>
      <c r="LB123" s="621"/>
      <c r="LC123" s="621"/>
      <c r="LD123" s="621"/>
      <c r="LE123" s="621"/>
      <c r="LF123" s="621"/>
      <c r="LG123" s="621"/>
      <c r="LH123" s="621"/>
      <c r="LI123" s="621"/>
      <c r="LJ123" s="621"/>
      <c r="LK123" s="621"/>
      <c r="LL123" s="621"/>
      <c r="LM123" s="621"/>
      <c r="LN123" s="621"/>
      <c r="LO123" s="621"/>
      <c r="LP123" s="621"/>
      <c r="LQ123" s="621"/>
      <c r="LR123" s="621"/>
      <c r="LS123" s="621"/>
      <c r="LT123" s="621"/>
      <c r="LU123" s="621"/>
      <c r="LV123" s="621"/>
      <c r="LW123" s="621"/>
      <c r="LX123" s="621"/>
      <c r="LY123" s="621"/>
      <c r="LZ123" s="621"/>
      <c r="MA123" s="621"/>
      <c r="MB123" s="621"/>
      <c r="MC123" s="621"/>
      <c r="MD123" s="621"/>
      <c r="ME123" s="621"/>
      <c r="MF123" s="621"/>
      <c r="MG123" s="621"/>
      <c r="MH123" s="621"/>
      <c r="MI123" s="621"/>
      <c r="MJ123" s="621"/>
      <c r="MK123" s="621"/>
      <c r="ML123" s="621"/>
      <c r="MM123" s="621"/>
      <c r="MN123" s="621"/>
      <c r="MO123" s="621"/>
      <c r="MP123" s="621"/>
      <c r="MQ123" s="621"/>
      <c r="MR123" s="621"/>
      <c r="MS123" s="621"/>
      <c r="MT123" s="621"/>
      <c r="MU123" s="621"/>
      <c r="MV123" s="621"/>
      <c r="MW123" s="621"/>
      <c r="MX123" s="621"/>
      <c r="MY123" s="621"/>
      <c r="MZ123" s="621"/>
      <c r="NA123" s="621"/>
      <c r="NB123" s="621"/>
      <c r="NC123" s="621"/>
      <c r="ND123" s="621"/>
      <c r="NE123" s="621"/>
      <c r="NF123" s="621"/>
      <c r="NG123" s="621"/>
      <c r="NH123" s="621"/>
      <c r="NI123" s="621"/>
      <c r="NJ123" s="621"/>
      <c r="NK123" s="621"/>
      <c r="NL123" s="621"/>
      <c r="NM123" s="621"/>
      <c r="NN123" s="621"/>
      <c r="NO123" s="621"/>
      <c r="NP123" s="621"/>
      <c r="NQ123" s="621"/>
      <c r="NR123" s="621"/>
      <c r="NS123" s="621"/>
      <c r="NT123" s="621"/>
      <c r="NU123" s="621"/>
      <c r="NV123" s="621"/>
      <c r="NW123" s="621"/>
      <c r="NX123" s="621"/>
      <c r="NY123" s="621"/>
      <c r="NZ123" s="621"/>
      <c r="OA123" s="621"/>
      <c r="OB123" s="621"/>
      <c r="OC123" s="621"/>
      <c r="OD123" s="621"/>
      <c r="OE123" s="621"/>
      <c r="OF123" s="621"/>
      <c r="OG123" s="621"/>
      <c r="OH123" s="621"/>
      <c r="OI123" s="621"/>
      <c r="OJ123" s="621"/>
      <c r="OK123" s="621"/>
      <c r="OL123" s="621"/>
      <c r="OM123" s="621"/>
      <c r="ON123" s="621"/>
      <c r="OO123" s="621"/>
      <c r="OP123" s="621"/>
      <c r="OQ123" s="621"/>
      <c r="OR123" s="621"/>
      <c r="OS123" s="621"/>
      <c r="OT123" s="621"/>
      <c r="OU123" s="621"/>
      <c r="OV123" s="621"/>
      <c r="OW123" s="621"/>
      <c r="OX123" s="621"/>
      <c r="OY123" s="621"/>
      <c r="OZ123" s="621"/>
      <c r="PA123" s="621"/>
      <c r="PB123" s="621"/>
      <c r="PC123" s="621"/>
      <c r="PD123" s="621"/>
      <c r="PE123" s="621"/>
      <c r="PF123" s="621"/>
      <c r="PG123" s="621"/>
      <c r="PH123" s="621"/>
      <c r="PI123" s="621"/>
      <c r="PJ123" s="621"/>
      <c r="PK123" s="621"/>
      <c r="PL123" s="621"/>
      <c r="PM123" s="621"/>
      <c r="PN123" s="621"/>
      <c r="PO123" s="621"/>
      <c r="PP123" s="621"/>
      <c r="PQ123" s="621"/>
      <c r="PR123" s="621"/>
      <c r="PS123" s="621"/>
      <c r="PT123" s="621"/>
      <c r="PU123" s="621"/>
      <c r="PV123" s="621"/>
      <c r="PW123" s="621"/>
      <c r="PX123" s="621"/>
      <c r="PY123" s="621"/>
      <c r="PZ123" s="621"/>
      <c r="QA123" s="621"/>
      <c r="QB123" s="621"/>
      <c r="QC123" s="621"/>
      <c r="QD123" s="621"/>
      <c r="QE123" s="621"/>
      <c r="QF123" s="621"/>
      <c r="QG123" s="621"/>
      <c r="QH123" s="621"/>
      <c r="QI123" s="621"/>
      <c r="QJ123" s="621"/>
      <c r="QK123" s="621"/>
      <c r="QL123" s="621"/>
      <c r="QM123" s="621"/>
      <c r="QN123" s="621"/>
      <c r="QO123" s="621"/>
      <c r="QP123" s="621"/>
      <c r="QQ123" s="621"/>
      <c r="QR123" s="621"/>
      <c r="QS123" s="621"/>
      <c r="QT123" s="621"/>
      <c r="QU123" s="621"/>
      <c r="QV123" s="621"/>
      <c r="QW123" s="621"/>
      <c r="QX123" s="621"/>
      <c r="QY123" s="621"/>
      <c r="QZ123" s="621"/>
      <c r="RA123" s="621"/>
      <c r="RB123" s="621"/>
      <c r="RC123" s="621"/>
      <c r="RD123" s="621"/>
      <c r="RE123" s="621"/>
      <c r="RF123" s="621"/>
      <c r="RG123" s="621"/>
      <c r="RH123" s="621"/>
      <c r="RI123" s="621"/>
      <c r="RJ123" s="621"/>
      <c r="RK123" s="621"/>
      <c r="RL123" s="621"/>
      <c r="RM123" s="621"/>
      <c r="RN123" s="621"/>
      <c r="RO123" s="621"/>
      <c r="RP123" s="621"/>
      <c r="RQ123" s="621"/>
      <c r="RR123" s="621"/>
      <c r="RS123" s="621"/>
      <c r="RT123" s="621"/>
      <c r="RU123" s="621"/>
      <c r="RV123" s="621"/>
      <c r="RW123" s="621"/>
      <c r="RX123" s="621"/>
      <c r="RY123" s="621"/>
      <c r="RZ123" s="621"/>
      <c r="SA123" s="621"/>
      <c r="SB123" s="621"/>
      <c r="SC123" s="621"/>
      <c r="SD123" s="621"/>
      <c r="SE123" s="621"/>
      <c r="SF123" s="621"/>
      <c r="SG123" s="621"/>
      <c r="SH123" s="621"/>
      <c r="SI123" s="621"/>
      <c r="SJ123" s="621"/>
      <c r="SK123" s="621"/>
      <c r="SL123" s="621"/>
      <c r="SM123" s="621"/>
      <c r="SN123" s="621"/>
      <c r="SO123" s="621"/>
      <c r="SP123" s="621"/>
      <c r="SQ123" s="621"/>
      <c r="SR123" s="621"/>
      <c r="SS123" s="621"/>
      <c r="ST123" s="621"/>
      <c r="SU123" s="621"/>
      <c r="SV123" s="621"/>
      <c r="SW123" s="621"/>
      <c r="SX123" s="621"/>
      <c r="SY123" s="621"/>
      <c r="SZ123" s="621"/>
      <c r="TA123" s="621"/>
      <c r="TB123" s="621"/>
      <c r="TC123" s="621"/>
      <c r="TD123" s="621"/>
      <c r="TE123" s="621"/>
      <c r="TF123" s="621"/>
      <c r="TG123" s="621"/>
      <c r="TH123" s="621"/>
      <c r="TI123" s="621"/>
      <c r="TJ123" s="621"/>
      <c r="TK123" s="621"/>
      <c r="TL123" s="621"/>
      <c r="TM123" s="621"/>
      <c r="TN123" s="621"/>
      <c r="TO123" s="621"/>
      <c r="TP123" s="621"/>
      <c r="TQ123" s="621"/>
      <c r="TR123" s="621"/>
      <c r="TS123" s="621"/>
      <c r="TT123" s="621"/>
      <c r="TU123" s="621"/>
      <c r="TV123" s="621"/>
      <c r="TW123" s="621"/>
      <c r="TX123" s="621"/>
      <c r="TY123" s="621"/>
      <c r="TZ123" s="621"/>
      <c r="UA123" s="621"/>
      <c r="UB123" s="621"/>
      <c r="UC123" s="621"/>
      <c r="UD123" s="621"/>
      <c r="UE123" s="621"/>
      <c r="UF123" s="621"/>
      <c r="UG123" s="621"/>
      <c r="UH123" s="621"/>
      <c r="UI123" s="621"/>
      <c r="UJ123" s="621"/>
      <c r="UK123" s="621"/>
      <c r="UL123" s="621"/>
      <c r="UM123" s="621"/>
      <c r="UN123" s="621"/>
      <c r="UO123" s="621"/>
      <c r="UP123" s="621"/>
      <c r="UQ123" s="621"/>
      <c r="UR123" s="621"/>
      <c r="US123" s="621"/>
      <c r="UT123" s="621"/>
      <c r="UU123" s="621"/>
      <c r="UV123" s="621"/>
      <c r="UW123" s="621"/>
      <c r="UX123" s="621"/>
      <c r="UY123" s="621"/>
      <c r="UZ123" s="621"/>
      <c r="VA123" s="621"/>
      <c r="VB123" s="621"/>
      <c r="VC123" s="621"/>
      <c r="VD123" s="621"/>
      <c r="VE123" s="621"/>
      <c r="VF123" s="621"/>
      <c r="VG123" s="621"/>
      <c r="VH123" s="621"/>
      <c r="VI123" s="621"/>
      <c r="VJ123" s="621"/>
      <c r="VK123" s="621"/>
      <c r="VL123" s="621"/>
      <c r="VM123" s="621"/>
      <c r="VN123" s="621"/>
      <c r="VO123" s="621"/>
      <c r="VP123" s="621"/>
      <c r="VQ123" s="621"/>
      <c r="VR123" s="621"/>
      <c r="VS123" s="621"/>
      <c r="VT123" s="621"/>
      <c r="VU123" s="621"/>
      <c r="VV123" s="621"/>
      <c r="VW123" s="621"/>
      <c r="VX123" s="621"/>
      <c r="VY123" s="621"/>
      <c r="VZ123" s="621"/>
      <c r="WA123" s="621"/>
      <c r="WB123" s="621"/>
      <c r="WC123" s="621"/>
      <c r="WD123" s="621"/>
      <c r="WE123" s="621"/>
      <c r="WF123" s="621"/>
      <c r="WG123" s="621"/>
      <c r="WH123" s="621"/>
      <c r="WI123" s="621"/>
      <c r="WJ123" s="621"/>
      <c r="WK123" s="621"/>
      <c r="WL123" s="621"/>
      <c r="WM123" s="621"/>
      <c r="WN123" s="621"/>
      <c r="WO123" s="621"/>
      <c r="WP123" s="621"/>
      <c r="WQ123" s="621"/>
      <c r="WR123" s="621"/>
      <c r="WS123" s="621"/>
      <c r="WT123" s="621"/>
      <c r="WU123" s="621"/>
      <c r="WV123" s="621"/>
      <c r="WW123" s="621"/>
      <c r="WX123" s="621"/>
      <c r="WY123" s="621"/>
      <c r="WZ123" s="621"/>
      <c r="XA123" s="621"/>
      <c r="XB123" s="621"/>
      <c r="XC123" s="621"/>
      <c r="XD123" s="621"/>
      <c r="XE123" s="621"/>
      <c r="XF123" s="621"/>
      <c r="XG123" s="621"/>
      <c r="XH123" s="621"/>
      <c r="XI123" s="621"/>
      <c r="XJ123" s="621"/>
      <c r="XK123" s="621"/>
      <c r="XL123" s="621"/>
      <c r="XM123" s="621"/>
      <c r="XN123" s="621"/>
      <c r="XO123" s="621"/>
      <c r="XP123" s="621"/>
      <c r="XQ123" s="621"/>
      <c r="XR123" s="621"/>
      <c r="XS123" s="621"/>
      <c r="XT123" s="621"/>
      <c r="XU123" s="621"/>
      <c r="XV123" s="621"/>
      <c r="XW123" s="621"/>
      <c r="XX123" s="621"/>
      <c r="XY123" s="621"/>
      <c r="XZ123" s="621"/>
      <c r="YA123" s="621"/>
      <c r="YB123" s="621"/>
      <c r="YC123" s="621"/>
      <c r="YD123" s="621"/>
      <c r="YE123" s="621"/>
      <c r="YF123" s="621"/>
      <c r="YG123" s="621"/>
      <c r="YH123" s="621"/>
      <c r="YI123" s="621"/>
      <c r="YJ123" s="621"/>
      <c r="YK123" s="621"/>
      <c r="YL123" s="621"/>
      <c r="YM123" s="621"/>
      <c r="YN123" s="621"/>
      <c r="YO123" s="621"/>
      <c r="YP123" s="621"/>
      <c r="YQ123" s="621"/>
      <c r="YR123" s="621"/>
      <c r="YS123" s="621"/>
      <c r="YT123" s="621"/>
      <c r="YU123" s="621"/>
      <c r="YV123" s="621"/>
      <c r="YW123" s="621"/>
      <c r="YX123" s="621"/>
      <c r="YY123" s="621"/>
      <c r="YZ123" s="621"/>
      <c r="ZA123" s="621"/>
      <c r="ZB123" s="621"/>
      <c r="ZC123" s="621"/>
      <c r="ZD123" s="621"/>
      <c r="ZE123" s="621"/>
      <c r="ZF123" s="621"/>
      <c r="ZG123" s="621"/>
      <c r="ZH123" s="621"/>
      <c r="ZI123" s="621"/>
      <c r="ZJ123" s="621"/>
      <c r="ZK123" s="621"/>
      <c r="ZL123" s="621"/>
      <c r="ZM123" s="621"/>
      <c r="ZN123" s="621"/>
      <c r="ZO123" s="621"/>
      <c r="ZP123" s="621"/>
      <c r="ZQ123" s="621"/>
      <c r="ZR123" s="621"/>
      <c r="ZS123" s="621"/>
      <c r="ZT123" s="621"/>
      <c r="ZU123" s="621"/>
      <c r="ZV123" s="621"/>
      <c r="ZW123" s="621"/>
      <c r="ZX123" s="621"/>
      <c r="ZY123" s="621"/>
      <c r="ZZ123" s="621"/>
      <c r="AAA123" s="621"/>
      <c r="AAB123" s="621"/>
      <c r="AAC123" s="621"/>
      <c r="AAD123" s="621"/>
      <c r="AAE123" s="621"/>
      <c r="AAF123" s="621"/>
      <c r="AAG123" s="621"/>
      <c r="AAH123" s="621"/>
      <c r="AAI123" s="621"/>
      <c r="AAJ123" s="621"/>
      <c r="AAK123" s="621"/>
      <c r="AAL123" s="621"/>
      <c r="AAM123" s="621"/>
      <c r="AAN123" s="621"/>
      <c r="AAO123" s="621"/>
      <c r="AAP123" s="621"/>
      <c r="AAQ123" s="621"/>
      <c r="AAR123" s="621"/>
      <c r="AAS123" s="621"/>
      <c r="AAT123" s="621"/>
      <c r="AAU123" s="621"/>
      <c r="AAV123" s="621"/>
      <c r="AAW123" s="621"/>
      <c r="AAX123" s="621"/>
      <c r="AAY123" s="621"/>
      <c r="AAZ123" s="621"/>
      <c r="ABA123" s="621"/>
      <c r="ABB123" s="621"/>
      <c r="ABC123" s="621"/>
      <c r="ABD123" s="621"/>
      <c r="ABE123" s="621"/>
      <c r="ABF123" s="621"/>
      <c r="ABG123" s="621"/>
      <c r="ABH123" s="621"/>
      <c r="ABI123" s="621"/>
      <c r="ABJ123" s="621"/>
      <c r="ABK123" s="621"/>
      <c r="ABL123" s="621"/>
      <c r="ABM123" s="621"/>
      <c r="ABN123" s="621"/>
      <c r="ABO123" s="621"/>
      <c r="ABP123" s="621"/>
      <c r="ABQ123" s="621"/>
      <c r="ABR123" s="621"/>
      <c r="ABS123" s="621"/>
      <c r="ABT123" s="621"/>
      <c r="ABU123" s="621"/>
      <c r="ABV123" s="621"/>
      <c r="ABW123" s="621"/>
      <c r="ABX123" s="621"/>
      <c r="ABY123" s="621"/>
      <c r="ABZ123" s="621"/>
      <c r="ACA123" s="621"/>
      <c r="ACB123" s="621"/>
      <c r="ACC123" s="621"/>
      <c r="ACD123" s="621"/>
      <c r="ACE123" s="621"/>
      <c r="ACF123" s="621"/>
      <c r="ACG123" s="621"/>
      <c r="ACH123" s="621"/>
      <c r="ACI123" s="621"/>
      <c r="ACJ123" s="621"/>
      <c r="ACK123" s="621"/>
      <c r="ACL123" s="621"/>
      <c r="ACM123" s="621"/>
      <c r="ACN123" s="621"/>
      <c r="ACO123" s="621"/>
      <c r="ACP123" s="621"/>
      <c r="ACQ123" s="621"/>
      <c r="ACR123" s="621"/>
      <c r="ACS123" s="621"/>
      <c r="ACT123" s="621"/>
      <c r="ACU123" s="621"/>
      <c r="ACV123" s="621"/>
      <c r="ACW123" s="621"/>
      <c r="ACX123" s="621"/>
      <c r="ACY123" s="621"/>
      <c r="ACZ123" s="621"/>
      <c r="ADA123" s="621"/>
      <c r="ADB123" s="621"/>
      <c r="ADC123" s="621"/>
      <c r="ADD123" s="621"/>
      <c r="ADE123" s="621"/>
      <c r="ADF123" s="621"/>
      <c r="ADG123" s="621"/>
      <c r="ADH123" s="621"/>
      <c r="ADI123" s="621"/>
      <c r="ADJ123" s="621"/>
      <c r="ADK123" s="621"/>
      <c r="ADL123" s="621"/>
      <c r="ADM123" s="621"/>
      <c r="ADN123" s="621"/>
      <c r="ADO123" s="621"/>
      <c r="ADP123" s="621"/>
      <c r="ADQ123" s="621"/>
      <c r="ADR123" s="621"/>
      <c r="ADS123" s="621"/>
      <c r="ADT123" s="621"/>
      <c r="ADU123" s="621"/>
      <c r="ADV123" s="621"/>
      <c r="ADW123" s="621"/>
      <c r="ADX123" s="621"/>
      <c r="ADY123" s="621"/>
      <c r="ADZ123" s="621"/>
      <c r="AEA123" s="621"/>
      <c r="AEB123" s="621"/>
      <c r="AEC123" s="621"/>
      <c r="AED123" s="621"/>
      <c r="AEE123" s="621"/>
      <c r="AEF123" s="621"/>
      <c r="AEG123" s="621"/>
      <c r="AEH123" s="621"/>
      <c r="AEI123" s="621"/>
      <c r="AEJ123" s="621"/>
      <c r="AEK123" s="621"/>
      <c r="AEL123" s="621"/>
      <c r="AEM123" s="621"/>
      <c r="AEN123" s="621"/>
      <c r="AEO123" s="621"/>
      <c r="AEP123" s="621"/>
      <c r="AEQ123" s="621"/>
      <c r="AER123" s="621"/>
      <c r="AES123" s="621"/>
      <c r="AET123" s="621"/>
      <c r="AEU123" s="621"/>
      <c r="AEV123" s="621"/>
      <c r="AEW123" s="621"/>
      <c r="AEX123" s="621"/>
      <c r="AEY123" s="621"/>
      <c r="AEZ123" s="621"/>
      <c r="AFA123" s="621"/>
      <c r="AFB123" s="621"/>
      <c r="AFC123" s="621"/>
      <c r="AFD123" s="621"/>
      <c r="AFE123" s="621"/>
      <c r="AFF123" s="621"/>
      <c r="AFG123" s="621"/>
      <c r="AFH123" s="621"/>
      <c r="AFI123" s="621"/>
      <c r="AFJ123" s="621"/>
      <c r="AFK123" s="621"/>
      <c r="AFL123" s="621"/>
      <c r="AFM123" s="621"/>
      <c r="AFN123" s="621"/>
      <c r="AFO123" s="621"/>
      <c r="AFP123" s="621"/>
      <c r="AFQ123" s="621"/>
      <c r="AFR123" s="621"/>
      <c r="AFS123" s="621"/>
      <c r="AFT123" s="621"/>
      <c r="AFU123" s="621"/>
      <c r="AFV123" s="621"/>
      <c r="AFW123" s="621"/>
      <c r="AFX123" s="621"/>
      <c r="AFY123" s="621"/>
      <c r="AFZ123" s="621"/>
      <c r="AGA123" s="621"/>
      <c r="AGB123" s="621"/>
      <c r="AGC123" s="621"/>
      <c r="AGD123" s="621"/>
      <c r="AGE123" s="621"/>
      <c r="AGF123" s="621"/>
      <c r="AGG123" s="621"/>
      <c r="AGH123" s="621"/>
      <c r="AGI123" s="621"/>
      <c r="AGJ123" s="621"/>
      <c r="AGK123" s="621"/>
      <c r="AGL123" s="621"/>
      <c r="AGM123" s="621"/>
      <c r="AGN123" s="621"/>
      <c r="AGO123" s="621"/>
      <c r="AGP123" s="621"/>
      <c r="AGQ123" s="621"/>
      <c r="AGR123" s="621"/>
      <c r="AGS123" s="621"/>
      <c r="AGT123" s="621"/>
      <c r="AGU123" s="621"/>
      <c r="AGV123" s="621"/>
      <c r="AGW123" s="621"/>
      <c r="AGX123" s="621"/>
      <c r="AGY123" s="621"/>
      <c r="AGZ123" s="621"/>
      <c r="AHA123" s="621"/>
      <c r="AHB123" s="621"/>
      <c r="AHC123" s="621"/>
      <c r="AHD123" s="621"/>
      <c r="AHE123" s="621"/>
      <c r="AHF123" s="621"/>
      <c r="AHG123" s="621"/>
      <c r="AHH123" s="621"/>
      <c r="AHI123" s="621"/>
      <c r="AHJ123" s="621"/>
      <c r="AHK123" s="621"/>
      <c r="AHL123" s="621"/>
      <c r="AHM123" s="621"/>
      <c r="AHN123" s="621"/>
      <c r="AHO123" s="621"/>
      <c r="AHP123" s="621"/>
      <c r="AHQ123" s="621"/>
      <c r="AHR123" s="621"/>
      <c r="AHS123" s="621"/>
      <c r="AHT123" s="621"/>
      <c r="AHU123" s="621"/>
      <c r="AHV123" s="621"/>
      <c r="AHW123" s="621"/>
      <c r="AHX123" s="621"/>
      <c r="AHY123" s="621"/>
      <c r="AHZ123" s="621"/>
      <c r="AIA123" s="621"/>
      <c r="AIB123" s="621"/>
      <c r="AIC123" s="621"/>
      <c r="AID123" s="621"/>
      <c r="AIE123" s="621"/>
      <c r="AIF123" s="621"/>
      <c r="AIG123" s="621"/>
      <c r="AIH123" s="621"/>
      <c r="AII123" s="621"/>
      <c r="AIJ123" s="621"/>
      <c r="AIK123" s="621"/>
      <c r="AIL123" s="621"/>
      <c r="AIM123" s="621"/>
      <c r="AIN123" s="621"/>
      <c r="AIO123" s="621"/>
      <c r="AIP123" s="621"/>
      <c r="AIQ123" s="621"/>
      <c r="AIR123" s="621"/>
      <c r="AIS123" s="621"/>
      <c r="AIT123" s="621"/>
      <c r="AIU123" s="621"/>
      <c r="AIV123" s="621"/>
      <c r="AIW123" s="621"/>
      <c r="AIX123" s="621"/>
      <c r="AIY123" s="621"/>
      <c r="AIZ123" s="621"/>
      <c r="AJA123" s="621"/>
      <c r="AJB123" s="621"/>
      <c r="AJC123" s="621"/>
      <c r="AJD123" s="621"/>
      <c r="AJE123" s="621"/>
      <c r="AJF123" s="621"/>
      <c r="AJG123" s="621"/>
      <c r="AJH123" s="621"/>
      <c r="AJI123" s="621"/>
      <c r="AJJ123" s="621"/>
      <c r="AJK123" s="621"/>
      <c r="AJL123" s="621"/>
      <c r="AJM123" s="621"/>
      <c r="AJN123" s="621"/>
      <c r="AJO123" s="621"/>
      <c r="AJP123" s="621"/>
      <c r="AJQ123" s="621"/>
      <c r="AJR123" s="621"/>
      <c r="AJS123" s="621"/>
      <c r="AJT123" s="621"/>
      <c r="AJU123" s="621"/>
      <c r="AJV123" s="621"/>
      <c r="AJW123" s="621"/>
      <c r="AJX123" s="621"/>
      <c r="AJY123" s="621"/>
      <c r="AJZ123" s="621"/>
      <c r="AKA123" s="621"/>
      <c r="AKB123" s="621"/>
      <c r="AKC123" s="621"/>
      <c r="AKD123" s="621"/>
      <c r="AKE123" s="621"/>
      <c r="AKF123" s="621"/>
      <c r="AKG123" s="621"/>
      <c r="AKH123" s="621"/>
      <c r="AKI123" s="621"/>
      <c r="AKJ123" s="621"/>
      <c r="AKK123" s="621"/>
      <c r="AKL123" s="621"/>
      <c r="AKM123" s="621"/>
      <c r="AKN123" s="621"/>
      <c r="AKO123" s="621"/>
      <c r="AKP123" s="621"/>
      <c r="AKQ123" s="621"/>
      <c r="AKR123" s="621"/>
      <c r="AKS123" s="621"/>
      <c r="AKT123" s="621"/>
      <c r="AKU123" s="621"/>
      <c r="AKV123" s="621"/>
      <c r="AKW123" s="621"/>
      <c r="AKX123" s="621"/>
      <c r="AKY123" s="621"/>
      <c r="AKZ123" s="621"/>
      <c r="ALA123" s="621"/>
      <c r="ALB123" s="621"/>
      <c r="ALC123" s="621"/>
      <c r="ALD123" s="621"/>
      <c r="ALE123" s="621"/>
      <c r="ALF123" s="621"/>
      <c r="ALG123" s="621"/>
      <c r="ALH123" s="621"/>
      <c r="ALI123" s="621"/>
      <c r="ALJ123" s="621"/>
      <c r="ALK123" s="621"/>
      <c r="ALL123" s="621"/>
      <c r="ALM123" s="621"/>
      <c r="ALN123" s="621"/>
      <c r="ALO123" s="621"/>
      <c r="ALP123" s="621"/>
      <c r="ALQ123" s="621"/>
      <c r="ALR123" s="621"/>
      <c r="ALS123" s="621"/>
      <c r="ALT123" s="621"/>
      <c r="ALU123" s="621"/>
      <c r="ALV123" s="621"/>
      <c r="ALW123" s="621"/>
      <c r="ALX123" s="621"/>
      <c r="ALY123" s="621"/>
      <c r="ALZ123" s="621"/>
      <c r="AMA123" s="621"/>
      <c r="AMB123" s="621"/>
      <c r="AMC123" s="621"/>
      <c r="AMD123" s="621"/>
      <c r="AME123" s="621"/>
      <c r="AMF123" s="621"/>
      <c r="AMG123" s="621"/>
      <c r="AMH123" s="621"/>
      <c r="AMI123" s="621"/>
      <c r="AMJ123" s="621"/>
      <c r="AMK123" s="621"/>
    </row>
    <row r="129" spans="1:1025">
      <c r="A129" s="621"/>
      <c r="B129" s="621"/>
      <c r="C129" s="621"/>
      <c r="D129" s="1454">
        <f>108443.87/D30</f>
        <v>1.5406311333051566</v>
      </c>
      <c r="E129" s="891">
        <f>1/D129</f>
        <v>0.64908463705694019</v>
      </c>
      <c r="H129" s="621"/>
      <c r="I129" s="621"/>
      <c r="J129" s="621"/>
      <c r="K129" s="621"/>
      <c r="L129" s="621"/>
      <c r="M129" s="621"/>
      <c r="N129" s="621"/>
      <c r="O129" s="621"/>
      <c r="P129" s="621"/>
      <c r="Q129" s="621"/>
      <c r="R129" s="621"/>
      <c r="S129" s="621"/>
      <c r="T129" s="621"/>
      <c r="U129" s="621"/>
      <c r="V129" s="621"/>
      <c r="W129" s="621"/>
      <c r="X129" s="621"/>
      <c r="Y129" s="621"/>
      <c r="Z129" s="621"/>
      <c r="AA129" s="621"/>
      <c r="AB129" s="621"/>
      <c r="AC129" s="621"/>
      <c r="AD129" s="621"/>
      <c r="AE129" s="621"/>
      <c r="AF129" s="621"/>
      <c r="AG129" s="621"/>
      <c r="AH129" s="621"/>
      <c r="AI129" s="621"/>
      <c r="AJ129" s="621"/>
      <c r="AK129" s="621"/>
      <c r="AL129" s="621"/>
      <c r="AM129" s="621"/>
      <c r="AN129" s="621"/>
      <c r="AO129" s="621"/>
      <c r="AP129" s="621"/>
      <c r="AQ129" s="621"/>
      <c r="AR129" s="621"/>
      <c r="AS129" s="621"/>
      <c r="AT129" s="621"/>
      <c r="AU129" s="621"/>
      <c r="AV129" s="621"/>
      <c r="AW129" s="621"/>
      <c r="AX129" s="621"/>
      <c r="AY129" s="621"/>
      <c r="AZ129" s="621"/>
      <c r="BA129" s="621"/>
      <c r="BB129" s="621"/>
      <c r="BC129" s="621"/>
      <c r="BD129" s="621"/>
      <c r="BE129" s="621"/>
      <c r="BF129" s="621"/>
      <c r="BG129" s="621"/>
      <c r="BH129" s="621"/>
      <c r="BI129" s="621"/>
      <c r="BJ129" s="621"/>
      <c r="BK129" s="621"/>
      <c r="BL129" s="621"/>
      <c r="BM129" s="621"/>
      <c r="BN129" s="621"/>
      <c r="BO129" s="621"/>
      <c r="BP129" s="621"/>
      <c r="BQ129" s="621"/>
      <c r="BR129" s="621"/>
      <c r="BS129" s="621"/>
      <c r="BT129" s="621"/>
      <c r="BU129" s="621"/>
      <c r="BV129" s="621"/>
      <c r="BW129" s="621"/>
      <c r="BX129" s="621"/>
      <c r="BY129" s="621"/>
      <c r="BZ129" s="621"/>
      <c r="CA129" s="621"/>
      <c r="CB129" s="621"/>
      <c r="CC129" s="621"/>
      <c r="CD129" s="621"/>
      <c r="CE129" s="621"/>
      <c r="CF129" s="621"/>
      <c r="CG129" s="621"/>
      <c r="CH129" s="621"/>
      <c r="CI129" s="621"/>
      <c r="CJ129" s="621"/>
      <c r="CK129" s="621"/>
      <c r="CL129" s="621"/>
      <c r="CM129" s="621"/>
      <c r="CN129" s="621"/>
      <c r="CO129" s="621"/>
      <c r="CP129" s="621"/>
      <c r="CQ129" s="621"/>
      <c r="CR129" s="621"/>
      <c r="CS129" s="621"/>
      <c r="CT129" s="621"/>
      <c r="CU129" s="621"/>
      <c r="CV129" s="621"/>
      <c r="CW129" s="621"/>
      <c r="CX129" s="621"/>
      <c r="CY129" s="621"/>
      <c r="CZ129" s="621"/>
      <c r="DA129" s="621"/>
      <c r="DB129" s="621"/>
      <c r="DC129" s="621"/>
      <c r="DD129" s="621"/>
      <c r="DE129" s="621"/>
      <c r="DF129" s="621"/>
      <c r="DG129" s="621"/>
      <c r="DH129" s="621"/>
      <c r="DI129" s="621"/>
      <c r="DJ129" s="621"/>
      <c r="DK129" s="621"/>
      <c r="DL129" s="621"/>
      <c r="DM129" s="621"/>
      <c r="DN129" s="621"/>
      <c r="DO129" s="621"/>
      <c r="DP129" s="621"/>
      <c r="DQ129" s="621"/>
      <c r="DR129" s="621"/>
      <c r="DS129" s="621"/>
      <c r="DT129" s="621"/>
      <c r="DU129" s="621"/>
      <c r="DV129" s="621"/>
      <c r="DW129" s="621"/>
      <c r="DX129" s="621"/>
      <c r="DY129" s="621"/>
      <c r="DZ129" s="621"/>
      <c r="EA129" s="621"/>
      <c r="EB129" s="621"/>
      <c r="EC129" s="621"/>
      <c r="ED129" s="621"/>
      <c r="EE129" s="621"/>
      <c r="EF129" s="621"/>
      <c r="EG129" s="621"/>
      <c r="EH129" s="621"/>
      <c r="EI129" s="621"/>
      <c r="EJ129" s="621"/>
      <c r="EK129" s="621"/>
      <c r="EL129" s="621"/>
      <c r="EM129" s="621"/>
      <c r="EN129" s="621"/>
      <c r="EO129" s="621"/>
      <c r="EP129" s="621"/>
      <c r="EQ129" s="621"/>
      <c r="ER129" s="621"/>
      <c r="ES129" s="621"/>
      <c r="ET129" s="621"/>
      <c r="EU129" s="621"/>
      <c r="EV129" s="621"/>
      <c r="EW129" s="621"/>
      <c r="EX129" s="621"/>
      <c r="EY129" s="621"/>
      <c r="EZ129" s="621"/>
      <c r="FA129" s="621"/>
      <c r="FB129" s="621"/>
      <c r="FC129" s="621"/>
      <c r="FD129" s="621"/>
      <c r="FE129" s="621"/>
      <c r="FF129" s="621"/>
      <c r="FG129" s="621"/>
      <c r="FH129" s="621"/>
      <c r="FI129" s="621"/>
      <c r="FJ129" s="621"/>
      <c r="FK129" s="621"/>
      <c r="FL129" s="621"/>
      <c r="FM129" s="621"/>
      <c r="FN129" s="621"/>
      <c r="FO129" s="621"/>
      <c r="FP129" s="621"/>
      <c r="FQ129" s="621"/>
      <c r="FR129" s="621"/>
      <c r="FS129" s="621"/>
      <c r="FT129" s="621"/>
      <c r="FU129" s="621"/>
      <c r="FV129" s="621"/>
      <c r="FW129" s="621"/>
      <c r="FX129" s="621"/>
      <c r="FY129" s="621"/>
      <c r="FZ129" s="621"/>
      <c r="GA129" s="621"/>
      <c r="GB129" s="621"/>
      <c r="GC129" s="621"/>
      <c r="GD129" s="621"/>
      <c r="GE129" s="621"/>
      <c r="GF129" s="621"/>
      <c r="GG129" s="621"/>
      <c r="GH129" s="621"/>
      <c r="GI129" s="621"/>
      <c r="GJ129" s="621"/>
      <c r="GK129" s="621"/>
      <c r="GL129" s="621"/>
      <c r="GM129" s="621"/>
      <c r="GN129" s="621"/>
      <c r="GO129" s="621"/>
      <c r="GP129" s="621"/>
      <c r="GQ129" s="621"/>
      <c r="GR129" s="621"/>
      <c r="GS129" s="621"/>
      <c r="GT129" s="621"/>
      <c r="GU129" s="621"/>
      <c r="GV129" s="621"/>
      <c r="GW129" s="621"/>
      <c r="GX129" s="621"/>
      <c r="GY129" s="621"/>
      <c r="GZ129" s="621"/>
      <c r="HA129" s="621"/>
      <c r="HB129" s="621"/>
      <c r="HC129" s="621"/>
      <c r="HD129" s="621"/>
      <c r="HE129" s="621"/>
      <c r="HF129" s="621"/>
      <c r="HG129" s="621"/>
      <c r="HH129" s="621"/>
      <c r="HI129" s="621"/>
      <c r="HJ129" s="621"/>
      <c r="HK129" s="621"/>
      <c r="HL129" s="621"/>
      <c r="HM129" s="621"/>
      <c r="HN129" s="621"/>
      <c r="HO129" s="621"/>
      <c r="HP129" s="621"/>
      <c r="HQ129" s="621"/>
      <c r="HR129" s="621"/>
      <c r="HS129" s="621"/>
      <c r="HT129" s="621"/>
      <c r="HU129" s="621"/>
      <c r="HV129" s="621"/>
      <c r="HW129" s="621"/>
      <c r="HX129" s="621"/>
      <c r="HY129" s="621"/>
      <c r="HZ129" s="621"/>
      <c r="IA129" s="621"/>
      <c r="IB129" s="621"/>
      <c r="IC129" s="621"/>
      <c r="ID129" s="621"/>
      <c r="IE129" s="621"/>
      <c r="IF129" s="621"/>
      <c r="IG129" s="621"/>
      <c r="IH129" s="621"/>
      <c r="II129" s="621"/>
      <c r="IJ129" s="621"/>
      <c r="IK129" s="621"/>
      <c r="IL129" s="621"/>
      <c r="IM129" s="621"/>
      <c r="IN129" s="621"/>
      <c r="IO129" s="621"/>
      <c r="IP129" s="621"/>
      <c r="IQ129" s="621"/>
      <c r="IR129" s="621"/>
      <c r="IS129" s="621"/>
      <c r="IT129" s="621"/>
      <c r="IU129" s="621"/>
      <c r="IV129" s="621"/>
      <c r="IW129" s="621"/>
      <c r="IX129" s="621"/>
      <c r="IY129" s="621"/>
      <c r="IZ129" s="621"/>
      <c r="JA129" s="621"/>
      <c r="JB129" s="621"/>
      <c r="JC129" s="621"/>
      <c r="JD129" s="621"/>
      <c r="JE129" s="621"/>
      <c r="JF129" s="621"/>
      <c r="JG129" s="621"/>
      <c r="JH129" s="621"/>
      <c r="JI129" s="621"/>
      <c r="JJ129" s="621"/>
      <c r="JK129" s="621"/>
      <c r="JL129" s="621"/>
      <c r="JM129" s="621"/>
      <c r="JN129" s="621"/>
      <c r="JO129" s="621"/>
      <c r="JP129" s="621"/>
      <c r="JQ129" s="621"/>
      <c r="JR129" s="621"/>
      <c r="JS129" s="621"/>
      <c r="JT129" s="621"/>
      <c r="JU129" s="621"/>
      <c r="JV129" s="621"/>
      <c r="JW129" s="621"/>
      <c r="JX129" s="621"/>
      <c r="JY129" s="621"/>
      <c r="JZ129" s="621"/>
      <c r="KA129" s="621"/>
      <c r="KB129" s="621"/>
      <c r="KC129" s="621"/>
      <c r="KD129" s="621"/>
      <c r="KE129" s="621"/>
      <c r="KF129" s="621"/>
      <c r="KG129" s="621"/>
      <c r="KH129" s="621"/>
      <c r="KI129" s="621"/>
      <c r="KJ129" s="621"/>
      <c r="KK129" s="621"/>
      <c r="KL129" s="621"/>
      <c r="KM129" s="621"/>
      <c r="KN129" s="621"/>
      <c r="KO129" s="621"/>
      <c r="KP129" s="621"/>
      <c r="KQ129" s="621"/>
      <c r="KR129" s="621"/>
      <c r="KS129" s="621"/>
      <c r="KT129" s="621"/>
      <c r="KU129" s="621"/>
      <c r="KV129" s="621"/>
      <c r="KW129" s="621"/>
      <c r="KX129" s="621"/>
      <c r="KY129" s="621"/>
      <c r="KZ129" s="621"/>
      <c r="LA129" s="621"/>
      <c r="LB129" s="621"/>
      <c r="LC129" s="621"/>
      <c r="LD129" s="621"/>
      <c r="LE129" s="621"/>
      <c r="LF129" s="621"/>
      <c r="LG129" s="621"/>
      <c r="LH129" s="621"/>
      <c r="LI129" s="621"/>
      <c r="LJ129" s="621"/>
      <c r="LK129" s="621"/>
      <c r="LL129" s="621"/>
      <c r="LM129" s="621"/>
      <c r="LN129" s="621"/>
      <c r="LO129" s="621"/>
      <c r="LP129" s="621"/>
      <c r="LQ129" s="621"/>
      <c r="LR129" s="621"/>
      <c r="LS129" s="621"/>
      <c r="LT129" s="621"/>
      <c r="LU129" s="621"/>
      <c r="LV129" s="621"/>
      <c r="LW129" s="621"/>
      <c r="LX129" s="621"/>
      <c r="LY129" s="621"/>
      <c r="LZ129" s="621"/>
      <c r="MA129" s="621"/>
      <c r="MB129" s="621"/>
      <c r="MC129" s="621"/>
      <c r="MD129" s="621"/>
      <c r="ME129" s="621"/>
      <c r="MF129" s="621"/>
      <c r="MG129" s="621"/>
      <c r="MH129" s="621"/>
      <c r="MI129" s="621"/>
      <c r="MJ129" s="621"/>
      <c r="MK129" s="621"/>
      <c r="ML129" s="621"/>
      <c r="MM129" s="621"/>
      <c r="MN129" s="621"/>
      <c r="MO129" s="621"/>
      <c r="MP129" s="621"/>
      <c r="MQ129" s="621"/>
      <c r="MR129" s="621"/>
      <c r="MS129" s="621"/>
      <c r="MT129" s="621"/>
      <c r="MU129" s="621"/>
      <c r="MV129" s="621"/>
      <c r="MW129" s="621"/>
      <c r="MX129" s="621"/>
      <c r="MY129" s="621"/>
      <c r="MZ129" s="621"/>
      <c r="NA129" s="621"/>
      <c r="NB129" s="621"/>
      <c r="NC129" s="621"/>
      <c r="ND129" s="621"/>
      <c r="NE129" s="621"/>
      <c r="NF129" s="621"/>
      <c r="NG129" s="621"/>
      <c r="NH129" s="621"/>
      <c r="NI129" s="621"/>
      <c r="NJ129" s="621"/>
      <c r="NK129" s="621"/>
      <c r="NL129" s="621"/>
      <c r="NM129" s="621"/>
      <c r="NN129" s="621"/>
      <c r="NO129" s="621"/>
      <c r="NP129" s="621"/>
      <c r="NQ129" s="621"/>
      <c r="NR129" s="621"/>
      <c r="NS129" s="621"/>
      <c r="NT129" s="621"/>
      <c r="NU129" s="621"/>
      <c r="NV129" s="621"/>
      <c r="NW129" s="621"/>
      <c r="NX129" s="621"/>
      <c r="NY129" s="621"/>
      <c r="NZ129" s="621"/>
      <c r="OA129" s="621"/>
      <c r="OB129" s="621"/>
      <c r="OC129" s="621"/>
      <c r="OD129" s="621"/>
      <c r="OE129" s="621"/>
      <c r="OF129" s="621"/>
      <c r="OG129" s="621"/>
      <c r="OH129" s="621"/>
      <c r="OI129" s="621"/>
      <c r="OJ129" s="621"/>
      <c r="OK129" s="621"/>
      <c r="OL129" s="621"/>
      <c r="OM129" s="621"/>
      <c r="ON129" s="621"/>
      <c r="OO129" s="621"/>
      <c r="OP129" s="621"/>
      <c r="OQ129" s="621"/>
      <c r="OR129" s="621"/>
      <c r="OS129" s="621"/>
      <c r="OT129" s="621"/>
      <c r="OU129" s="621"/>
      <c r="OV129" s="621"/>
      <c r="OW129" s="621"/>
      <c r="OX129" s="621"/>
      <c r="OY129" s="621"/>
      <c r="OZ129" s="621"/>
      <c r="PA129" s="621"/>
      <c r="PB129" s="621"/>
      <c r="PC129" s="621"/>
      <c r="PD129" s="621"/>
      <c r="PE129" s="621"/>
      <c r="PF129" s="621"/>
      <c r="PG129" s="621"/>
      <c r="PH129" s="621"/>
      <c r="PI129" s="621"/>
      <c r="PJ129" s="621"/>
      <c r="PK129" s="621"/>
      <c r="PL129" s="621"/>
      <c r="PM129" s="621"/>
      <c r="PN129" s="621"/>
      <c r="PO129" s="621"/>
      <c r="PP129" s="621"/>
      <c r="PQ129" s="621"/>
      <c r="PR129" s="621"/>
      <c r="PS129" s="621"/>
      <c r="PT129" s="621"/>
      <c r="PU129" s="621"/>
      <c r="PV129" s="621"/>
      <c r="PW129" s="621"/>
      <c r="PX129" s="621"/>
      <c r="PY129" s="621"/>
      <c r="PZ129" s="621"/>
      <c r="QA129" s="621"/>
      <c r="QB129" s="621"/>
      <c r="QC129" s="621"/>
      <c r="QD129" s="621"/>
      <c r="QE129" s="621"/>
      <c r="QF129" s="621"/>
      <c r="QG129" s="621"/>
      <c r="QH129" s="621"/>
      <c r="QI129" s="621"/>
      <c r="QJ129" s="621"/>
      <c r="QK129" s="621"/>
      <c r="QL129" s="621"/>
      <c r="QM129" s="621"/>
      <c r="QN129" s="621"/>
      <c r="QO129" s="621"/>
      <c r="QP129" s="621"/>
      <c r="QQ129" s="621"/>
      <c r="QR129" s="621"/>
      <c r="QS129" s="621"/>
      <c r="QT129" s="621"/>
      <c r="QU129" s="621"/>
      <c r="QV129" s="621"/>
      <c r="QW129" s="621"/>
      <c r="QX129" s="621"/>
      <c r="QY129" s="621"/>
      <c r="QZ129" s="621"/>
      <c r="RA129" s="621"/>
      <c r="RB129" s="621"/>
      <c r="RC129" s="621"/>
      <c r="RD129" s="621"/>
      <c r="RE129" s="621"/>
      <c r="RF129" s="621"/>
      <c r="RG129" s="621"/>
      <c r="RH129" s="621"/>
      <c r="RI129" s="621"/>
      <c r="RJ129" s="621"/>
      <c r="RK129" s="621"/>
      <c r="RL129" s="621"/>
      <c r="RM129" s="621"/>
      <c r="RN129" s="621"/>
      <c r="RO129" s="621"/>
      <c r="RP129" s="621"/>
      <c r="RQ129" s="621"/>
      <c r="RR129" s="621"/>
      <c r="RS129" s="621"/>
      <c r="RT129" s="621"/>
      <c r="RU129" s="621"/>
      <c r="RV129" s="621"/>
      <c r="RW129" s="621"/>
      <c r="RX129" s="621"/>
      <c r="RY129" s="621"/>
      <c r="RZ129" s="621"/>
      <c r="SA129" s="621"/>
      <c r="SB129" s="621"/>
      <c r="SC129" s="621"/>
      <c r="SD129" s="621"/>
      <c r="SE129" s="621"/>
      <c r="SF129" s="621"/>
      <c r="SG129" s="621"/>
      <c r="SH129" s="621"/>
      <c r="SI129" s="621"/>
      <c r="SJ129" s="621"/>
      <c r="SK129" s="621"/>
      <c r="SL129" s="621"/>
      <c r="SM129" s="621"/>
      <c r="SN129" s="621"/>
      <c r="SO129" s="621"/>
      <c r="SP129" s="621"/>
      <c r="SQ129" s="621"/>
      <c r="SR129" s="621"/>
      <c r="SS129" s="621"/>
      <c r="ST129" s="621"/>
      <c r="SU129" s="621"/>
      <c r="SV129" s="621"/>
      <c r="SW129" s="621"/>
      <c r="SX129" s="621"/>
      <c r="SY129" s="621"/>
      <c r="SZ129" s="621"/>
      <c r="TA129" s="621"/>
      <c r="TB129" s="621"/>
      <c r="TC129" s="621"/>
      <c r="TD129" s="621"/>
      <c r="TE129" s="621"/>
      <c r="TF129" s="621"/>
      <c r="TG129" s="621"/>
      <c r="TH129" s="621"/>
      <c r="TI129" s="621"/>
      <c r="TJ129" s="621"/>
      <c r="TK129" s="621"/>
      <c r="TL129" s="621"/>
      <c r="TM129" s="621"/>
      <c r="TN129" s="621"/>
      <c r="TO129" s="621"/>
      <c r="TP129" s="621"/>
      <c r="TQ129" s="621"/>
      <c r="TR129" s="621"/>
      <c r="TS129" s="621"/>
      <c r="TT129" s="621"/>
      <c r="TU129" s="621"/>
      <c r="TV129" s="621"/>
      <c r="TW129" s="621"/>
      <c r="TX129" s="621"/>
      <c r="TY129" s="621"/>
      <c r="TZ129" s="621"/>
      <c r="UA129" s="621"/>
      <c r="UB129" s="621"/>
      <c r="UC129" s="621"/>
      <c r="UD129" s="621"/>
      <c r="UE129" s="621"/>
      <c r="UF129" s="621"/>
      <c r="UG129" s="621"/>
      <c r="UH129" s="621"/>
      <c r="UI129" s="621"/>
      <c r="UJ129" s="621"/>
      <c r="UK129" s="621"/>
      <c r="UL129" s="621"/>
      <c r="UM129" s="621"/>
      <c r="UN129" s="621"/>
      <c r="UO129" s="621"/>
      <c r="UP129" s="621"/>
      <c r="UQ129" s="621"/>
      <c r="UR129" s="621"/>
      <c r="US129" s="621"/>
      <c r="UT129" s="621"/>
      <c r="UU129" s="621"/>
      <c r="UV129" s="621"/>
      <c r="UW129" s="621"/>
      <c r="UX129" s="621"/>
      <c r="UY129" s="621"/>
      <c r="UZ129" s="621"/>
      <c r="VA129" s="621"/>
      <c r="VB129" s="621"/>
      <c r="VC129" s="621"/>
      <c r="VD129" s="621"/>
      <c r="VE129" s="621"/>
      <c r="VF129" s="621"/>
      <c r="VG129" s="621"/>
      <c r="VH129" s="621"/>
      <c r="VI129" s="621"/>
      <c r="VJ129" s="621"/>
      <c r="VK129" s="621"/>
      <c r="VL129" s="621"/>
      <c r="VM129" s="621"/>
      <c r="VN129" s="621"/>
      <c r="VO129" s="621"/>
      <c r="VP129" s="621"/>
      <c r="VQ129" s="621"/>
      <c r="VR129" s="621"/>
      <c r="VS129" s="621"/>
      <c r="VT129" s="621"/>
      <c r="VU129" s="621"/>
      <c r="VV129" s="621"/>
      <c r="VW129" s="621"/>
      <c r="VX129" s="621"/>
      <c r="VY129" s="621"/>
      <c r="VZ129" s="621"/>
      <c r="WA129" s="621"/>
      <c r="WB129" s="621"/>
      <c r="WC129" s="621"/>
      <c r="WD129" s="621"/>
      <c r="WE129" s="621"/>
      <c r="WF129" s="621"/>
      <c r="WG129" s="621"/>
      <c r="WH129" s="621"/>
      <c r="WI129" s="621"/>
      <c r="WJ129" s="621"/>
      <c r="WK129" s="621"/>
      <c r="WL129" s="621"/>
      <c r="WM129" s="621"/>
      <c r="WN129" s="621"/>
      <c r="WO129" s="621"/>
      <c r="WP129" s="621"/>
      <c r="WQ129" s="621"/>
      <c r="WR129" s="621"/>
      <c r="WS129" s="621"/>
      <c r="WT129" s="621"/>
      <c r="WU129" s="621"/>
      <c r="WV129" s="621"/>
      <c r="WW129" s="621"/>
      <c r="WX129" s="621"/>
      <c r="WY129" s="621"/>
      <c r="WZ129" s="621"/>
      <c r="XA129" s="621"/>
      <c r="XB129" s="621"/>
      <c r="XC129" s="621"/>
      <c r="XD129" s="621"/>
      <c r="XE129" s="621"/>
      <c r="XF129" s="621"/>
      <c r="XG129" s="621"/>
      <c r="XH129" s="621"/>
      <c r="XI129" s="621"/>
      <c r="XJ129" s="621"/>
      <c r="XK129" s="621"/>
      <c r="XL129" s="621"/>
      <c r="XM129" s="621"/>
      <c r="XN129" s="621"/>
      <c r="XO129" s="621"/>
      <c r="XP129" s="621"/>
      <c r="XQ129" s="621"/>
      <c r="XR129" s="621"/>
      <c r="XS129" s="621"/>
      <c r="XT129" s="621"/>
      <c r="XU129" s="621"/>
      <c r="XV129" s="621"/>
      <c r="XW129" s="621"/>
      <c r="XX129" s="621"/>
      <c r="XY129" s="621"/>
      <c r="XZ129" s="621"/>
      <c r="YA129" s="621"/>
      <c r="YB129" s="621"/>
      <c r="YC129" s="621"/>
      <c r="YD129" s="621"/>
      <c r="YE129" s="621"/>
      <c r="YF129" s="621"/>
      <c r="YG129" s="621"/>
      <c r="YH129" s="621"/>
      <c r="YI129" s="621"/>
      <c r="YJ129" s="621"/>
      <c r="YK129" s="621"/>
      <c r="YL129" s="621"/>
      <c r="YM129" s="621"/>
      <c r="YN129" s="621"/>
      <c r="YO129" s="621"/>
      <c r="YP129" s="621"/>
      <c r="YQ129" s="621"/>
      <c r="YR129" s="621"/>
      <c r="YS129" s="621"/>
      <c r="YT129" s="621"/>
      <c r="YU129" s="621"/>
      <c r="YV129" s="621"/>
      <c r="YW129" s="621"/>
      <c r="YX129" s="621"/>
      <c r="YY129" s="621"/>
      <c r="YZ129" s="621"/>
      <c r="ZA129" s="621"/>
      <c r="ZB129" s="621"/>
      <c r="ZC129" s="621"/>
      <c r="ZD129" s="621"/>
      <c r="ZE129" s="621"/>
      <c r="ZF129" s="621"/>
      <c r="ZG129" s="621"/>
      <c r="ZH129" s="621"/>
      <c r="ZI129" s="621"/>
      <c r="ZJ129" s="621"/>
      <c r="ZK129" s="621"/>
      <c r="ZL129" s="621"/>
      <c r="ZM129" s="621"/>
      <c r="ZN129" s="621"/>
      <c r="ZO129" s="621"/>
      <c r="ZP129" s="621"/>
      <c r="ZQ129" s="621"/>
      <c r="ZR129" s="621"/>
      <c r="ZS129" s="621"/>
      <c r="ZT129" s="621"/>
      <c r="ZU129" s="621"/>
      <c r="ZV129" s="621"/>
      <c r="ZW129" s="621"/>
      <c r="ZX129" s="621"/>
      <c r="ZY129" s="621"/>
      <c r="ZZ129" s="621"/>
      <c r="AAA129" s="621"/>
      <c r="AAB129" s="621"/>
      <c r="AAC129" s="621"/>
      <c r="AAD129" s="621"/>
      <c r="AAE129" s="621"/>
      <c r="AAF129" s="621"/>
      <c r="AAG129" s="621"/>
      <c r="AAH129" s="621"/>
      <c r="AAI129" s="621"/>
      <c r="AAJ129" s="621"/>
      <c r="AAK129" s="621"/>
      <c r="AAL129" s="621"/>
      <c r="AAM129" s="621"/>
      <c r="AAN129" s="621"/>
      <c r="AAO129" s="621"/>
      <c r="AAP129" s="621"/>
      <c r="AAQ129" s="621"/>
      <c r="AAR129" s="621"/>
      <c r="AAS129" s="621"/>
      <c r="AAT129" s="621"/>
      <c r="AAU129" s="621"/>
      <c r="AAV129" s="621"/>
      <c r="AAW129" s="621"/>
      <c r="AAX129" s="621"/>
      <c r="AAY129" s="621"/>
      <c r="AAZ129" s="621"/>
      <c r="ABA129" s="621"/>
      <c r="ABB129" s="621"/>
      <c r="ABC129" s="621"/>
      <c r="ABD129" s="621"/>
      <c r="ABE129" s="621"/>
      <c r="ABF129" s="621"/>
      <c r="ABG129" s="621"/>
      <c r="ABH129" s="621"/>
      <c r="ABI129" s="621"/>
      <c r="ABJ129" s="621"/>
      <c r="ABK129" s="621"/>
      <c r="ABL129" s="621"/>
      <c r="ABM129" s="621"/>
      <c r="ABN129" s="621"/>
      <c r="ABO129" s="621"/>
      <c r="ABP129" s="621"/>
      <c r="ABQ129" s="621"/>
      <c r="ABR129" s="621"/>
      <c r="ABS129" s="621"/>
      <c r="ABT129" s="621"/>
      <c r="ABU129" s="621"/>
      <c r="ABV129" s="621"/>
      <c r="ABW129" s="621"/>
      <c r="ABX129" s="621"/>
      <c r="ABY129" s="621"/>
      <c r="ABZ129" s="621"/>
      <c r="ACA129" s="621"/>
      <c r="ACB129" s="621"/>
      <c r="ACC129" s="621"/>
      <c r="ACD129" s="621"/>
      <c r="ACE129" s="621"/>
      <c r="ACF129" s="621"/>
      <c r="ACG129" s="621"/>
      <c r="ACH129" s="621"/>
      <c r="ACI129" s="621"/>
      <c r="ACJ129" s="621"/>
      <c r="ACK129" s="621"/>
      <c r="ACL129" s="621"/>
      <c r="ACM129" s="621"/>
      <c r="ACN129" s="621"/>
      <c r="ACO129" s="621"/>
      <c r="ACP129" s="621"/>
      <c r="ACQ129" s="621"/>
      <c r="ACR129" s="621"/>
      <c r="ACS129" s="621"/>
      <c r="ACT129" s="621"/>
      <c r="ACU129" s="621"/>
      <c r="ACV129" s="621"/>
      <c r="ACW129" s="621"/>
      <c r="ACX129" s="621"/>
      <c r="ACY129" s="621"/>
      <c r="ACZ129" s="621"/>
      <c r="ADA129" s="621"/>
      <c r="ADB129" s="621"/>
      <c r="ADC129" s="621"/>
      <c r="ADD129" s="621"/>
      <c r="ADE129" s="621"/>
      <c r="ADF129" s="621"/>
      <c r="ADG129" s="621"/>
      <c r="ADH129" s="621"/>
      <c r="ADI129" s="621"/>
      <c r="ADJ129" s="621"/>
      <c r="ADK129" s="621"/>
      <c r="ADL129" s="621"/>
      <c r="ADM129" s="621"/>
      <c r="ADN129" s="621"/>
      <c r="ADO129" s="621"/>
      <c r="ADP129" s="621"/>
      <c r="ADQ129" s="621"/>
      <c r="ADR129" s="621"/>
      <c r="ADS129" s="621"/>
      <c r="ADT129" s="621"/>
      <c r="ADU129" s="621"/>
      <c r="ADV129" s="621"/>
      <c r="ADW129" s="621"/>
      <c r="ADX129" s="621"/>
      <c r="ADY129" s="621"/>
      <c r="ADZ129" s="621"/>
      <c r="AEA129" s="621"/>
      <c r="AEB129" s="621"/>
      <c r="AEC129" s="621"/>
      <c r="AED129" s="621"/>
      <c r="AEE129" s="621"/>
      <c r="AEF129" s="621"/>
      <c r="AEG129" s="621"/>
      <c r="AEH129" s="621"/>
      <c r="AEI129" s="621"/>
      <c r="AEJ129" s="621"/>
      <c r="AEK129" s="621"/>
      <c r="AEL129" s="621"/>
      <c r="AEM129" s="621"/>
      <c r="AEN129" s="621"/>
      <c r="AEO129" s="621"/>
      <c r="AEP129" s="621"/>
      <c r="AEQ129" s="621"/>
      <c r="AER129" s="621"/>
      <c r="AES129" s="621"/>
      <c r="AET129" s="621"/>
      <c r="AEU129" s="621"/>
      <c r="AEV129" s="621"/>
      <c r="AEW129" s="621"/>
      <c r="AEX129" s="621"/>
      <c r="AEY129" s="621"/>
      <c r="AEZ129" s="621"/>
      <c r="AFA129" s="621"/>
      <c r="AFB129" s="621"/>
      <c r="AFC129" s="621"/>
      <c r="AFD129" s="621"/>
      <c r="AFE129" s="621"/>
      <c r="AFF129" s="621"/>
      <c r="AFG129" s="621"/>
      <c r="AFH129" s="621"/>
      <c r="AFI129" s="621"/>
      <c r="AFJ129" s="621"/>
      <c r="AFK129" s="621"/>
      <c r="AFL129" s="621"/>
      <c r="AFM129" s="621"/>
      <c r="AFN129" s="621"/>
      <c r="AFO129" s="621"/>
      <c r="AFP129" s="621"/>
      <c r="AFQ129" s="621"/>
      <c r="AFR129" s="621"/>
      <c r="AFS129" s="621"/>
      <c r="AFT129" s="621"/>
      <c r="AFU129" s="621"/>
      <c r="AFV129" s="621"/>
      <c r="AFW129" s="621"/>
      <c r="AFX129" s="621"/>
      <c r="AFY129" s="621"/>
      <c r="AFZ129" s="621"/>
      <c r="AGA129" s="621"/>
      <c r="AGB129" s="621"/>
      <c r="AGC129" s="621"/>
      <c r="AGD129" s="621"/>
      <c r="AGE129" s="621"/>
      <c r="AGF129" s="621"/>
      <c r="AGG129" s="621"/>
      <c r="AGH129" s="621"/>
      <c r="AGI129" s="621"/>
      <c r="AGJ129" s="621"/>
      <c r="AGK129" s="621"/>
      <c r="AGL129" s="621"/>
      <c r="AGM129" s="621"/>
      <c r="AGN129" s="621"/>
      <c r="AGO129" s="621"/>
      <c r="AGP129" s="621"/>
      <c r="AGQ129" s="621"/>
      <c r="AGR129" s="621"/>
      <c r="AGS129" s="621"/>
      <c r="AGT129" s="621"/>
      <c r="AGU129" s="621"/>
      <c r="AGV129" s="621"/>
      <c r="AGW129" s="621"/>
      <c r="AGX129" s="621"/>
      <c r="AGY129" s="621"/>
      <c r="AGZ129" s="621"/>
      <c r="AHA129" s="621"/>
      <c r="AHB129" s="621"/>
      <c r="AHC129" s="621"/>
      <c r="AHD129" s="621"/>
      <c r="AHE129" s="621"/>
      <c r="AHF129" s="621"/>
      <c r="AHG129" s="621"/>
      <c r="AHH129" s="621"/>
      <c r="AHI129" s="621"/>
      <c r="AHJ129" s="621"/>
      <c r="AHK129" s="621"/>
      <c r="AHL129" s="621"/>
      <c r="AHM129" s="621"/>
      <c r="AHN129" s="621"/>
      <c r="AHO129" s="621"/>
      <c r="AHP129" s="621"/>
      <c r="AHQ129" s="621"/>
      <c r="AHR129" s="621"/>
      <c r="AHS129" s="621"/>
      <c r="AHT129" s="621"/>
      <c r="AHU129" s="621"/>
      <c r="AHV129" s="621"/>
      <c r="AHW129" s="621"/>
      <c r="AHX129" s="621"/>
      <c r="AHY129" s="621"/>
      <c r="AHZ129" s="621"/>
      <c r="AIA129" s="621"/>
      <c r="AIB129" s="621"/>
      <c r="AIC129" s="621"/>
      <c r="AID129" s="621"/>
      <c r="AIE129" s="621"/>
      <c r="AIF129" s="621"/>
      <c r="AIG129" s="621"/>
      <c r="AIH129" s="621"/>
      <c r="AII129" s="621"/>
      <c r="AIJ129" s="621"/>
      <c r="AIK129" s="621"/>
      <c r="AIL129" s="621"/>
      <c r="AIM129" s="621"/>
      <c r="AIN129" s="621"/>
      <c r="AIO129" s="621"/>
      <c r="AIP129" s="621"/>
      <c r="AIQ129" s="621"/>
      <c r="AIR129" s="621"/>
      <c r="AIS129" s="621"/>
      <c r="AIT129" s="621"/>
      <c r="AIU129" s="621"/>
      <c r="AIV129" s="621"/>
      <c r="AIW129" s="621"/>
      <c r="AIX129" s="621"/>
      <c r="AIY129" s="621"/>
      <c r="AIZ129" s="621"/>
      <c r="AJA129" s="621"/>
      <c r="AJB129" s="621"/>
      <c r="AJC129" s="621"/>
      <c r="AJD129" s="621"/>
      <c r="AJE129" s="621"/>
      <c r="AJF129" s="621"/>
      <c r="AJG129" s="621"/>
      <c r="AJH129" s="621"/>
      <c r="AJI129" s="621"/>
      <c r="AJJ129" s="621"/>
      <c r="AJK129" s="621"/>
      <c r="AJL129" s="621"/>
      <c r="AJM129" s="621"/>
      <c r="AJN129" s="621"/>
      <c r="AJO129" s="621"/>
      <c r="AJP129" s="621"/>
      <c r="AJQ129" s="621"/>
      <c r="AJR129" s="621"/>
      <c r="AJS129" s="621"/>
      <c r="AJT129" s="621"/>
      <c r="AJU129" s="621"/>
      <c r="AJV129" s="621"/>
      <c r="AJW129" s="621"/>
      <c r="AJX129" s="621"/>
      <c r="AJY129" s="621"/>
      <c r="AJZ129" s="621"/>
      <c r="AKA129" s="621"/>
      <c r="AKB129" s="621"/>
      <c r="AKC129" s="621"/>
      <c r="AKD129" s="621"/>
      <c r="AKE129" s="621"/>
      <c r="AKF129" s="621"/>
      <c r="AKG129" s="621"/>
      <c r="AKH129" s="621"/>
      <c r="AKI129" s="621"/>
      <c r="AKJ129" s="621"/>
      <c r="AKK129" s="621"/>
      <c r="AKL129" s="621"/>
      <c r="AKM129" s="621"/>
      <c r="AKN129" s="621"/>
      <c r="AKO129" s="621"/>
      <c r="AKP129" s="621"/>
      <c r="AKQ129" s="621"/>
      <c r="AKR129" s="621"/>
      <c r="AKS129" s="621"/>
      <c r="AKT129" s="621"/>
      <c r="AKU129" s="621"/>
      <c r="AKV129" s="621"/>
      <c r="AKW129" s="621"/>
      <c r="AKX129" s="621"/>
      <c r="AKY129" s="621"/>
      <c r="AKZ129" s="621"/>
      <c r="ALA129" s="621"/>
      <c r="ALB129" s="621"/>
      <c r="ALC129" s="621"/>
      <c r="ALD129" s="621"/>
      <c r="ALE129" s="621"/>
      <c r="ALF129" s="621"/>
      <c r="ALG129" s="621"/>
      <c r="ALH129" s="621"/>
      <c r="ALI129" s="621"/>
      <c r="ALJ129" s="621"/>
      <c r="ALK129" s="621"/>
      <c r="ALL129" s="621"/>
      <c r="ALM129" s="621"/>
      <c r="ALN129" s="621"/>
      <c r="ALO129" s="621"/>
      <c r="ALP129" s="621"/>
      <c r="ALQ129" s="621"/>
      <c r="ALR129" s="621"/>
      <c r="ALS129" s="621"/>
      <c r="ALT129" s="621"/>
      <c r="ALU129" s="621"/>
      <c r="ALV129" s="621"/>
      <c r="ALW129" s="621"/>
      <c r="ALX129" s="621"/>
      <c r="ALY129" s="621"/>
      <c r="ALZ129" s="621"/>
      <c r="AMA129" s="621"/>
      <c r="AMB129" s="621"/>
      <c r="AMC129" s="621"/>
      <c r="AMD129" s="621"/>
      <c r="AME129" s="621"/>
      <c r="AMF129" s="621"/>
      <c r="AMG129" s="621"/>
      <c r="AMH129" s="621"/>
      <c r="AMI129" s="621"/>
      <c r="AMJ129" s="621"/>
      <c r="AMK129" s="621"/>
    </row>
    <row r="130" spans="1:1025" ht="12.75">
      <c r="A130" s="621"/>
      <c r="B130" s="621"/>
      <c r="C130" s="621"/>
      <c r="D130" s="621"/>
      <c r="E130" s="621"/>
      <c r="F130" s="135">
        <f>7641*19.561</f>
        <v>149465.601</v>
      </c>
      <c r="G130" s="621"/>
      <c r="H130" s="621"/>
      <c r="I130" s="621"/>
      <c r="J130" s="621"/>
      <c r="K130" s="621"/>
      <c r="L130" s="621"/>
      <c r="M130" s="621"/>
      <c r="N130" s="621"/>
      <c r="O130" s="621"/>
      <c r="P130" s="621"/>
      <c r="Q130" s="621"/>
      <c r="R130" s="621"/>
      <c r="S130" s="621"/>
      <c r="T130" s="621"/>
      <c r="U130" s="621"/>
      <c r="V130" s="621"/>
      <c r="W130" s="621"/>
      <c r="X130" s="621"/>
      <c r="Y130" s="621"/>
      <c r="Z130" s="621"/>
      <c r="AA130" s="621"/>
      <c r="AB130" s="621"/>
      <c r="AC130" s="621"/>
      <c r="AD130" s="621"/>
      <c r="AE130" s="621"/>
      <c r="AF130" s="621"/>
      <c r="AG130" s="621"/>
      <c r="AH130" s="621"/>
      <c r="AI130" s="621"/>
      <c r="AJ130" s="621"/>
      <c r="AK130" s="621"/>
      <c r="AL130" s="621"/>
      <c r="AM130" s="621"/>
      <c r="AN130" s="621"/>
      <c r="AO130" s="621"/>
      <c r="AP130" s="621"/>
      <c r="AQ130" s="621"/>
      <c r="AR130" s="621"/>
      <c r="AS130" s="621"/>
      <c r="AT130" s="621"/>
      <c r="AU130" s="621"/>
      <c r="AV130" s="621"/>
      <c r="AW130" s="621"/>
      <c r="AX130" s="621"/>
      <c r="AY130" s="621"/>
      <c r="AZ130" s="621"/>
      <c r="BA130" s="621"/>
      <c r="BB130" s="621"/>
      <c r="BC130" s="621"/>
      <c r="BD130" s="621"/>
      <c r="BE130" s="621"/>
      <c r="BF130" s="621"/>
      <c r="BG130" s="621"/>
      <c r="BH130" s="621"/>
      <c r="BI130" s="621"/>
      <c r="BJ130" s="621"/>
      <c r="BK130" s="621"/>
      <c r="BL130" s="621"/>
      <c r="BM130" s="621"/>
      <c r="BN130" s="621"/>
      <c r="BO130" s="621"/>
      <c r="BP130" s="621"/>
      <c r="BQ130" s="621"/>
      <c r="BR130" s="621"/>
      <c r="BS130" s="621"/>
      <c r="BT130" s="621"/>
      <c r="BU130" s="621"/>
      <c r="BV130" s="621"/>
      <c r="BW130" s="621"/>
      <c r="BX130" s="621"/>
      <c r="BY130" s="621"/>
      <c r="BZ130" s="621"/>
      <c r="CA130" s="621"/>
      <c r="CB130" s="621"/>
      <c r="CC130" s="621"/>
      <c r="CD130" s="621"/>
      <c r="CE130" s="621"/>
      <c r="CF130" s="621"/>
      <c r="CG130" s="621"/>
      <c r="CH130" s="621"/>
      <c r="CI130" s="621"/>
      <c r="CJ130" s="621"/>
      <c r="CK130" s="621"/>
      <c r="CL130" s="621"/>
      <c r="CM130" s="621"/>
      <c r="CN130" s="621"/>
      <c r="CO130" s="621"/>
      <c r="CP130" s="621"/>
      <c r="CQ130" s="621"/>
      <c r="CR130" s="621"/>
      <c r="CS130" s="621"/>
      <c r="CT130" s="621"/>
      <c r="CU130" s="621"/>
      <c r="CV130" s="621"/>
      <c r="CW130" s="621"/>
      <c r="CX130" s="621"/>
      <c r="CY130" s="621"/>
      <c r="CZ130" s="621"/>
      <c r="DA130" s="621"/>
      <c r="DB130" s="621"/>
      <c r="DC130" s="621"/>
      <c r="DD130" s="621"/>
      <c r="DE130" s="621"/>
      <c r="DF130" s="621"/>
      <c r="DG130" s="621"/>
      <c r="DH130" s="621"/>
      <c r="DI130" s="621"/>
      <c r="DJ130" s="621"/>
      <c r="DK130" s="621"/>
      <c r="DL130" s="621"/>
      <c r="DM130" s="621"/>
      <c r="DN130" s="621"/>
      <c r="DO130" s="621"/>
      <c r="DP130" s="621"/>
      <c r="DQ130" s="621"/>
      <c r="DR130" s="621"/>
      <c r="DS130" s="621"/>
      <c r="DT130" s="621"/>
      <c r="DU130" s="621"/>
      <c r="DV130" s="621"/>
      <c r="DW130" s="621"/>
      <c r="DX130" s="621"/>
      <c r="DY130" s="621"/>
      <c r="DZ130" s="621"/>
      <c r="EA130" s="621"/>
      <c r="EB130" s="621"/>
      <c r="EC130" s="621"/>
      <c r="ED130" s="621"/>
      <c r="EE130" s="621"/>
      <c r="EF130" s="621"/>
      <c r="EG130" s="621"/>
      <c r="EH130" s="621"/>
      <c r="EI130" s="621"/>
      <c r="EJ130" s="621"/>
      <c r="EK130" s="621"/>
      <c r="EL130" s="621"/>
      <c r="EM130" s="621"/>
      <c r="EN130" s="621"/>
      <c r="EO130" s="621"/>
      <c r="EP130" s="621"/>
      <c r="EQ130" s="621"/>
      <c r="ER130" s="621"/>
      <c r="ES130" s="621"/>
      <c r="ET130" s="621"/>
      <c r="EU130" s="621"/>
      <c r="EV130" s="621"/>
      <c r="EW130" s="621"/>
      <c r="EX130" s="621"/>
      <c r="EY130" s="621"/>
      <c r="EZ130" s="621"/>
      <c r="FA130" s="621"/>
      <c r="FB130" s="621"/>
      <c r="FC130" s="621"/>
      <c r="FD130" s="621"/>
      <c r="FE130" s="621"/>
      <c r="FF130" s="621"/>
      <c r="FG130" s="621"/>
      <c r="FH130" s="621"/>
      <c r="FI130" s="621"/>
      <c r="FJ130" s="621"/>
      <c r="FK130" s="621"/>
      <c r="FL130" s="621"/>
      <c r="FM130" s="621"/>
      <c r="FN130" s="621"/>
      <c r="FO130" s="621"/>
      <c r="FP130" s="621"/>
      <c r="FQ130" s="621"/>
      <c r="FR130" s="621"/>
      <c r="FS130" s="621"/>
      <c r="FT130" s="621"/>
      <c r="FU130" s="621"/>
      <c r="FV130" s="621"/>
      <c r="FW130" s="621"/>
      <c r="FX130" s="621"/>
      <c r="FY130" s="621"/>
      <c r="FZ130" s="621"/>
      <c r="GA130" s="621"/>
      <c r="GB130" s="621"/>
      <c r="GC130" s="621"/>
      <c r="GD130" s="621"/>
      <c r="GE130" s="621"/>
      <c r="GF130" s="621"/>
      <c r="GG130" s="621"/>
      <c r="GH130" s="621"/>
      <c r="GI130" s="621"/>
      <c r="GJ130" s="621"/>
      <c r="GK130" s="621"/>
      <c r="GL130" s="621"/>
      <c r="GM130" s="621"/>
      <c r="GN130" s="621"/>
      <c r="GO130" s="621"/>
      <c r="GP130" s="621"/>
      <c r="GQ130" s="621"/>
      <c r="GR130" s="621"/>
      <c r="GS130" s="621"/>
      <c r="GT130" s="621"/>
      <c r="GU130" s="621"/>
      <c r="GV130" s="621"/>
      <c r="GW130" s="621"/>
      <c r="GX130" s="621"/>
      <c r="GY130" s="621"/>
      <c r="GZ130" s="621"/>
      <c r="HA130" s="621"/>
      <c r="HB130" s="621"/>
      <c r="HC130" s="621"/>
      <c r="HD130" s="621"/>
      <c r="HE130" s="621"/>
      <c r="HF130" s="621"/>
      <c r="HG130" s="621"/>
      <c r="HH130" s="621"/>
      <c r="HI130" s="621"/>
      <c r="HJ130" s="621"/>
      <c r="HK130" s="621"/>
      <c r="HL130" s="621"/>
      <c r="HM130" s="621"/>
      <c r="HN130" s="621"/>
      <c r="HO130" s="621"/>
      <c r="HP130" s="621"/>
      <c r="HQ130" s="621"/>
      <c r="HR130" s="621"/>
      <c r="HS130" s="621"/>
      <c r="HT130" s="621"/>
      <c r="HU130" s="621"/>
      <c r="HV130" s="621"/>
      <c r="HW130" s="621"/>
      <c r="HX130" s="621"/>
      <c r="HY130" s="621"/>
      <c r="HZ130" s="621"/>
      <c r="IA130" s="621"/>
      <c r="IB130" s="621"/>
      <c r="IC130" s="621"/>
      <c r="ID130" s="621"/>
      <c r="IE130" s="621"/>
      <c r="IF130" s="621"/>
      <c r="IG130" s="621"/>
      <c r="IH130" s="621"/>
      <c r="II130" s="621"/>
      <c r="IJ130" s="621"/>
      <c r="IK130" s="621"/>
      <c r="IL130" s="621"/>
      <c r="IM130" s="621"/>
      <c r="IN130" s="621"/>
      <c r="IO130" s="621"/>
      <c r="IP130" s="621"/>
      <c r="IQ130" s="621"/>
      <c r="IR130" s="621"/>
      <c r="IS130" s="621"/>
      <c r="IT130" s="621"/>
      <c r="IU130" s="621"/>
      <c r="IV130" s="621"/>
      <c r="IW130" s="621"/>
      <c r="IX130" s="621"/>
      <c r="IY130" s="621"/>
      <c r="IZ130" s="621"/>
      <c r="JA130" s="621"/>
      <c r="JB130" s="621"/>
      <c r="JC130" s="621"/>
      <c r="JD130" s="621"/>
      <c r="JE130" s="621"/>
      <c r="JF130" s="621"/>
      <c r="JG130" s="621"/>
      <c r="JH130" s="621"/>
      <c r="JI130" s="621"/>
      <c r="JJ130" s="621"/>
      <c r="JK130" s="621"/>
      <c r="JL130" s="621"/>
      <c r="JM130" s="621"/>
      <c r="JN130" s="621"/>
      <c r="JO130" s="621"/>
      <c r="JP130" s="621"/>
      <c r="JQ130" s="621"/>
      <c r="JR130" s="621"/>
      <c r="JS130" s="621"/>
      <c r="JT130" s="621"/>
      <c r="JU130" s="621"/>
      <c r="JV130" s="621"/>
      <c r="JW130" s="621"/>
      <c r="JX130" s="621"/>
      <c r="JY130" s="621"/>
      <c r="JZ130" s="621"/>
      <c r="KA130" s="621"/>
      <c r="KB130" s="621"/>
      <c r="KC130" s="621"/>
      <c r="KD130" s="621"/>
      <c r="KE130" s="621"/>
      <c r="KF130" s="621"/>
      <c r="KG130" s="621"/>
      <c r="KH130" s="621"/>
      <c r="KI130" s="621"/>
      <c r="KJ130" s="621"/>
      <c r="KK130" s="621"/>
      <c r="KL130" s="621"/>
      <c r="KM130" s="621"/>
      <c r="KN130" s="621"/>
      <c r="KO130" s="621"/>
      <c r="KP130" s="621"/>
      <c r="KQ130" s="621"/>
      <c r="KR130" s="621"/>
      <c r="KS130" s="621"/>
      <c r="KT130" s="621"/>
      <c r="KU130" s="621"/>
      <c r="KV130" s="621"/>
      <c r="KW130" s="621"/>
      <c r="KX130" s="621"/>
      <c r="KY130" s="621"/>
      <c r="KZ130" s="621"/>
      <c r="LA130" s="621"/>
      <c r="LB130" s="621"/>
      <c r="LC130" s="621"/>
      <c r="LD130" s="621"/>
      <c r="LE130" s="621"/>
      <c r="LF130" s="621"/>
      <c r="LG130" s="621"/>
      <c r="LH130" s="621"/>
      <c r="LI130" s="621"/>
      <c r="LJ130" s="621"/>
      <c r="LK130" s="621"/>
      <c r="LL130" s="621"/>
      <c r="LM130" s="621"/>
      <c r="LN130" s="621"/>
      <c r="LO130" s="621"/>
      <c r="LP130" s="621"/>
      <c r="LQ130" s="621"/>
      <c r="LR130" s="621"/>
      <c r="LS130" s="621"/>
      <c r="LT130" s="621"/>
      <c r="LU130" s="621"/>
      <c r="LV130" s="621"/>
      <c r="LW130" s="621"/>
      <c r="LX130" s="621"/>
      <c r="LY130" s="621"/>
      <c r="LZ130" s="621"/>
      <c r="MA130" s="621"/>
      <c r="MB130" s="621"/>
      <c r="MC130" s="621"/>
      <c r="MD130" s="621"/>
      <c r="ME130" s="621"/>
      <c r="MF130" s="621"/>
      <c r="MG130" s="621"/>
      <c r="MH130" s="621"/>
      <c r="MI130" s="621"/>
      <c r="MJ130" s="621"/>
      <c r="MK130" s="621"/>
      <c r="ML130" s="621"/>
      <c r="MM130" s="621"/>
      <c r="MN130" s="621"/>
      <c r="MO130" s="621"/>
      <c r="MP130" s="621"/>
      <c r="MQ130" s="621"/>
      <c r="MR130" s="621"/>
      <c r="MS130" s="621"/>
      <c r="MT130" s="621"/>
      <c r="MU130" s="621"/>
      <c r="MV130" s="621"/>
      <c r="MW130" s="621"/>
      <c r="MX130" s="621"/>
      <c r="MY130" s="621"/>
      <c r="MZ130" s="621"/>
      <c r="NA130" s="621"/>
      <c r="NB130" s="621"/>
      <c r="NC130" s="621"/>
      <c r="ND130" s="621"/>
      <c r="NE130" s="621"/>
      <c r="NF130" s="621"/>
      <c r="NG130" s="621"/>
      <c r="NH130" s="621"/>
      <c r="NI130" s="621"/>
      <c r="NJ130" s="621"/>
      <c r="NK130" s="621"/>
      <c r="NL130" s="621"/>
      <c r="NM130" s="621"/>
      <c r="NN130" s="621"/>
      <c r="NO130" s="621"/>
      <c r="NP130" s="621"/>
      <c r="NQ130" s="621"/>
      <c r="NR130" s="621"/>
      <c r="NS130" s="621"/>
      <c r="NT130" s="621"/>
      <c r="NU130" s="621"/>
      <c r="NV130" s="621"/>
      <c r="NW130" s="621"/>
      <c r="NX130" s="621"/>
      <c r="NY130" s="621"/>
      <c r="NZ130" s="621"/>
      <c r="OA130" s="621"/>
      <c r="OB130" s="621"/>
      <c r="OC130" s="621"/>
      <c r="OD130" s="621"/>
      <c r="OE130" s="621"/>
      <c r="OF130" s="621"/>
      <c r="OG130" s="621"/>
      <c r="OH130" s="621"/>
      <c r="OI130" s="621"/>
      <c r="OJ130" s="621"/>
      <c r="OK130" s="621"/>
      <c r="OL130" s="621"/>
      <c r="OM130" s="621"/>
      <c r="ON130" s="621"/>
      <c r="OO130" s="621"/>
      <c r="OP130" s="621"/>
      <c r="OQ130" s="621"/>
      <c r="OR130" s="621"/>
      <c r="OS130" s="621"/>
      <c r="OT130" s="621"/>
      <c r="OU130" s="621"/>
      <c r="OV130" s="621"/>
      <c r="OW130" s="621"/>
      <c r="OX130" s="621"/>
      <c r="OY130" s="621"/>
      <c r="OZ130" s="621"/>
      <c r="PA130" s="621"/>
      <c r="PB130" s="621"/>
      <c r="PC130" s="621"/>
      <c r="PD130" s="621"/>
      <c r="PE130" s="621"/>
      <c r="PF130" s="621"/>
      <c r="PG130" s="621"/>
      <c r="PH130" s="621"/>
      <c r="PI130" s="621"/>
      <c r="PJ130" s="621"/>
      <c r="PK130" s="621"/>
      <c r="PL130" s="621"/>
      <c r="PM130" s="621"/>
      <c r="PN130" s="621"/>
      <c r="PO130" s="621"/>
      <c r="PP130" s="621"/>
      <c r="PQ130" s="621"/>
      <c r="PR130" s="621"/>
      <c r="PS130" s="621"/>
      <c r="PT130" s="621"/>
      <c r="PU130" s="621"/>
      <c r="PV130" s="621"/>
      <c r="PW130" s="621"/>
      <c r="PX130" s="621"/>
      <c r="PY130" s="621"/>
      <c r="PZ130" s="621"/>
      <c r="QA130" s="621"/>
      <c r="QB130" s="621"/>
      <c r="QC130" s="621"/>
      <c r="QD130" s="621"/>
      <c r="QE130" s="621"/>
      <c r="QF130" s="621"/>
      <c r="QG130" s="621"/>
      <c r="QH130" s="621"/>
      <c r="QI130" s="621"/>
      <c r="QJ130" s="621"/>
      <c r="QK130" s="621"/>
      <c r="QL130" s="621"/>
      <c r="QM130" s="621"/>
      <c r="QN130" s="621"/>
      <c r="QO130" s="621"/>
      <c r="QP130" s="621"/>
      <c r="QQ130" s="621"/>
      <c r="QR130" s="621"/>
      <c r="QS130" s="621"/>
      <c r="QT130" s="621"/>
      <c r="QU130" s="621"/>
      <c r="QV130" s="621"/>
      <c r="QW130" s="621"/>
      <c r="QX130" s="621"/>
      <c r="QY130" s="621"/>
      <c r="QZ130" s="621"/>
      <c r="RA130" s="621"/>
      <c r="RB130" s="621"/>
      <c r="RC130" s="621"/>
      <c r="RD130" s="621"/>
      <c r="RE130" s="621"/>
      <c r="RF130" s="621"/>
      <c r="RG130" s="621"/>
      <c r="RH130" s="621"/>
      <c r="RI130" s="621"/>
      <c r="RJ130" s="621"/>
      <c r="RK130" s="621"/>
      <c r="RL130" s="621"/>
      <c r="RM130" s="621"/>
      <c r="RN130" s="621"/>
      <c r="RO130" s="621"/>
      <c r="RP130" s="621"/>
      <c r="RQ130" s="621"/>
      <c r="RR130" s="621"/>
      <c r="RS130" s="621"/>
      <c r="RT130" s="621"/>
      <c r="RU130" s="621"/>
      <c r="RV130" s="621"/>
      <c r="RW130" s="621"/>
      <c r="RX130" s="621"/>
      <c r="RY130" s="621"/>
      <c r="RZ130" s="621"/>
      <c r="SA130" s="621"/>
      <c r="SB130" s="621"/>
      <c r="SC130" s="621"/>
      <c r="SD130" s="621"/>
      <c r="SE130" s="621"/>
      <c r="SF130" s="621"/>
      <c r="SG130" s="621"/>
      <c r="SH130" s="621"/>
      <c r="SI130" s="621"/>
      <c r="SJ130" s="621"/>
      <c r="SK130" s="621"/>
      <c r="SL130" s="621"/>
      <c r="SM130" s="621"/>
      <c r="SN130" s="621"/>
      <c r="SO130" s="621"/>
      <c r="SP130" s="621"/>
      <c r="SQ130" s="621"/>
      <c r="SR130" s="621"/>
      <c r="SS130" s="621"/>
      <c r="ST130" s="621"/>
      <c r="SU130" s="621"/>
      <c r="SV130" s="621"/>
      <c r="SW130" s="621"/>
      <c r="SX130" s="621"/>
      <c r="SY130" s="621"/>
      <c r="SZ130" s="621"/>
      <c r="TA130" s="621"/>
      <c r="TB130" s="621"/>
      <c r="TC130" s="621"/>
      <c r="TD130" s="621"/>
      <c r="TE130" s="621"/>
      <c r="TF130" s="621"/>
      <c r="TG130" s="621"/>
      <c r="TH130" s="621"/>
      <c r="TI130" s="621"/>
      <c r="TJ130" s="621"/>
      <c r="TK130" s="621"/>
      <c r="TL130" s="621"/>
      <c r="TM130" s="621"/>
      <c r="TN130" s="621"/>
      <c r="TO130" s="621"/>
      <c r="TP130" s="621"/>
      <c r="TQ130" s="621"/>
      <c r="TR130" s="621"/>
      <c r="TS130" s="621"/>
      <c r="TT130" s="621"/>
      <c r="TU130" s="621"/>
      <c r="TV130" s="621"/>
      <c r="TW130" s="621"/>
      <c r="TX130" s="621"/>
      <c r="TY130" s="621"/>
      <c r="TZ130" s="621"/>
      <c r="UA130" s="621"/>
      <c r="UB130" s="621"/>
      <c r="UC130" s="621"/>
      <c r="UD130" s="621"/>
      <c r="UE130" s="621"/>
      <c r="UF130" s="621"/>
      <c r="UG130" s="621"/>
      <c r="UH130" s="621"/>
      <c r="UI130" s="621"/>
      <c r="UJ130" s="621"/>
      <c r="UK130" s="621"/>
      <c r="UL130" s="621"/>
      <c r="UM130" s="621"/>
      <c r="UN130" s="621"/>
      <c r="UO130" s="621"/>
      <c r="UP130" s="621"/>
      <c r="UQ130" s="621"/>
      <c r="UR130" s="621"/>
      <c r="US130" s="621"/>
      <c r="UT130" s="621"/>
      <c r="UU130" s="621"/>
      <c r="UV130" s="621"/>
      <c r="UW130" s="621"/>
      <c r="UX130" s="621"/>
      <c r="UY130" s="621"/>
      <c r="UZ130" s="621"/>
      <c r="VA130" s="621"/>
      <c r="VB130" s="621"/>
      <c r="VC130" s="621"/>
      <c r="VD130" s="621"/>
      <c r="VE130" s="621"/>
      <c r="VF130" s="621"/>
      <c r="VG130" s="621"/>
      <c r="VH130" s="621"/>
      <c r="VI130" s="621"/>
      <c r="VJ130" s="621"/>
      <c r="VK130" s="621"/>
      <c r="VL130" s="621"/>
      <c r="VM130" s="621"/>
      <c r="VN130" s="621"/>
      <c r="VO130" s="621"/>
      <c r="VP130" s="621"/>
      <c r="VQ130" s="621"/>
      <c r="VR130" s="621"/>
      <c r="VS130" s="621"/>
      <c r="VT130" s="621"/>
      <c r="VU130" s="621"/>
      <c r="VV130" s="621"/>
      <c r="VW130" s="621"/>
      <c r="VX130" s="621"/>
      <c r="VY130" s="621"/>
      <c r="VZ130" s="621"/>
      <c r="WA130" s="621"/>
      <c r="WB130" s="621"/>
      <c r="WC130" s="621"/>
      <c r="WD130" s="621"/>
      <c r="WE130" s="621"/>
      <c r="WF130" s="621"/>
      <c r="WG130" s="621"/>
      <c r="WH130" s="621"/>
      <c r="WI130" s="621"/>
      <c r="WJ130" s="621"/>
      <c r="WK130" s="621"/>
      <c r="WL130" s="621"/>
      <c r="WM130" s="621"/>
      <c r="WN130" s="621"/>
      <c r="WO130" s="621"/>
      <c r="WP130" s="621"/>
      <c r="WQ130" s="621"/>
      <c r="WR130" s="621"/>
      <c r="WS130" s="621"/>
      <c r="WT130" s="621"/>
      <c r="WU130" s="621"/>
      <c r="WV130" s="621"/>
      <c r="WW130" s="621"/>
      <c r="WX130" s="621"/>
      <c r="WY130" s="621"/>
      <c r="WZ130" s="621"/>
      <c r="XA130" s="621"/>
      <c r="XB130" s="621"/>
      <c r="XC130" s="621"/>
      <c r="XD130" s="621"/>
      <c r="XE130" s="621"/>
      <c r="XF130" s="621"/>
      <c r="XG130" s="621"/>
      <c r="XH130" s="621"/>
      <c r="XI130" s="621"/>
      <c r="XJ130" s="621"/>
      <c r="XK130" s="621"/>
      <c r="XL130" s="621"/>
      <c r="XM130" s="621"/>
      <c r="XN130" s="621"/>
      <c r="XO130" s="621"/>
      <c r="XP130" s="621"/>
      <c r="XQ130" s="621"/>
      <c r="XR130" s="621"/>
      <c r="XS130" s="621"/>
      <c r="XT130" s="621"/>
      <c r="XU130" s="621"/>
      <c r="XV130" s="621"/>
      <c r="XW130" s="621"/>
      <c r="XX130" s="621"/>
      <c r="XY130" s="621"/>
      <c r="XZ130" s="621"/>
      <c r="YA130" s="621"/>
      <c r="YB130" s="621"/>
      <c r="YC130" s="621"/>
      <c r="YD130" s="621"/>
      <c r="YE130" s="621"/>
      <c r="YF130" s="621"/>
      <c r="YG130" s="621"/>
      <c r="YH130" s="621"/>
      <c r="YI130" s="621"/>
      <c r="YJ130" s="621"/>
      <c r="YK130" s="621"/>
      <c r="YL130" s="621"/>
      <c r="YM130" s="621"/>
      <c r="YN130" s="621"/>
      <c r="YO130" s="621"/>
      <c r="YP130" s="621"/>
      <c r="YQ130" s="621"/>
      <c r="YR130" s="621"/>
      <c r="YS130" s="621"/>
      <c r="YT130" s="621"/>
      <c r="YU130" s="621"/>
      <c r="YV130" s="621"/>
      <c r="YW130" s="621"/>
      <c r="YX130" s="621"/>
      <c r="YY130" s="621"/>
      <c r="YZ130" s="621"/>
      <c r="ZA130" s="621"/>
      <c r="ZB130" s="621"/>
      <c r="ZC130" s="621"/>
      <c r="ZD130" s="621"/>
      <c r="ZE130" s="621"/>
      <c r="ZF130" s="621"/>
      <c r="ZG130" s="621"/>
      <c r="ZH130" s="621"/>
      <c r="ZI130" s="621"/>
      <c r="ZJ130" s="621"/>
      <c r="ZK130" s="621"/>
      <c r="ZL130" s="621"/>
      <c r="ZM130" s="621"/>
      <c r="ZN130" s="621"/>
      <c r="ZO130" s="621"/>
      <c r="ZP130" s="621"/>
      <c r="ZQ130" s="621"/>
      <c r="ZR130" s="621"/>
      <c r="ZS130" s="621"/>
      <c r="ZT130" s="621"/>
      <c r="ZU130" s="621"/>
      <c r="ZV130" s="621"/>
      <c r="ZW130" s="621"/>
      <c r="ZX130" s="621"/>
      <c r="ZY130" s="621"/>
      <c r="ZZ130" s="621"/>
      <c r="AAA130" s="621"/>
      <c r="AAB130" s="621"/>
      <c r="AAC130" s="621"/>
      <c r="AAD130" s="621"/>
      <c r="AAE130" s="621"/>
      <c r="AAF130" s="621"/>
      <c r="AAG130" s="621"/>
      <c r="AAH130" s="621"/>
      <c r="AAI130" s="621"/>
      <c r="AAJ130" s="621"/>
      <c r="AAK130" s="621"/>
      <c r="AAL130" s="621"/>
      <c r="AAM130" s="621"/>
      <c r="AAN130" s="621"/>
      <c r="AAO130" s="621"/>
      <c r="AAP130" s="621"/>
      <c r="AAQ130" s="621"/>
      <c r="AAR130" s="621"/>
      <c r="AAS130" s="621"/>
      <c r="AAT130" s="621"/>
      <c r="AAU130" s="621"/>
      <c r="AAV130" s="621"/>
      <c r="AAW130" s="621"/>
      <c r="AAX130" s="621"/>
      <c r="AAY130" s="621"/>
      <c r="AAZ130" s="621"/>
      <c r="ABA130" s="621"/>
      <c r="ABB130" s="621"/>
      <c r="ABC130" s="621"/>
      <c r="ABD130" s="621"/>
      <c r="ABE130" s="621"/>
      <c r="ABF130" s="621"/>
      <c r="ABG130" s="621"/>
      <c r="ABH130" s="621"/>
      <c r="ABI130" s="621"/>
      <c r="ABJ130" s="621"/>
      <c r="ABK130" s="621"/>
      <c r="ABL130" s="621"/>
      <c r="ABM130" s="621"/>
      <c r="ABN130" s="621"/>
      <c r="ABO130" s="621"/>
      <c r="ABP130" s="621"/>
      <c r="ABQ130" s="621"/>
      <c r="ABR130" s="621"/>
      <c r="ABS130" s="621"/>
      <c r="ABT130" s="621"/>
      <c r="ABU130" s="621"/>
      <c r="ABV130" s="621"/>
      <c r="ABW130" s="621"/>
      <c r="ABX130" s="621"/>
      <c r="ABY130" s="621"/>
      <c r="ABZ130" s="621"/>
      <c r="ACA130" s="621"/>
      <c r="ACB130" s="621"/>
      <c r="ACC130" s="621"/>
      <c r="ACD130" s="621"/>
      <c r="ACE130" s="621"/>
      <c r="ACF130" s="621"/>
      <c r="ACG130" s="621"/>
      <c r="ACH130" s="621"/>
      <c r="ACI130" s="621"/>
      <c r="ACJ130" s="621"/>
      <c r="ACK130" s="621"/>
      <c r="ACL130" s="621"/>
      <c r="ACM130" s="621"/>
      <c r="ACN130" s="621"/>
      <c r="ACO130" s="621"/>
      <c r="ACP130" s="621"/>
      <c r="ACQ130" s="621"/>
      <c r="ACR130" s="621"/>
      <c r="ACS130" s="621"/>
      <c r="ACT130" s="621"/>
      <c r="ACU130" s="621"/>
      <c r="ACV130" s="621"/>
      <c r="ACW130" s="621"/>
      <c r="ACX130" s="621"/>
      <c r="ACY130" s="621"/>
      <c r="ACZ130" s="621"/>
      <c r="ADA130" s="621"/>
      <c r="ADB130" s="621"/>
      <c r="ADC130" s="621"/>
      <c r="ADD130" s="621"/>
      <c r="ADE130" s="621"/>
      <c r="ADF130" s="621"/>
      <c r="ADG130" s="621"/>
      <c r="ADH130" s="621"/>
      <c r="ADI130" s="621"/>
      <c r="ADJ130" s="621"/>
      <c r="ADK130" s="621"/>
      <c r="ADL130" s="621"/>
      <c r="ADM130" s="621"/>
      <c r="ADN130" s="621"/>
      <c r="ADO130" s="621"/>
      <c r="ADP130" s="621"/>
      <c r="ADQ130" s="621"/>
      <c r="ADR130" s="621"/>
      <c r="ADS130" s="621"/>
      <c r="ADT130" s="621"/>
      <c r="ADU130" s="621"/>
      <c r="ADV130" s="621"/>
      <c r="ADW130" s="621"/>
      <c r="ADX130" s="621"/>
      <c r="ADY130" s="621"/>
      <c r="ADZ130" s="621"/>
      <c r="AEA130" s="621"/>
      <c r="AEB130" s="621"/>
      <c r="AEC130" s="621"/>
      <c r="AED130" s="621"/>
      <c r="AEE130" s="621"/>
      <c r="AEF130" s="621"/>
      <c r="AEG130" s="621"/>
      <c r="AEH130" s="621"/>
      <c r="AEI130" s="621"/>
      <c r="AEJ130" s="621"/>
      <c r="AEK130" s="621"/>
      <c r="AEL130" s="621"/>
      <c r="AEM130" s="621"/>
      <c r="AEN130" s="621"/>
      <c r="AEO130" s="621"/>
      <c r="AEP130" s="621"/>
      <c r="AEQ130" s="621"/>
      <c r="AER130" s="621"/>
      <c r="AES130" s="621"/>
      <c r="AET130" s="621"/>
      <c r="AEU130" s="621"/>
      <c r="AEV130" s="621"/>
      <c r="AEW130" s="621"/>
      <c r="AEX130" s="621"/>
      <c r="AEY130" s="621"/>
      <c r="AEZ130" s="621"/>
      <c r="AFA130" s="621"/>
      <c r="AFB130" s="621"/>
      <c r="AFC130" s="621"/>
      <c r="AFD130" s="621"/>
      <c r="AFE130" s="621"/>
      <c r="AFF130" s="621"/>
      <c r="AFG130" s="621"/>
      <c r="AFH130" s="621"/>
      <c r="AFI130" s="621"/>
      <c r="AFJ130" s="621"/>
      <c r="AFK130" s="621"/>
      <c r="AFL130" s="621"/>
      <c r="AFM130" s="621"/>
      <c r="AFN130" s="621"/>
      <c r="AFO130" s="621"/>
      <c r="AFP130" s="621"/>
      <c r="AFQ130" s="621"/>
      <c r="AFR130" s="621"/>
      <c r="AFS130" s="621"/>
      <c r="AFT130" s="621"/>
      <c r="AFU130" s="621"/>
      <c r="AFV130" s="621"/>
      <c r="AFW130" s="621"/>
      <c r="AFX130" s="621"/>
      <c r="AFY130" s="621"/>
      <c r="AFZ130" s="621"/>
      <c r="AGA130" s="621"/>
      <c r="AGB130" s="621"/>
      <c r="AGC130" s="621"/>
      <c r="AGD130" s="621"/>
      <c r="AGE130" s="621"/>
      <c r="AGF130" s="621"/>
      <c r="AGG130" s="621"/>
      <c r="AGH130" s="621"/>
      <c r="AGI130" s="621"/>
      <c r="AGJ130" s="621"/>
      <c r="AGK130" s="621"/>
      <c r="AGL130" s="621"/>
      <c r="AGM130" s="621"/>
      <c r="AGN130" s="621"/>
      <c r="AGO130" s="621"/>
      <c r="AGP130" s="621"/>
      <c r="AGQ130" s="621"/>
      <c r="AGR130" s="621"/>
      <c r="AGS130" s="621"/>
      <c r="AGT130" s="621"/>
      <c r="AGU130" s="621"/>
      <c r="AGV130" s="621"/>
      <c r="AGW130" s="621"/>
      <c r="AGX130" s="621"/>
      <c r="AGY130" s="621"/>
      <c r="AGZ130" s="621"/>
      <c r="AHA130" s="621"/>
      <c r="AHB130" s="621"/>
      <c r="AHC130" s="621"/>
      <c r="AHD130" s="621"/>
      <c r="AHE130" s="621"/>
      <c r="AHF130" s="621"/>
      <c r="AHG130" s="621"/>
      <c r="AHH130" s="621"/>
      <c r="AHI130" s="621"/>
      <c r="AHJ130" s="621"/>
      <c r="AHK130" s="621"/>
      <c r="AHL130" s="621"/>
      <c r="AHM130" s="621"/>
      <c r="AHN130" s="621"/>
      <c r="AHO130" s="621"/>
      <c r="AHP130" s="621"/>
      <c r="AHQ130" s="621"/>
      <c r="AHR130" s="621"/>
      <c r="AHS130" s="621"/>
      <c r="AHT130" s="621"/>
      <c r="AHU130" s="621"/>
      <c r="AHV130" s="621"/>
      <c r="AHW130" s="621"/>
      <c r="AHX130" s="621"/>
      <c r="AHY130" s="621"/>
      <c r="AHZ130" s="621"/>
      <c r="AIA130" s="621"/>
      <c r="AIB130" s="621"/>
      <c r="AIC130" s="621"/>
      <c r="AID130" s="621"/>
      <c r="AIE130" s="621"/>
      <c r="AIF130" s="621"/>
      <c r="AIG130" s="621"/>
      <c r="AIH130" s="621"/>
      <c r="AII130" s="621"/>
      <c r="AIJ130" s="621"/>
      <c r="AIK130" s="621"/>
      <c r="AIL130" s="621"/>
      <c r="AIM130" s="621"/>
      <c r="AIN130" s="621"/>
      <c r="AIO130" s="621"/>
      <c r="AIP130" s="621"/>
      <c r="AIQ130" s="621"/>
      <c r="AIR130" s="621"/>
      <c r="AIS130" s="621"/>
      <c r="AIT130" s="621"/>
      <c r="AIU130" s="621"/>
      <c r="AIV130" s="621"/>
      <c r="AIW130" s="621"/>
      <c r="AIX130" s="621"/>
      <c r="AIY130" s="621"/>
      <c r="AIZ130" s="621"/>
      <c r="AJA130" s="621"/>
      <c r="AJB130" s="621"/>
      <c r="AJC130" s="621"/>
      <c r="AJD130" s="621"/>
      <c r="AJE130" s="621"/>
      <c r="AJF130" s="621"/>
      <c r="AJG130" s="621"/>
      <c r="AJH130" s="621"/>
      <c r="AJI130" s="621"/>
      <c r="AJJ130" s="621"/>
      <c r="AJK130" s="621"/>
      <c r="AJL130" s="621"/>
      <c r="AJM130" s="621"/>
      <c r="AJN130" s="621"/>
      <c r="AJO130" s="621"/>
      <c r="AJP130" s="621"/>
      <c r="AJQ130" s="621"/>
      <c r="AJR130" s="621"/>
      <c r="AJS130" s="621"/>
      <c r="AJT130" s="621"/>
      <c r="AJU130" s="621"/>
      <c r="AJV130" s="621"/>
      <c r="AJW130" s="621"/>
      <c r="AJX130" s="621"/>
      <c r="AJY130" s="621"/>
      <c r="AJZ130" s="621"/>
      <c r="AKA130" s="621"/>
      <c r="AKB130" s="621"/>
      <c r="AKC130" s="621"/>
      <c r="AKD130" s="621"/>
      <c r="AKE130" s="621"/>
      <c r="AKF130" s="621"/>
      <c r="AKG130" s="621"/>
      <c r="AKH130" s="621"/>
      <c r="AKI130" s="621"/>
      <c r="AKJ130" s="621"/>
      <c r="AKK130" s="621"/>
      <c r="AKL130" s="621"/>
      <c r="AKM130" s="621"/>
      <c r="AKN130" s="621"/>
      <c r="AKO130" s="621"/>
      <c r="AKP130" s="621"/>
      <c r="AKQ130" s="621"/>
      <c r="AKR130" s="621"/>
      <c r="AKS130" s="621"/>
      <c r="AKT130" s="621"/>
      <c r="AKU130" s="621"/>
      <c r="AKV130" s="621"/>
      <c r="AKW130" s="621"/>
      <c r="AKX130" s="621"/>
      <c r="AKY130" s="621"/>
      <c r="AKZ130" s="621"/>
      <c r="ALA130" s="621"/>
      <c r="ALB130" s="621"/>
      <c r="ALC130" s="621"/>
      <c r="ALD130" s="621"/>
      <c r="ALE130" s="621"/>
      <c r="ALF130" s="621"/>
      <c r="ALG130" s="621"/>
      <c r="ALH130" s="621"/>
      <c r="ALI130" s="621"/>
      <c r="ALJ130" s="621"/>
      <c r="ALK130" s="621"/>
      <c r="ALL130" s="621"/>
      <c r="ALM130" s="621"/>
      <c r="ALN130" s="621"/>
      <c r="ALO130" s="621"/>
      <c r="ALP130" s="621"/>
      <c r="ALQ130" s="621"/>
      <c r="ALR130" s="621"/>
      <c r="ALS130" s="621"/>
      <c r="ALT130" s="621"/>
      <c r="ALU130" s="621"/>
      <c r="ALV130" s="621"/>
      <c r="ALW130" s="621"/>
      <c r="ALX130" s="621"/>
      <c r="ALY130" s="621"/>
      <c r="ALZ130" s="621"/>
      <c r="AMA130" s="621"/>
      <c r="AMB130" s="621"/>
      <c r="AMC130" s="621"/>
      <c r="AMD130" s="621"/>
      <c r="AME130" s="621"/>
      <c r="AMF130" s="621"/>
      <c r="AMG130" s="621"/>
      <c r="AMH130" s="621"/>
      <c r="AMI130" s="621"/>
      <c r="AMJ130" s="621"/>
      <c r="AMK130" s="621"/>
    </row>
    <row r="132" spans="1:1025" ht="12.75">
      <c r="A132" s="621"/>
      <c r="B132" s="621"/>
      <c r="C132" s="621"/>
      <c r="D132" s="621"/>
      <c r="E132" s="621"/>
      <c r="F132" s="135">
        <f>252725.48/4</f>
        <v>63181.37</v>
      </c>
      <c r="G132" s="621"/>
      <c r="H132" s="621"/>
      <c r="I132" s="621"/>
      <c r="J132" s="621"/>
      <c r="K132" s="621"/>
      <c r="L132" s="621"/>
      <c r="M132" s="621"/>
      <c r="N132" s="621"/>
      <c r="O132" s="621"/>
      <c r="P132" s="621"/>
      <c r="Q132" s="621"/>
      <c r="R132" s="621"/>
      <c r="S132" s="621"/>
      <c r="T132" s="621"/>
      <c r="U132" s="621"/>
      <c r="V132" s="621"/>
      <c r="W132" s="621"/>
      <c r="X132" s="621"/>
      <c r="Y132" s="621"/>
      <c r="Z132" s="621"/>
      <c r="AA132" s="621"/>
      <c r="AB132" s="621"/>
      <c r="AC132" s="621"/>
      <c r="AD132" s="621"/>
      <c r="AE132" s="621"/>
      <c r="AF132" s="621"/>
      <c r="AG132" s="621"/>
      <c r="AH132" s="621"/>
      <c r="AI132" s="621"/>
      <c r="AJ132" s="621"/>
      <c r="AK132" s="621"/>
      <c r="AL132" s="621"/>
      <c r="AM132" s="621"/>
      <c r="AN132" s="621"/>
      <c r="AO132" s="621"/>
      <c r="AP132" s="621"/>
      <c r="AQ132" s="621"/>
      <c r="AR132" s="621"/>
      <c r="AS132" s="621"/>
      <c r="AT132" s="621"/>
      <c r="AU132" s="621"/>
      <c r="AV132" s="621"/>
      <c r="AW132" s="621"/>
      <c r="AX132" s="621"/>
      <c r="AY132" s="621"/>
      <c r="AZ132" s="621"/>
      <c r="BA132" s="621"/>
      <c r="BB132" s="621"/>
      <c r="BC132" s="621"/>
      <c r="BD132" s="621"/>
      <c r="BE132" s="621"/>
      <c r="BF132" s="621"/>
      <c r="BG132" s="621"/>
      <c r="BH132" s="621"/>
      <c r="BI132" s="621"/>
      <c r="BJ132" s="621"/>
      <c r="BK132" s="621"/>
      <c r="BL132" s="621"/>
      <c r="BM132" s="621"/>
      <c r="BN132" s="621"/>
      <c r="BO132" s="621"/>
      <c r="BP132" s="621"/>
      <c r="BQ132" s="621"/>
      <c r="BR132" s="621"/>
      <c r="BS132" s="621"/>
      <c r="BT132" s="621"/>
      <c r="BU132" s="621"/>
      <c r="BV132" s="621"/>
      <c r="BW132" s="621"/>
      <c r="BX132" s="621"/>
      <c r="BY132" s="621"/>
      <c r="BZ132" s="621"/>
      <c r="CA132" s="621"/>
      <c r="CB132" s="621"/>
      <c r="CC132" s="621"/>
      <c r="CD132" s="621"/>
      <c r="CE132" s="621"/>
      <c r="CF132" s="621"/>
      <c r="CG132" s="621"/>
      <c r="CH132" s="621"/>
      <c r="CI132" s="621"/>
      <c r="CJ132" s="621"/>
      <c r="CK132" s="621"/>
      <c r="CL132" s="621"/>
      <c r="CM132" s="621"/>
      <c r="CN132" s="621"/>
      <c r="CO132" s="621"/>
      <c r="CP132" s="621"/>
      <c r="CQ132" s="621"/>
      <c r="CR132" s="621"/>
      <c r="CS132" s="621"/>
      <c r="CT132" s="621"/>
      <c r="CU132" s="621"/>
      <c r="CV132" s="621"/>
      <c r="CW132" s="621"/>
      <c r="CX132" s="621"/>
      <c r="CY132" s="621"/>
      <c r="CZ132" s="621"/>
      <c r="DA132" s="621"/>
      <c r="DB132" s="621"/>
      <c r="DC132" s="621"/>
      <c r="DD132" s="621"/>
      <c r="DE132" s="621"/>
      <c r="DF132" s="621"/>
      <c r="DG132" s="621"/>
      <c r="DH132" s="621"/>
      <c r="DI132" s="621"/>
      <c r="DJ132" s="621"/>
      <c r="DK132" s="621"/>
      <c r="DL132" s="621"/>
      <c r="DM132" s="621"/>
      <c r="DN132" s="621"/>
      <c r="DO132" s="621"/>
      <c r="DP132" s="621"/>
      <c r="DQ132" s="621"/>
      <c r="DR132" s="621"/>
      <c r="DS132" s="621"/>
      <c r="DT132" s="621"/>
      <c r="DU132" s="621"/>
      <c r="DV132" s="621"/>
      <c r="DW132" s="621"/>
      <c r="DX132" s="621"/>
      <c r="DY132" s="621"/>
      <c r="DZ132" s="621"/>
      <c r="EA132" s="621"/>
      <c r="EB132" s="621"/>
      <c r="EC132" s="621"/>
      <c r="ED132" s="621"/>
      <c r="EE132" s="621"/>
      <c r="EF132" s="621"/>
      <c r="EG132" s="621"/>
      <c r="EH132" s="621"/>
      <c r="EI132" s="621"/>
      <c r="EJ132" s="621"/>
      <c r="EK132" s="621"/>
      <c r="EL132" s="621"/>
      <c r="EM132" s="621"/>
      <c r="EN132" s="621"/>
      <c r="EO132" s="621"/>
      <c r="EP132" s="621"/>
      <c r="EQ132" s="621"/>
      <c r="ER132" s="621"/>
      <c r="ES132" s="621"/>
      <c r="ET132" s="621"/>
      <c r="EU132" s="621"/>
      <c r="EV132" s="621"/>
      <c r="EW132" s="621"/>
      <c r="EX132" s="621"/>
      <c r="EY132" s="621"/>
      <c r="EZ132" s="621"/>
      <c r="FA132" s="621"/>
      <c r="FB132" s="621"/>
      <c r="FC132" s="621"/>
      <c r="FD132" s="621"/>
      <c r="FE132" s="621"/>
      <c r="FF132" s="621"/>
      <c r="FG132" s="621"/>
      <c r="FH132" s="621"/>
      <c r="FI132" s="621"/>
      <c r="FJ132" s="621"/>
      <c r="FK132" s="621"/>
      <c r="FL132" s="621"/>
      <c r="FM132" s="621"/>
      <c r="FN132" s="621"/>
      <c r="FO132" s="621"/>
      <c r="FP132" s="621"/>
      <c r="FQ132" s="621"/>
      <c r="FR132" s="621"/>
      <c r="FS132" s="621"/>
      <c r="FT132" s="621"/>
      <c r="FU132" s="621"/>
      <c r="FV132" s="621"/>
      <c r="FW132" s="621"/>
      <c r="FX132" s="621"/>
      <c r="FY132" s="621"/>
      <c r="FZ132" s="621"/>
      <c r="GA132" s="621"/>
      <c r="GB132" s="621"/>
      <c r="GC132" s="621"/>
      <c r="GD132" s="621"/>
      <c r="GE132" s="621"/>
      <c r="GF132" s="621"/>
      <c r="GG132" s="621"/>
      <c r="GH132" s="621"/>
      <c r="GI132" s="621"/>
      <c r="GJ132" s="621"/>
      <c r="GK132" s="621"/>
      <c r="GL132" s="621"/>
      <c r="GM132" s="621"/>
      <c r="GN132" s="621"/>
      <c r="GO132" s="621"/>
      <c r="GP132" s="621"/>
      <c r="GQ132" s="621"/>
      <c r="GR132" s="621"/>
      <c r="GS132" s="621"/>
      <c r="GT132" s="621"/>
      <c r="GU132" s="621"/>
      <c r="GV132" s="621"/>
      <c r="GW132" s="621"/>
      <c r="GX132" s="621"/>
      <c r="GY132" s="621"/>
      <c r="GZ132" s="621"/>
      <c r="HA132" s="621"/>
      <c r="HB132" s="621"/>
      <c r="HC132" s="621"/>
      <c r="HD132" s="621"/>
      <c r="HE132" s="621"/>
      <c r="HF132" s="621"/>
      <c r="HG132" s="621"/>
      <c r="HH132" s="621"/>
      <c r="HI132" s="621"/>
      <c r="HJ132" s="621"/>
      <c r="HK132" s="621"/>
      <c r="HL132" s="621"/>
      <c r="HM132" s="621"/>
      <c r="HN132" s="621"/>
      <c r="HO132" s="621"/>
      <c r="HP132" s="621"/>
      <c r="HQ132" s="621"/>
      <c r="HR132" s="621"/>
      <c r="HS132" s="621"/>
      <c r="HT132" s="621"/>
      <c r="HU132" s="621"/>
      <c r="HV132" s="621"/>
      <c r="HW132" s="621"/>
      <c r="HX132" s="621"/>
      <c r="HY132" s="621"/>
      <c r="HZ132" s="621"/>
      <c r="IA132" s="621"/>
      <c r="IB132" s="621"/>
      <c r="IC132" s="621"/>
      <c r="ID132" s="621"/>
      <c r="IE132" s="621"/>
      <c r="IF132" s="621"/>
      <c r="IG132" s="621"/>
      <c r="IH132" s="621"/>
      <c r="II132" s="621"/>
      <c r="IJ132" s="621"/>
      <c r="IK132" s="621"/>
      <c r="IL132" s="621"/>
      <c r="IM132" s="621"/>
      <c r="IN132" s="621"/>
      <c r="IO132" s="621"/>
      <c r="IP132" s="621"/>
      <c r="IQ132" s="621"/>
      <c r="IR132" s="621"/>
      <c r="IS132" s="621"/>
      <c r="IT132" s="621"/>
      <c r="IU132" s="621"/>
      <c r="IV132" s="621"/>
      <c r="IW132" s="621"/>
      <c r="IX132" s="621"/>
      <c r="IY132" s="621"/>
      <c r="IZ132" s="621"/>
      <c r="JA132" s="621"/>
      <c r="JB132" s="621"/>
      <c r="JC132" s="621"/>
      <c r="JD132" s="621"/>
      <c r="JE132" s="621"/>
      <c r="JF132" s="621"/>
      <c r="JG132" s="621"/>
      <c r="JH132" s="621"/>
      <c r="JI132" s="621"/>
      <c r="JJ132" s="621"/>
      <c r="JK132" s="621"/>
      <c r="JL132" s="621"/>
      <c r="JM132" s="621"/>
      <c r="JN132" s="621"/>
      <c r="JO132" s="621"/>
      <c r="JP132" s="621"/>
      <c r="JQ132" s="621"/>
      <c r="JR132" s="621"/>
      <c r="JS132" s="621"/>
      <c r="JT132" s="621"/>
      <c r="JU132" s="621"/>
      <c r="JV132" s="621"/>
      <c r="JW132" s="621"/>
      <c r="JX132" s="621"/>
      <c r="JY132" s="621"/>
      <c r="JZ132" s="621"/>
      <c r="KA132" s="621"/>
      <c r="KB132" s="621"/>
      <c r="KC132" s="621"/>
      <c r="KD132" s="621"/>
      <c r="KE132" s="621"/>
      <c r="KF132" s="621"/>
      <c r="KG132" s="621"/>
      <c r="KH132" s="621"/>
      <c r="KI132" s="621"/>
      <c r="KJ132" s="621"/>
      <c r="KK132" s="621"/>
      <c r="KL132" s="621"/>
      <c r="KM132" s="621"/>
      <c r="KN132" s="621"/>
      <c r="KO132" s="621"/>
      <c r="KP132" s="621"/>
      <c r="KQ132" s="621"/>
      <c r="KR132" s="621"/>
      <c r="KS132" s="621"/>
      <c r="KT132" s="621"/>
      <c r="KU132" s="621"/>
      <c r="KV132" s="621"/>
      <c r="KW132" s="621"/>
      <c r="KX132" s="621"/>
      <c r="KY132" s="621"/>
      <c r="KZ132" s="621"/>
      <c r="LA132" s="621"/>
      <c r="LB132" s="621"/>
      <c r="LC132" s="621"/>
      <c r="LD132" s="621"/>
      <c r="LE132" s="621"/>
      <c r="LF132" s="621"/>
      <c r="LG132" s="621"/>
      <c r="LH132" s="621"/>
      <c r="LI132" s="621"/>
      <c r="LJ132" s="621"/>
      <c r="LK132" s="621"/>
      <c r="LL132" s="621"/>
      <c r="LM132" s="621"/>
      <c r="LN132" s="621"/>
      <c r="LO132" s="621"/>
      <c r="LP132" s="621"/>
      <c r="LQ132" s="621"/>
      <c r="LR132" s="621"/>
      <c r="LS132" s="621"/>
      <c r="LT132" s="621"/>
      <c r="LU132" s="621"/>
      <c r="LV132" s="621"/>
      <c r="LW132" s="621"/>
      <c r="LX132" s="621"/>
      <c r="LY132" s="621"/>
      <c r="LZ132" s="621"/>
      <c r="MA132" s="621"/>
      <c r="MB132" s="621"/>
      <c r="MC132" s="621"/>
      <c r="MD132" s="621"/>
      <c r="ME132" s="621"/>
      <c r="MF132" s="621"/>
      <c r="MG132" s="621"/>
      <c r="MH132" s="621"/>
      <c r="MI132" s="621"/>
      <c r="MJ132" s="621"/>
      <c r="MK132" s="621"/>
      <c r="ML132" s="621"/>
      <c r="MM132" s="621"/>
      <c r="MN132" s="621"/>
      <c r="MO132" s="621"/>
      <c r="MP132" s="621"/>
      <c r="MQ132" s="621"/>
      <c r="MR132" s="621"/>
      <c r="MS132" s="621"/>
      <c r="MT132" s="621"/>
      <c r="MU132" s="621"/>
      <c r="MV132" s="621"/>
      <c r="MW132" s="621"/>
      <c r="MX132" s="621"/>
      <c r="MY132" s="621"/>
      <c r="MZ132" s="621"/>
      <c r="NA132" s="621"/>
      <c r="NB132" s="621"/>
      <c r="NC132" s="621"/>
      <c r="ND132" s="621"/>
      <c r="NE132" s="621"/>
      <c r="NF132" s="621"/>
      <c r="NG132" s="621"/>
      <c r="NH132" s="621"/>
      <c r="NI132" s="621"/>
      <c r="NJ132" s="621"/>
      <c r="NK132" s="621"/>
      <c r="NL132" s="621"/>
      <c r="NM132" s="621"/>
      <c r="NN132" s="621"/>
      <c r="NO132" s="621"/>
      <c r="NP132" s="621"/>
      <c r="NQ132" s="621"/>
      <c r="NR132" s="621"/>
      <c r="NS132" s="621"/>
      <c r="NT132" s="621"/>
      <c r="NU132" s="621"/>
      <c r="NV132" s="621"/>
      <c r="NW132" s="621"/>
      <c r="NX132" s="621"/>
      <c r="NY132" s="621"/>
      <c r="NZ132" s="621"/>
      <c r="OA132" s="621"/>
      <c r="OB132" s="621"/>
      <c r="OC132" s="621"/>
      <c r="OD132" s="621"/>
      <c r="OE132" s="621"/>
      <c r="OF132" s="621"/>
      <c r="OG132" s="621"/>
      <c r="OH132" s="621"/>
      <c r="OI132" s="621"/>
      <c r="OJ132" s="621"/>
      <c r="OK132" s="621"/>
      <c r="OL132" s="621"/>
      <c r="OM132" s="621"/>
      <c r="ON132" s="621"/>
      <c r="OO132" s="621"/>
      <c r="OP132" s="621"/>
      <c r="OQ132" s="621"/>
      <c r="OR132" s="621"/>
      <c r="OS132" s="621"/>
      <c r="OT132" s="621"/>
      <c r="OU132" s="621"/>
      <c r="OV132" s="621"/>
      <c r="OW132" s="621"/>
      <c r="OX132" s="621"/>
      <c r="OY132" s="621"/>
      <c r="OZ132" s="621"/>
      <c r="PA132" s="621"/>
      <c r="PB132" s="621"/>
      <c r="PC132" s="621"/>
      <c r="PD132" s="621"/>
      <c r="PE132" s="621"/>
      <c r="PF132" s="621"/>
      <c r="PG132" s="621"/>
      <c r="PH132" s="621"/>
      <c r="PI132" s="621"/>
      <c r="PJ132" s="621"/>
      <c r="PK132" s="621"/>
      <c r="PL132" s="621"/>
      <c r="PM132" s="621"/>
      <c r="PN132" s="621"/>
      <c r="PO132" s="621"/>
      <c r="PP132" s="621"/>
      <c r="PQ132" s="621"/>
      <c r="PR132" s="621"/>
      <c r="PS132" s="621"/>
      <c r="PT132" s="621"/>
      <c r="PU132" s="621"/>
      <c r="PV132" s="621"/>
      <c r="PW132" s="621"/>
      <c r="PX132" s="621"/>
      <c r="PY132" s="621"/>
      <c r="PZ132" s="621"/>
      <c r="QA132" s="621"/>
      <c r="QB132" s="621"/>
      <c r="QC132" s="621"/>
      <c r="QD132" s="621"/>
      <c r="QE132" s="621"/>
      <c r="QF132" s="621"/>
      <c r="QG132" s="621"/>
      <c r="QH132" s="621"/>
      <c r="QI132" s="621"/>
      <c r="QJ132" s="621"/>
      <c r="QK132" s="621"/>
      <c r="QL132" s="621"/>
      <c r="QM132" s="621"/>
      <c r="QN132" s="621"/>
      <c r="QO132" s="621"/>
      <c r="QP132" s="621"/>
      <c r="QQ132" s="621"/>
      <c r="QR132" s="621"/>
      <c r="QS132" s="621"/>
      <c r="QT132" s="621"/>
      <c r="QU132" s="621"/>
      <c r="QV132" s="621"/>
      <c r="QW132" s="621"/>
      <c r="QX132" s="621"/>
      <c r="QY132" s="621"/>
      <c r="QZ132" s="621"/>
      <c r="RA132" s="621"/>
      <c r="RB132" s="621"/>
      <c r="RC132" s="621"/>
      <c r="RD132" s="621"/>
      <c r="RE132" s="621"/>
      <c r="RF132" s="621"/>
      <c r="RG132" s="621"/>
      <c r="RH132" s="621"/>
      <c r="RI132" s="621"/>
      <c r="RJ132" s="621"/>
      <c r="RK132" s="621"/>
      <c r="RL132" s="621"/>
      <c r="RM132" s="621"/>
      <c r="RN132" s="621"/>
      <c r="RO132" s="621"/>
      <c r="RP132" s="621"/>
      <c r="RQ132" s="621"/>
      <c r="RR132" s="621"/>
      <c r="RS132" s="621"/>
      <c r="RT132" s="621"/>
      <c r="RU132" s="621"/>
      <c r="RV132" s="621"/>
      <c r="RW132" s="621"/>
      <c r="RX132" s="621"/>
      <c r="RY132" s="621"/>
      <c r="RZ132" s="621"/>
      <c r="SA132" s="621"/>
      <c r="SB132" s="621"/>
      <c r="SC132" s="621"/>
      <c r="SD132" s="621"/>
      <c r="SE132" s="621"/>
      <c r="SF132" s="621"/>
      <c r="SG132" s="621"/>
      <c r="SH132" s="621"/>
      <c r="SI132" s="621"/>
      <c r="SJ132" s="621"/>
      <c r="SK132" s="621"/>
      <c r="SL132" s="621"/>
      <c r="SM132" s="621"/>
      <c r="SN132" s="621"/>
      <c r="SO132" s="621"/>
      <c r="SP132" s="621"/>
      <c r="SQ132" s="621"/>
      <c r="SR132" s="621"/>
      <c r="SS132" s="621"/>
      <c r="ST132" s="621"/>
      <c r="SU132" s="621"/>
      <c r="SV132" s="621"/>
      <c r="SW132" s="621"/>
      <c r="SX132" s="621"/>
      <c r="SY132" s="621"/>
      <c r="SZ132" s="621"/>
      <c r="TA132" s="621"/>
      <c r="TB132" s="621"/>
      <c r="TC132" s="621"/>
      <c r="TD132" s="621"/>
      <c r="TE132" s="621"/>
      <c r="TF132" s="621"/>
      <c r="TG132" s="621"/>
      <c r="TH132" s="621"/>
      <c r="TI132" s="621"/>
      <c r="TJ132" s="621"/>
      <c r="TK132" s="621"/>
      <c r="TL132" s="621"/>
      <c r="TM132" s="621"/>
      <c r="TN132" s="621"/>
      <c r="TO132" s="621"/>
      <c r="TP132" s="621"/>
      <c r="TQ132" s="621"/>
      <c r="TR132" s="621"/>
      <c r="TS132" s="621"/>
      <c r="TT132" s="621"/>
      <c r="TU132" s="621"/>
      <c r="TV132" s="621"/>
      <c r="TW132" s="621"/>
      <c r="TX132" s="621"/>
      <c r="TY132" s="621"/>
      <c r="TZ132" s="621"/>
      <c r="UA132" s="621"/>
      <c r="UB132" s="621"/>
      <c r="UC132" s="621"/>
      <c r="UD132" s="621"/>
      <c r="UE132" s="621"/>
      <c r="UF132" s="621"/>
      <c r="UG132" s="621"/>
      <c r="UH132" s="621"/>
      <c r="UI132" s="621"/>
      <c r="UJ132" s="621"/>
      <c r="UK132" s="621"/>
      <c r="UL132" s="621"/>
      <c r="UM132" s="621"/>
      <c r="UN132" s="621"/>
      <c r="UO132" s="621"/>
      <c r="UP132" s="621"/>
      <c r="UQ132" s="621"/>
      <c r="UR132" s="621"/>
      <c r="US132" s="621"/>
      <c r="UT132" s="621"/>
      <c r="UU132" s="621"/>
      <c r="UV132" s="621"/>
      <c r="UW132" s="621"/>
      <c r="UX132" s="621"/>
      <c r="UY132" s="621"/>
      <c r="UZ132" s="621"/>
      <c r="VA132" s="621"/>
      <c r="VB132" s="621"/>
      <c r="VC132" s="621"/>
      <c r="VD132" s="621"/>
      <c r="VE132" s="621"/>
      <c r="VF132" s="621"/>
      <c r="VG132" s="621"/>
      <c r="VH132" s="621"/>
      <c r="VI132" s="621"/>
      <c r="VJ132" s="621"/>
      <c r="VK132" s="621"/>
      <c r="VL132" s="621"/>
      <c r="VM132" s="621"/>
      <c r="VN132" s="621"/>
      <c r="VO132" s="621"/>
      <c r="VP132" s="621"/>
      <c r="VQ132" s="621"/>
      <c r="VR132" s="621"/>
      <c r="VS132" s="621"/>
      <c r="VT132" s="621"/>
      <c r="VU132" s="621"/>
      <c r="VV132" s="621"/>
      <c r="VW132" s="621"/>
      <c r="VX132" s="621"/>
      <c r="VY132" s="621"/>
      <c r="VZ132" s="621"/>
      <c r="WA132" s="621"/>
      <c r="WB132" s="621"/>
      <c r="WC132" s="621"/>
      <c r="WD132" s="621"/>
      <c r="WE132" s="621"/>
      <c r="WF132" s="621"/>
      <c r="WG132" s="621"/>
      <c r="WH132" s="621"/>
      <c r="WI132" s="621"/>
      <c r="WJ132" s="621"/>
      <c r="WK132" s="621"/>
      <c r="WL132" s="621"/>
      <c r="WM132" s="621"/>
      <c r="WN132" s="621"/>
      <c r="WO132" s="621"/>
      <c r="WP132" s="621"/>
      <c r="WQ132" s="621"/>
      <c r="WR132" s="621"/>
      <c r="WS132" s="621"/>
      <c r="WT132" s="621"/>
      <c r="WU132" s="621"/>
      <c r="WV132" s="621"/>
      <c r="WW132" s="621"/>
      <c r="WX132" s="621"/>
      <c r="WY132" s="621"/>
      <c r="WZ132" s="621"/>
      <c r="XA132" s="621"/>
      <c r="XB132" s="621"/>
      <c r="XC132" s="621"/>
      <c r="XD132" s="621"/>
      <c r="XE132" s="621"/>
      <c r="XF132" s="621"/>
      <c r="XG132" s="621"/>
      <c r="XH132" s="621"/>
      <c r="XI132" s="621"/>
      <c r="XJ132" s="621"/>
      <c r="XK132" s="621"/>
      <c r="XL132" s="621"/>
      <c r="XM132" s="621"/>
      <c r="XN132" s="621"/>
      <c r="XO132" s="621"/>
      <c r="XP132" s="621"/>
      <c r="XQ132" s="621"/>
      <c r="XR132" s="621"/>
      <c r="XS132" s="621"/>
      <c r="XT132" s="621"/>
      <c r="XU132" s="621"/>
      <c r="XV132" s="621"/>
      <c r="XW132" s="621"/>
      <c r="XX132" s="621"/>
      <c r="XY132" s="621"/>
      <c r="XZ132" s="621"/>
      <c r="YA132" s="621"/>
      <c r="YB132" s="621"/>
      <c r="YC132" s="621"/>
      <c r="YD132" s="621"/>
      <c r="YE132" s="621"/>
      <c r="YF132" s="621"/>
      <c r="YG132" s="621"/>
      <c r="YH132" s="621"/>
      <c r="YI132" s="621"/>
      <c r="YJ132" s="621"/>
      <c r="YK132" s="621"/>
      <c r="YL132" s="621"/>
      <c r="YM132" s="621"/>
      <c r="YN132" s="621"/>
      <c r="YO132" s="621"/>
      <c r="YP132" s="621"/>
      <c r="YQ132" s="621"/>
      <c r="YR132" s="621"/>
      <c r="YS132" s="621"/>
      <c r="YT132" s="621"/>
      <c r="YU132" s="621"/>
      <c r="YV132" s="621"/>
      <c r="YW132" s="621"/>
      <c r="YX132" s="621"/>
      <c r="YY132" s="621"/>
      <c r="YZ132" s="621"/>
      <c r="ZA132" s="621"/>
      <c r="ZB132" s="621"/>
      <c r="ZC132" s="621"/>
      <c r="ZD132" s="621"/>
      <c r="ZE132" s="621"/>
      <c r="ZF132" s="621"/>
      <c r="ZG132" s="621"/>
      <c r="ZH132" s="621"/>
      <c r="ZI132" s="621"/>
      <c r="ZJ132" s="621"/>
      <c r="ZK132" s="621"/>
      <c r="ZL132" s="621"/>
      <c r="ZM132" s="621"/>
      <c r="ZN132" s="621"/>
      <c r="ZO132" s="621"/>
      <c r="ZP132" s="621"/>
      <c r="ZQ132" s="621"/>
      <c r="ZR132" s="621"/>
      <c r="ZS132" s="621"/>
      <c r="ZT132" s="621"/>
      <c r="ZU132" s="621"/>
      <c r="ZV132" s="621"/>
      <c r="ZW132" s="621"/>
      <c r="ZX132" s="621"/>
      <c r="ZY132" s="621"/>
      <c r="ZZ132" s="621"/>
      <c r="AAA132" s="621"/>
      <c r="AAB132" s="621"/>
      <c r="AAC132" s="621"/>
      <c r="AAD132" s="621"/>
      <c r="AAE132" s="621"/>
      <c r="AAF132" s="621"/>
      <c r="AAG132" s="621"/>
      <c r="AAH132" s="621"/>
      <c r="AAI132" s="621"/>
      <c r="AAJ132" s="621"/>
      <c r="AAK132" s="621"/>
      <c r="AAL132" s="621"/>
      <c r="AAM132" s="621"/>
      <c r="AAN132" s="621"/>
      <c r="AAO132" s="621"/>
      <c r="AAP132" s="621"/>
      <c r="AAQ132" s="621"/>
      <c r="AAR132" s="621"/>
      <c r="AAS132" s="621"/>
      <c r="AAT132" s="621"/>
      <c r="AAU132" s="621"/>
      <c r="AAV132" s="621"/>
      <c r="AAW132" s="621"/>
      <c r="AAX132" s="621"/>
      <c r="AAY132" s="621"/>
      <c r="AAZ132" s="621"/>
      <c r="ABA132" s="621"/>
      <c r="ABB132" s="621"/>
      <c r="ABC132" s="621"/>
      <c r="ABD132" s="621"/>
      <c r="ABE132" s="621"/>
      <c r="ABF132" s="621"/>
      <c r="ABG132" s="621"/>
      <c r="ABH132" s="621"/>
      <c r="ABI132" s="621"/>
      <c r="ABJ132" s="621"/>
      <c r="ABK132" s="621"/>
      <c r="ABL132" s="621"/>
      <c r="ABM132" s="621"/>
      <c r="ABN132" s="621"/>
      <c r="ABO132" s="621"/>
      <c r="ABP132" s="621"/>
      <c r="ABQ132" s="621"/>
      <c r="ABR132" s="621"/>
      <c r="ABS132" s="621"/>
      <c r="ABT132" s="621"/>
      <c r="ABU132" s="621"/>
      <c r="ABV132" s="621"/>
      <c r="ABW132" s="621"/>
      <c r="ABX132" s="621"/>
      <c r="ABY132" s="621"/>
      <c r="ABZ132" s="621"/>
      <c r="ACA132" s="621"/>
      <c r="ACB132" s="621"/>
      <c r="ACC132" s="621"/>
      <c r="ACD132" s="621"/>
      <c r="ACE132" s="621"/>
      <c r="ACF132" s="621"/>
      <c r="ACG132" s="621"/>
      <c r="ACH132" s="621"/>
      <c r="ACI132" s="621"/>
      <c r="ACJ132" s="621"/>
      <c r="ACK132" s="621"/>
      <c r="ACL132" s="621"/>
      <c r="ACM132" s="621"/>
      <c r="ACN132" s="621"/>
      <c r="ACO132" s="621"/>
      <c r="ACP132" s="621"/>
      <c r="ACQ132" s="621"/>
      <c r="ACR132" s="621"/>
      <c r="ACS132" s="621"/>
      <c r="ACT132" s="621"/>
      <c r="ACU132" s="621"/>
      <c r="ACV132" s="621"/>
      <c r="ACW132" s="621"/>
      <c r="ACX132" s="621"/>
      <c r="ACY132" s="621"/>
      <c r="ACZ132" s="621"/>
      <c r="ADA132" s="621"/>
      <c r="ADB132" s="621"/>
      <c r="ADC132" s="621"/>
      <c r="ADD132" s="621"/>
      <c r="ADE132" s="621"/>
      <c r="ADF132" s="621"/>
      <c r="ADG132" s="621"/>
      <c r="ADH132" s="621"/>
      <c r="ADI132" s="621"/>
      <c r="ADJ132" s="621"/>
      <c r="ADK132" s="621"/>
      <c r="ADL132" s="621"/>
      <c r="ADM132" s="621"/>
      <c r="ADN132" s="621"/>
      <c r="ADO132" s="621"/>
      <c r="ADP132" s="621"/>
      <c r="ADQ132" s="621"/>
      <c r="ADR132" s="621"/>
      <c r="ADS132" s="621"/>
      <c r="ADT132" s="621"/>
      <c r="ADU132" s="621"/>
      <c r="ADV132" s="621"/>
      <c r="ADW132" s="621"/>
      <c r="ADX132" s="621"/>
      <c r="ADY132" s="621"/>
      <c r="ADZ132" s="621"/>
      <c r="AEA132" s="621"/>
      <c r="AEB132" s="621"/>
      <c r="AEC132" s="621"/>
      <c r="AED132" s="621"/>
      <c r="AEE132" s="621"/>
      <c r="AEF132" s="621"/>
      <c r="AEG132" s="621"/>
      <c r="AEH132" s="621"/>
      <c r="AEI132" s="621"/>
      <c r="AEJ132" s="621"/>
      <c r="AEK132" s="621"/>
      <c r="AEL132" s="621"/>
      <c r="AEM132" s="621"/>
      <c r="AEN132" s="621"/>
      <c r="AEO132" s="621"/>
      <c r="AEP132" s="621"/>
      <c r="AEQ132" s="621"/>
      <c r="AER132" s="621"/>
      <c r="AES132" s="621"/>
      <c r="AET132" s="621"/>
      <c r="AEU132" s="621"/>
      <c r="AEV132" s="621"/>
      <c r="AEW132" s="621"/>
      <c r="AEX132" s="621"/>
      <c r="AEY132" s="621"/>
      <c r="AEZ132" s="621"/>
      <c r="AFA132" s="621"/>
      <c r="AFB132" s="621"/>
      <c r="AFC132" s="621"/>
      <c r="AFD132" s="621"/>
      <c r="AFE132" s="621"/>
      <c r="AFF132" s="621"/>
      <c r="AFG132" s="621"/>
      <c r="AFH132" s="621"/>
      <c r="AFI132" s="621"/>
      <c r="AFJ132" s="621"/>
      <c r="AFK132" s="621"/>
      <c r="AFL132" s="621"/>
      <c r="AFM132" s="621"/>
      <c r="AFN132" s="621"/>
      <c r="AFO132" s="621"/>
      <c r="AFP132" s="621"/>
      <c r="AFQ132" s="621"/>
      <c r="AFR132" s="621"/>
      <c r="AFS132" s="621"/>
      <c r="AFT132" s="621"/>
      <c r="AFU132" s="621"/>
      <c r="AFV132" s="621"/>
      <c r="AFW132" s="621"/>
      <c r="AFX132" s="621"/>
      <c r="AFY132" s="621"/>
      <c r="AFZ132" s="621"/>
      <c r="AGA132" s="621"/>
      <c r="AGB132" s="621"/>
      <c r="AGC132" s="621"/>
      <c r="AGD132" s="621"/>
      <c r="AGE132" s="621"/>
      <c r="AGF132" s="621"/>
      <c r="AGG132" s="621"/>
      <c r="AGH132" s="621"/>
      <c r="AGI132" s="621"/>
      <c r="AGJ132" s="621"/>
      <c r="AGK132" s="621"/>
      <c r="AGL132" s="621"/>
      <c r="AGM132" s="621"/>
      <c r="AGN132" s="621"/>
      <c r="AGO132" s="621"/>
      <c r="AGP132" s="621"/>
      <c r="AGQ132" s="621"/>
      <c r="AGR132" s="621"/>
      <c r="AGS132" s="621"/>
      <c r="AGT132" s="621"/>
      <c r="AGU132" s="621"/>
      <c r="AGV132" s="621"/>
      <c r="AGW132" s="621"/>
      <c r="AGX132" s="621"/>
      <c r="AGY132" s="621"/>
      <c r="AGZ132" s="621"/>
      <c r="AHA132" s="621"/>
      <c r="AHB132" s="621"/>
      <c r="AHC132" s="621"/>
      <c r="AHD132" s="621"/>
      <c r="AHE132" s="621"/>
      <c r="AHF132" s="621"/>
      <c r="AHG132" s="621"/>
      <c r="AHH132" s="621"/>
      <c r="AHI132" s="621"/>
      <c r="AHJ132" s="621"/>
      <c r="AHK132" s="621"/>
      <c r="AHL132" s="621"/>
      <c r="AHM132" s="621"/>
      <c r="AHN132" s="621"/>
      <c r="AHO132" s="621"/>
      <c r="AHP132" s="621"/>
      <c r="AHQ132" s="621"/>
      <c r="AHR132" s="621"/>
      <c r="AHS132" s="621"/>
      <c r="AHT132" s="621"/>
      <c r="AHU132" s="621"/>
      <c r="AHV132" s="621"/>
      <c r="AHW132" s="621"/>
      <c r="AHX132" s="621"/>
      <c r="AHY132" s="621"/>
      <c r="AHZ132" s="621"/>
      <c r="AIA132" s="621"/>
      <c r="AIB132" s="621"/>
      <c r="AIC132" s="621"/>
      <c r="AID132" s="621"/>
      <c r="AIE132" s="621"/>
      <c r="AIF132" s="621"/>
      <c r="AIG132" s="621"/>
      <c r="AIH132" s="621"/>
      <c r="AII132" s="621"/>
      <c r="AIJ132" s="621"/>
      <c r="AIK132" s="621"/>
      <c r="AIL132" s="621"/>
      <c r="AIM132" s="621"/>
      <c r="AIN132" s="621"/>
      <c r="AIO132" s="621"/>
      <c r="AIP132" s="621"/>
      <c r="AIQ132" s="621"/>
      <c r="AIR132" s="621"/>
      <c r="AIS132" s="621"/>
      <c r="AIT132" s="621"/>
      <c r="AIU132" s="621"/>
      <c r="AIV132" s="621"/>
      <c r="AIW132" s="621"/>
      <c r="AIX132" s="621"/>
      <c r="AIY132" s="621"/>
      <c r="AIZ132" s="621"/>
      <c r="AJA132" s="621"/>
      <c r="AJB132" s="621"/>
      <c r="AJC132" s="621"/>
      <c r="AJD132" s="621"/>
      <c r="AJE132" s="621"/>
      <c r="AJF132" s="621"/>
      <c r="AJG132" s="621"/>
      <c r="AJH132" s="621"/>
      <c r="AJI132" s="621"/>
      <c r="AJJ132" s="621"/>
      <c r="AJK132" s="621"/>
      <c r="AJL132" s="621"/>
      <c r="AJM132" s="621"/>
      <c r="AJN132" s="621"/>
      <c r="AJO132" s="621"/>
      <c r="AJP132" s="621"/>
      <c r="AJQ132" s="621"/>
      <c r="AJR132" s="621"/>
      <c r="AJS132" s="621"/>
      <c r="AJT132" s="621"/>
      <c r="AJU132" s="621"/>
      <c r="AJV132" s="621"/>
      <c r="AJW132" s="621"/>
      <c r="AJX132" s="621"/>
      <c r="AJY132" s="621"/>
      <c r="AJZ132" s="621"/>
      <c r="AKA132" s="621"/>
      <c r="AKB132" s="621"/>
      <c r="AKC132" s="621"/>
      <c r="AKD132" s="621"/>
      <c r="AKE132" s="621"/>
      <c r="AKF132" s="621"/>
      <c r="AKG132" s="621"/>
      <c r="AKH132" s="621"/>
      <c r="AKI132" s="621"/>
      <c r="AKJ132" s="621"/>
      <c r="AKK132" s="621"/>
      <c r="AKL132" s="621"/>
      <c r="AKM132" s="621"/>
      <c r="AKN132" s="621"/>
      <c r="AKO132" s="621"/>
      <c r="AKP132" s="621"/>
      <c r="AKQ132" s="621"/>
      <c r="AKR132" s="621"/>
      <c r="AKS132" s="621"/>
      <c r="AKT132" s="621"/>
      <c r="AKU132" s="621"/>
      <c r="AKV132" s="621"/>
      <c r="AKW132" s="621"/>
      <c r="AKX132" s="621"/>
      <c r="AKY132" s="621"/>
      <c r="AKZ132" s="621"/>
      <c r="ALA132" s="621"/>
      <c r="ALB132" s="621"/>
      <c r="ALC132" s="621"/>
      <c r="ALD132" s="621"/>
      <c r="ALE132" s="621"/>
      <c r="ALF132" s="621"/>
      <c r="ALG132" s="621"/>
      <c r="ALH132" s="621"/>
      <c r="ALI132" s="621"/>
      <c r="ALJ132" s="621"/>
      <c r="ALK132" s="621"/>
      <c r="ALL132" s="621"/>
      <c r="ALM132" s="621"/>
      <c r="ALN132" s="621"/>
      <c r="ALO132" s="621"/>
      <c r="ALP132" s="621"/>
      <c r="ALQ132" s="621"/>
      <c r="ALR132" s="621"/>
      <c r="ALS132" s="621"/>
      <c r="ALT132" s="621"/>
      <c r="ALU132" s="621"/>
      <c r="ALV132" s="621"/>
      <c r="ALW132" s="621"/>
      <c r="ALX132" s="621"/>
      <c r="ALY132" s="621"/>
      <c r="ALZ132" s="621"/>
      <c r="AMA132" s="621"/>
      <c r="AMB132" s="621"/>
      <c r="AMC132" s="621"/>
      <c r="AMD132" s="621"/>
      <c r="AME132" s="621"/>
      <c r="AMF132" s="621"/>
      <c r="AMG132" s="621"/>
      <c r="AMH132" s="621"/>
      <c r="AMI132" s="621"/>
      <c r="AMJ132" s="621"/>
      <c r="AMK132" s="621"/>
    </row>
  </sheetData>
  <mergeCells count="115">
    <mergeCell ref="C24:D24"/>
    <mergeCell ref="S10:U10"/>
    <mergeCell ref="A19:H19"/>
    <mergeCell ref="A20:H20"/>
    <mergeCell ref="AC1:AJ1"/>
    <mergeCell ref="AK1:AL1"/>
    <mergeCell ref="A2:M2"/>
    <mergeCell ref="A5:A6"/>
    <mergeCell ref="B5:C5"/>
    <mergeCell ref="F5:H5"/>
    <mergeCell ref="I5:I6"/>
    <mergeCell ref="J5:J6"/>
    <mergeCell ref="K5:L5"/>
    <mergeCell ref="G4:H4"/>
    <mergeCell ref="V34:Y34"/>
    <mergeCell ref="F105:H105"/>
    <mergeCell ref="F107:H107"/>
    <mergeCell ref="F109:H109"/>
    <mergeCell ref="A1:M1"/>
    <mergeCell ref="S1:T1"/>
    <mergeCell ref="V1:Y1"/>
    <mergeCell ref="M5:N5"/>
    <mergeCell ref="O5:O6"/>
    <mergeCell ref="P5:P6"/>
    <mergeCell ref="S6:U6"/>
    <mergeCell ref="J24:K24"/>
    <mergeCell ref="L24:M24"/>
    <mergeCell ref="N24:O24"/>
    <mergeCell ref="L25:M25"/>
    <mergeCell ref="N25:O25"/>
    <mergeCell ref="F6:G6"/>
    <mergeCell ref="E31:F31"/>
    <mergeCell ref="E32:F32"/>
    <mergeCell ref="N32:O32"/>
    <mergeCell ref="A22:H22"/>
    <mergeCell ref="G23:H23"/>
    <mergeCell ref="N23:O23"/>
    <mergeCell ref="B24:B25"/>
    <mergeCell ref="N46:O46"/>
    <mergeCell ref="T46:U46"/>
    <mergeCell ref="E47:F47"/>
    <mergeCell ref="E33:F33"/>
    <mergeCell ref="E34:F34"/>
    <mergeCell ref="N34:O34"/>
    <mergeCell ref="E24:F25"/>
    <mergeCell ref="G24:H24"/>
    <mergeCell ref="E26:F26"/>
    <mergeCell ref="N26:O26"/>
    <mergeCell ref="E27:F27"/>
    <mergeCell ref="E28:F28"/>
    <mergeCell ref="E30:F30"/>
    <mergeCell ref="N30:O30"/>
    <mergeCell ref="E41:F41"/>
    <mergeCell ref="E42:F42"/>
    <mergeCell ref="E43:F43"/>
    <mergeCell ref="E44:F44"/>
    <mergeCell ref="E45:F45"/>
    <mergeCell ref="E46:F46"/>
    <mergeCell ref="E61:F61"/>
    <mergeCell ref="E35:F35"/>
    <mergeCell ref="E37:F37"/>
    <mergeCell ref="E38:F38"/>
    <mergeCell ref="E39:F39"/>
    <mergeCell ref="E40:F40"/>
    <mergeCell ref="E67:F67"/>
    <mergeCell ref="E62:F62"/>
    <mergeCell ref="E63:F63"/>
    <mergeCell ref="E48:F48"/>
    <mergeCell ref="E56:F56"/>
    <mergeCell ref="E57:F57"/>
    <mergeCell ref="E58:F58"/>
    <mergeCell ref="E59:F59"/>
    <mergeCell ref="E60:F60"/>
    <mergeCell ref="E64:F64"/>
    <mergeCell ref="E65:F65"/>
    <mergeCell ref="E66:F66"/>
    <mergeCell ref="AF48:AM48"/>
    <mergeCell ref="AN48:AO48"/>
    <mergeCell ref="E49:F49"/>
    <mergeCell ref="E50:F50"/>
    <mergeCell ref="E51:F51"/>
    <mergeCell ref="E52:F52"/>
    <mergeCell ref="E53:F53"/>
    <mergeCell ref="E54:F54"/>
    <mergeCell ref="E55:F55"/>
    <mergeCell ref="AO80:AO81"/>
    <mergeCell ref="AP80:AP81"/>
    <mergeCell ref="A81:B81"/>
    <mergeCell ref="A82:B82"/>
    <mergeCell ref="B84:E84"/>
    <mergeCell ref="B85:H85"/>
    <mergeCell ref="E68:F68"/>
    <mergeCell ref="E69:F69"/>
    <mergeCell ref="E72:F72"/>
    <mergeCell ref="E73:F73"/>
    <mergeCell ref="J79:K79"/>
    <mergeCell ref="A79:C79"/>
    <mergeCell ref="D79:F79"/>
    <mergeCell ref="G79:H79"/>
    <mergeCell ref="A95:A96"/>
    <mergeCell ref="E95:G95"/>
    <mergeCell ref="C96:E96"/>
    <mergeCell ref="E74:F74"/>
    <mergeCell ref="A75:C76"/>
    <mergeCell ref="D75:E75"/>
    <mergeCell ref="F75:G75"/>
    <mergeCell ref="D76:E76"/>
    <mergeCell ref="F76:G76"/>
    <mergeCell ref="B86:H86"/>
    <mergeCell ref="B88:H88"/>
    <mergeCell ref="B89:H89"/>
    <mergeCell ref="B90:E90"/>
    <mergeCell ref="B91:E91"/>
    <mergeCell ref="B92:E92"/>
    <mergeCell ref="B87:H87"/>
  </mergeCells>
  <printOptions horizontalCentered="1" verticalCentered="1"/>
  <pageMargins left="0" right="0" top="0" bottom="0" header="0" footer="0"/>
  <pageSetup scale="35" firstPageNumber="0" fitToHeight="0" orientation="portrait" r:id="rId1"/>
  <rowBreaks count="1" manualBreakCount="1">
    <brk id="18" max="7" man="1"/>
  </rowBreaks>
  <colBreaks count="1" manualBreakCount="1">
    <brk id="8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1"/>
  <sheetViews>
    <sheetView view="pageBreakPreview" zoomScale="60" zoomScaleNormal="70" zoomScalePageLayoutView="60" workbookViewId="0">
      <selection activeCell="E73" sqref="E73:F73"/>
    </sheetView>
  </sheetViews>
  <sheetFormatPr defaultRowHeight="15.75"/>
  <cols>
    <col min="1" max="1" width="26.7109375" style="135" customWidth="1"/>
    <col min="2" max="2" width="42" style="135"/>
    <col min="3" max="3" width="28.5703125" style="250"/>
    <col min="4" max="4" width="36.5703125" style="250"/>
    <col min="5" max="5" width="23.28515625" style="135"/>
    <col min="6" max="6" width="29.28515625" style="135" customWidth="1"/>
    <col min="7" max="7" width="30.140625" style="135" customWidth="1"/>
    <col min="8" max="8" width="33.28515625" style="135" customWidth="1"/>
    <col min="9" max="9" width="29.7109375" style="135"/>
    <col min="10" max="10" width="28" style="135"/>
    <col min="11" max="14" width="0" style="135" hidden="1"/>
    <col min="15" max="15" width="27.28515625" style="135"/>
    <col min="16" max="16" width="8.5703125" style="135"/>
    <col min="17" max="17" width="0" style="135" hidden="1"/>
    <col min="18" max="18" width="33.5703125" style="135"/>
    <col min="19" max="19" width="11.7109375" style="135"/>
    <col min="20" max="20" width="20.140625" style="135"/>
    <col min="21" max="21" width="15.5703125" style="135"/>
    <col min="22" max="22" width="17.5703125" style="251"/>
    <col min="23" max="23" width="11.28515625" style="251"/>
    <col min="24" max="24" width="8.140625" style="251"/>
    <col min="25" max="25" width="15.85546875" style="135"/>
    <col min="26" max="27" width="3.28515625" style="135"/>
    <col min="28" max="28" width="8.5703125" style="252"/>
    <col min="29" max="29" width="20" style="253"/>
    <col min="30" max="30" width="14.85546875" style="254"/>
    <col min="31" max="31" width="8.140625" style="254"/>
    <col min="32" max="32" width="20" style="254"/>
    <col min="33" max="33" width="14.85546875" style="254"/>
    <col min="34" max="34" width="10.28515625" style="254"/>
    <col min="35" max="35" width="27.140625" style="254"/>
    <col min="36" max="36" width="22.42578125" style="254"/>
    <col min="37" max="37" width="12" style="254"/>
    <col min="38" max="38" width="20" style="254"/>
    <col min="39" max="39" width="19.140625" style="252"/>
    <col min="40" max="40" width="16.85546875" style="252"/>
    <col min="41" max="41" width="19.85546875" style="252"/>
    <col min="42" max="42" width="15.5703125" style="252"/>
    <col min="43" max="46" width="8.5703125" style="252"/>
    <col min="47" max="1025" width="8.5703125" style="135"/>
  </cols>
  <sheetData>
    <row r="1" spans="1:1025" ht="28.5" customHeight="1">
      <c r="A1" s="2088" t="str">
        <f>Cons.Mat.Evalu.!A1</f>
        <v>Cross-land Construction Company</v>
      </c>
      <c r="B1" s="2088"/>
      <c r="C1" s="2088"/>
      <c r="D1" s="2088"/>
      <c r="E1" s="2088"/>
      <c r="F1" s="2088"/>
      <c r="G1" s="2088"/>
      <c r="H1" s="2088"/>
      <c r="I1" s="2088"/>
      <c r="J1" s="2088"/>
      <c r="K1" s="2088"/>
      <c r="L1" s="2088"/>
      <c r="M1" s="2088"/>
      <c r="N1" s="255" t="s">
        <v>275</v>
      </c>
      <c r="O1" s="255"/>
      <c r="P1" s="256"/>
      <c r="R1" s="257"/>
      <c r="S1" s="2023" t="s">
        <v>276</v>
      </c>
      <c r="T1" s="2023"/>
      <c r="U1" s="258"/>
      <c r="V1" s="2023" t="s">
        <v>277</v>
      </c>
      <c r="W1" s="2023"/>
      <c r="X1" s="2023"/>
      <c r="Y1" s="2023"/>
      <c r="Z1" s="259"/>
      <c r="AA1" s="258"/>
      <c r="AB1" s="260"/>
      <c r="AC1" s="2076" t="s">
        <v>278</v>
      </c>
      <c r="AD1" s="2076"/>
      <c r="AE1" s="2076"/>
      <c r="AF1" s="2076"/>
      <c r="AG1" s="2076"/>
      <c r="AH1" s="2076"/>
      <c r="AI1" s="2076"/>
      <c r="AJ1" s="2076"/>
      <c r="AK1" s="2089"/>
      <c r="AL1" s="2089"/>
      <c r="AM1" s="261" t="s">
        <v>279</v>
      </c>
      <c r="AN1" s="260"/>
      <c r="AO1" s="260"/>
    </row>
    <row r="2" spans="1:1025" ht="27.75">
      <c r="A2" s="2090" t="str">
        <f>'Weekly Progress Report'!A2</f>
        <v>Project: Haro sebu-Lelo-Qaqe</v>
      </c>
      <c r="B2" s="2090"/>
      <c r="C2" s="2090"/>
      <c r="D2" s="2090"/>
      <c r="E2" s="2090"/>
      <c r="F2" s="2090"/>
      <c r="G2" s="2090"/>
      <c r="H2" s="2090"/>
      <c r="I2" s="2090"/>
      <c r="J2" s="2090"/>
      <c r="K2" s="2090"/>
      <c r="L2" s="2090"/>
      <c r="M2" s="2090"/>
      <c r="N2" s="255" t="s">
        <v>280</v>
      </c>
      <c r="O2" s="255"/>
      <c r="P2" s="262"/>
      <c r="Q2" s="263" t="s">
        <v>281</v>
      </c>
      <c r="R2" s="264" t="s">
        <v>282</v>
      </c>
      <c r="S2" s="265">
        <v>11.65</v>
      </c>
      <c r="T2" s="266">
        <f>B15</f>
        <v>11764</v>
      </c>
      <c r="U2" s="267">
        <f>S2*T2</f>
        <v>137050.6</v>
      </c>
      <c r="V2" s="268" t="s">
        <v>283</v>
      </c>
      <c r="W2" s="269">
        <v>32.002499999999998</v>
      </c>
      <c r="X2" s="270">
        <v>26</v>
      </c>
      <c r="Y2" s="271">
        <f t="shared" ref="Y2:Y12" si="0">W2*X2</f>
        <v>832.06499999999994</v>
      </c>
      <c r="Z2" s="272"/>
      <c r="AA2" s="273"/>
      <c r="AB2" s="260"/>
      <c r="AC2" s="274" t="s">
        <v>13</v>
      </c>
      <c r="AD2" s="275" t="s">
        <v>284</v>
      </c>
      <c r="AE2" s="275" t="s">
        <v>285</v>
      </c>
      <c r="AF2" s="275"/>
      <c r="AG2" s="275"/>
      <c r="AH2" s="275" t="s">
        <v>286</v>
      </c>
      <c r="AI2" s="275" t="s">
        <v>287</v>
      </c>
      <c r="AJ2" s="276"/>
      <c r="AK2" s="277"/>
      <c r="AL2" s="276"/>
      <c r="AM2" s="278"/>
      <c r="AN2" s="260"/>
      <c r="AO2" s="260"/>
    </row>
    <row r="3" spans="1:1025" ht="24" thickBot="1">
      <c r="N3" s="279"/>
      <c r="O3" s="649"/>
      <c r="P3" s="262"/>
      <c r="R3" s="281" t="s">
        <v>288</v>
      </c>
      <c r="S3" s="265">
        <v>11.65</v>
      </c>
      <c r="T3" s="282">
        <f>C15</f>
        <v>4142</v>
      </c>
      <c r="U3" s="267">
        <f>S3*T3</f>
        <v>48254.3</v>
      </c>
      <c r="V3" s="283" t="s">
        <v>289</v>
      </c>
      <c r="W3" s="284">
        <v>1453.2</v>
      </c>
      <c r="X3" s="284"/>
      <c r="Y3" s="271">
        <f t="shared" si="0"/>
        <v>0</v>
      </c>
      <c r="Z3" s="272"/>
      <c r="AA3" s="273"/>
      <c r="AB3" s="260"/>
      <c r="AC3" s="285"/>
      <c r="AD3" s="286"/>
      <c r="AE3" s="286"/>
      <c r="AF3" s="286"/>
      <c r="AG3" s="286"/>
      <c r="AH3" s="286"/>
      <c r="AI3" s="286"/>
      <c r="AJ3" s="287"/>
      <c r="AK3" s="288"/>
      <c r="AL3" s="287"/>
      <c r="AM3" s="289"/>
      <c r="AN3" s="260"/>
      <c r="AO3" s="260"/>
    </row>
    <row r="4" spans="1:1025" ht="31.5" thickBot="1">
      <c r="B4" s="290"/>
      <c r="C4" s="291"/>
      <c r="D4" s="291"/>
      <c r="E4" s="292"/>
      <c r="F4" s="292"/>
      <c r="G4" s="2073" t="str">
        <f>'Weekly Machinery Ex'!P3</f>
        <v>Week 32  ((23-29)-08-07)</v>
      </c>
      <c r="H4" s="2073"/>
      <c r="I4" s="292"/>
      <c r="J4" s="293"/>
      <c r="K4" s="294"/>
      <c r="L4" s="290"/>
      <c r="M4" s="290"/>
      <c r="N4" s="290"/>
      <c r="O4" s="280"/>
      <c r="P4" s="295"/>
      <c r="Q4" s="263" t="s">
        <v>290</v>
      </c>
      <c r="R4" s="257"/>
      <c r="S4" s="296">
        <v>13</v>
      </c>
      <c r="T4" s="297"/>
      <c r="U4" s="298">
        <f>S4*T4</f>
        <v>0</v>
      </c>
      <c r="V4" s="283" t="s">
        <v>291</v>
      </c>
      <c r="W4" s="299">
        <v>23.855</v>
      </c>
      <c r="X4" s="284">
        <v>33</v>
      </c>
      <c r="Y4" s="271">
        <f t="shared" si="0"/>
        <v>787.21500000000003</v>
      </c>
      <c r="Z4" s="272"/>
      <c r="AA4" s="273"/>
      <c r="AB4" s="260"/>
      <c r="AC4" s="300" t="s">
        <v>114</v>
      </c>
      <c r="AD4" s="301">
        <v>5</v>
      </c>
      <c r="AE4" s="301">
        <v>8</v>
      </c>
      <c r="AF4" s="301">
        <v>6</v>
      </c>
      <c r="AG4" s="301">
        <f>AD4*AE4*AF4</f>
        <v>240</v>
      </c>
      <c r="AH4" s="301">
        <v>45</v>
      </c>
      <c r="AI4" s="301">
        <f>AG4*AH4</f>
        <v>10800</v>
      </c>
      <c r="AJ4" s="302">
        <f>AI4*9.55</f>
        <v>103140.00000000001</v>
      </c>
      <c r="AK4" s="303">
        <v>850</v>
      </c>
      <c r="AL4" s="302">
        <f>AG4*AK4</f>
        <v>204000</v>
      </c>
      <c r="AM4" s="289"/>
      <c r="AN4" s="260"/>
      <c r="AO4" s="260"/>
    </row>
    <row r="5" spans="1:1025" ht="24.75" customHeight="1" thickTop="1" thickBot="1">
      <c r="A5" s="2091" t="s">
        <v>292</v>
      </c>
      <c r="B5" s="2093" t="s">
        <v>721</v>
      </c>
      <c r="C5" s="2093"/>
      <c r="D5" s="2094" t="s">
        <v>293</v>
      </c>
      <c r="E5" s="2094"/>
      <c r="F5" s="2093" t="s">
        <v>722</v>
      </c>
      <c r="G5" s="2093"/>
      <c r="H5" s="2095"/>
      <c r="I5" s="2082" t="s">
        <v>295</v>
      </c>
      <c r="J5" s="2083" t="s">
        <v>296</v>
      </c>
      <c r="K5" s="2084" t="s">
        <v>297</v>
      </c>
      <c r="L5" s="2084"/>
      <c r="M5" s="2064" t="s">
        <v>298</v>
      </c>
      <c r="N5" s="2064"/>
      <c r="O5" s="2065" t="s">
        <v>299</v>
      </c>
      <c r="P5" s="2066"/>
      <c r="Q5" s="295"/>
      <c r="R5" s="257"/>
      <c r="S5" s="304"/>
      <c r="T5" s="305"/>
      <c r="U5" s="306">
        <f>SUM(U2:U4)</f>
        <v>185304.90000000002</v>
      </c>
      <c r="V5" s="283" t="s">
        <v>300</v>
      </c>
      <c r="W5" s="284">
        <v>28.27</v>
      </c>
      <c r="X5" s="284"/>
      <c r="Y5" s="271">
        <f t="shared" si="0"/>
        <v>0</v>
      </c>
      <c r="Z5" s="272"/>
      <c r="AA5" s="273"/>
      <c r="AB5" s="260"/>
      <c r="AC5" s="307" t="s">
        <v>120</v>
      </c>
      <c r="AD5" s="301">
        <v>5</v>
      </c>
      <c r="AE5" s="301">
        <v>8</v>
      </c>
      <c r="AF5" s="301">
        <v>6</v>
      </c>
      <c r="AG5" s="301">
        <f>AD5*AE5*AF5</f>
        <v>240</v>
      </c>
      <c r="AH5" s="301">
        <v>18</v>
      </c>
      <c r="AI5" s="301">
        <f>AG5*AH5</f>
        <v>4320</v>
      </c>
      <c r="AJ5" s="302">
        <f>AI5*9.55</f>
        <v>41256</v>
      </c>
      <c r="AK5" s="303">
        <v>550</v>
      </c>
      <c r="AL5" s="302">
        <f>AG5*AK5</f>
        <v>132000</v>
      </c>
      <c r="AM5" s="260"/>
      <c r="AN5" s="308"/>
      <c r="AO5" s="309"/>
      <c r="AU5" s="252"/>
    </row>
    <row r="6" spans="1:1025" ht="63.75" customHeight="1" thickTop="1" thickBot="1">
      <c r="A6" s="2092"/>
      <c r="B6" s="907" t="s">
        <v>301</v>
      </c>
      <c r="C6" s="908" t="s">
        <v>302</v>
      </c>
      <c r="D6" s="908" t="s">
        <v>301</v>
      </c>
      <c r="E6" s="907" t="s">
        <v>302</v>
      </c>
      <c r="F6" s="2086" t="s">
        <v>676</v>
      </c>
      <c r="G6" s="2086"/>
      <c r="H6" s="909" t="s">
        <v>303</v>
      </c>
      <c r="I6" s="2082"/>
      <c r="J6" s="2083"/>
      <c r="K6" s="310" t="s">
        <v>304</v>
      </c>
      <c r="L6" s="310" t="s">
        <v>305</v>
      </c>
      <c r="M6" s="310" t="s">
        <v>301</v>
      </c>
      <c r="N6" s="310" t="s">
        <v>302</v>
      </c>
      <c r="O6" s="2065"/>
      <c r="P6" s="2066"/>
      <c r="Q6" s="311"/>
      <c r="R6" s="257"/>
      <c r="S6" s="2067" t="s">
        <v>306</v>
      </c>
      <c r="T6" s="2067"/>
      <c r="U6" s="2067"/>
      <c r="V6" s="283" t="s">
        <v>307</v>
      </c>
      <c r="W6" s="284">
        <v>19.98</v>
      </c>
      <c r="X6" s="312"/>
      <c r="Y6" s="271">
        <f t="shared" si="0"/>
        <v>0</v>
      </c>
      <c r="Z6" s="272"/>
      <c r="AA6" s="313">
        <f>W6*Y6</f>
        <v>0</v>
      </c>
      <c r="AB6" s="260"/>
      <c r="AC6" s="307" t="s">
        <v>123</v>
      </c>
      <c r="AD6" s="301">
        <v>3</v>
      </c>
      <c r="AE6" s="301">
        <v>1</v>
      </c>
      <c r="AF6" s="301">
        <v>6</v>
      </c>
      <c r="AG6" s="301">
        <f>AD6*AE6*AF6</f>
        <v>18</v>
      </c>
      <c r="AH6" s="301">
        <v>8</v>
      </c>
      <c r="AI6" s="301">
        <f>AG6*AH6</f>
        <v>144</v>
      </c>
      <c r="AJ6" s="302">
        <f>AI6*9.55</f>
        <v>1375.2</v>
      </c>
      <c r="AK6" s="303">
        <v>280</v>
      </c>
      <c r="AL6" s="302">
        <f>AG6*AK6</f>
        <v>5040</v>
      </c>
      <c r="AM6" s="289"/>
      <c r="AN6" s="260"/>
      <c r="AO6" s="309"/>
      <c r="AU6" s="252"/>
      <c r="AV6" s="252"/>
    </row>
    <row r="7" spans="1:1025" ht="29.25" customHeight="1" thickBot="1">
      <c r="A7" s="910" t="str">
        <f>'[1]D M S'!$M$5</f>
        <v>Day-1    11/07/07</v>
      </c>
      <c r="B7" s="325">
        <f>'[1]w Machinery Ex'!$S$93</f>
        <v>0</v>
      </c>
      <c r="C7" s="911">
        <f>'[1]w Machinery Ex'!$S$143</f>
        <v>0</v>
      </c>
      <c r="D7" s="911"/>
      <c r="E7" s="911"/>
      <c r="F7" s="325" t="s">
        <v>402</v>
      </c>
      <c r="G7" s="325"/>
      <c r="H7" s="320"/>
      <c r="I7" s="618"/>
      <c r="J7" s="314"/>
      <c r="K7" s="314"/>
      <c r="L7" s="314"/>
      <c r="M7" s="314"/>
      <c r="N7" s="314"/>
      <c r="O7" s="315"/>
      <c r="P7" s="316"/>
      <c r="Q7" s="295"/>
      <c r="R7" s="257" t="s">
        <v>308</v>
      </c>
      <c r="S7" s="265">
        <v>106.90600000000001</v>
      </c>
      <c r="T7" s="317"/>
      <c r="U7" s="318">
        <f>+S7*T7</f>
        <v>0</v>
      </c>
      <c r="V7" s="283" t="s">
        <v>309</v>
      </c>
      <c r="W7" s="299">
        <v>19.61</v>
      </c>
      <c r="X7" s="284"/>
      <c r="Y7" s="271">
        <f t="shared" si="0"/>
        <v>0</v>
      </c>
      <c r="Z7" s="272"/>
      <c r="AA7" s="273"/>
      <c r="AB7" s="260"/>
      <c r="AC7" s="307" t="s">
        <v>123</v>
      </c>
      <c r="AD7" s="301"/>
      <c r="AE7" s="301"/>
      <c r="AF7" s="301"/>
      <c r="AG7" s="301">
        <f>AD7*AE7*AF7</f>
        <v>0</v>
      </c>
      <c r="AH7" s="301"/>
      <c r="AI7" s="301">
        <f>AG7*AH7</f>
        <v>0</v>
      </c>
      <c r="AJ7" s="302">
        <f>AI7*9.55</f>
        <v>0</v>
      </c>
      <c r="AK7" s="303">
        <v>280</v>
      </c>
      <c r="AL7" s="302">
        <f>AG7*AK7</f>
        <v>0</v>
      </c>
      <c r="AM7" s="260"/>
      <c r="AN7" s="308"/>
      <c r="AO7" s="309"/>
      <c r="AU7" s="252"/>
    </row>
    <row r="8" spans="1:1025" ht="25.5" customHeight="1" thickBot="1">
      <c r="A8" s="910" t="str">
        <f>'[2]D M S'!$M$5</f>
        <v>Day-2   24/08/07</v>
      </c>
      <c r="B8" s="325">
        <f>'[2]w Machinery Ex'!$S$93</f>
        <v>3182</v>
      </c>
      <c r="C8" s="911">
        <f>'[2]w Machinery Ex'!$S$143</f>
        <v>1438</v>
      </c>
      <c r="D8" s="911"/>
      <c r="E8" s="911"/>
      <c r="F8" s="325" t="s">
        <v>306</v>
      </c>
      <c r="G8" s="325"/>
      <c r="H8" s="320"/>
      <c r="I8" s="618"/>
      <c r="J8" s="314"/>
      <c r="K8" s="319"/>
      <c r="L8" s="319"/>
      <c r="M8" s="319"/>
      <c r="N8" s="319"/>
      <c r="O8" s="320"/>
      <c r="P8" s="316"/>
      <c r="Q8" s="295"/>
      <c r="R8" s="257" t="s">
        <v>310</v>
      </c>
      <c r="S8" s="296">
        <v>108.7115</v>
      </c>
      <c r="T8" s="297"/>
      <c r="U8" s="321">
        <f>+S8*T8</f>
        <v>0</v>
      </c>
      <c r="V8" s="283" t="s">
        <v>311</v>
      </c>
      <c r="W8" s="299">
        <v>19.5227</v>
      </c>
      <c r="X8" s="284"/>
      <c r="Y8" s="271">
        <f t="shared" si="0"/>
        <v>0</v>
      </c>
      <c r="Z8" s="272"/>
      <c r="AA8" s="273"/>
      <c r="AB8" s="260"/>
      <c r="AC8" s="300" t="s">
        <v>126</v>
      </c>
      <c r="AD8" s="301">
        <v>3</v>
      </c>
      <c r="AE8" s="301">
        <v>8</v>
      </c>
      <c r="AF8" s="301">
        <v>6</v>
      </c>
      <c r="AG8" s="301">
        <f>AD8*AE8*AF8</f>
        <v>144</v>
      </c>
      <c r="AH8" s="301">
        <v>18</v>
      </c>
      <c r="AI8" s="301">
        <f>AG8*AH8</f>
        <v>2592</v>
      </c>
      <c r="AJ8" s="302">
        <f>AI8*9.55</f>
        <v>24753.600000000002</v>
      </c>
      <c r="AK8" s="303">
        <v>450</v>
      </c>
      <c r="AL8" s="302">
        <f>AG8*AK8</f>
        <v>64800</v>
      </c>
      <c r="AM8" s="260"/>
      <c r="AN8" s="308"/>
      <c r="AO8" s="309"/>
      <c r="AU8" s="252"/>
    </row>
    <row r="9" spans="1:1025" ht="25.5" customHeight="1" thickBot="1">
      <c r="A9" s="910" t="str">
        <f>'[3]D M S'!$M$5</f>
        <v>Day-3 25/08/07</v>
      </c>
      <c r="B9" s="911">
        <f>'[3]w Machinery Ex'!$S$93</f>
        <v>0</v>
      </c>
      <c r="C9" s="911">
        <f>'[3]w Machinery Ex'!$S$143</f>
        <v>0</v>
      </c>
      <c r="D9" s="911"/>
      <c r="E9" s="911"/>
      <c r="F9" s="325" t="s">
        <v>677</v>
      </c>
      <c r="G9" s="319">
        <f>Cons.Mat.Evalu.!F19*0</f>
        <v>0</v>
      </c>
      <c r="H9" s="320"/>
      <c r="I9" s="322"/>
      <c r="J9" s="314"/>
      <c r="K9" s="319"/>
      <c r="L9" s="319"/>
      <c r="M9" s="319"/>
      <c r="N9" s="319"/>
      <c r="O9" s="320"/>
      <c r="P9" s="316"/>
      <c r="Q9" s="295"/>
      <c r="R9" s="257" t="s">
        <v>312</v>
      </c>
      <c r="S9" s="304">
        <v>1194</v>
      </c>
      <c r="T9" s="305"/>
      <c r="U9" s="323">
        <f>+S9*T9</f>
        <v>0</v>
      </c>
      <c r="V9" s="283" t="s">
        <v>313</v>
      </c>
      <c r="W9" s="299">
        <v>69.784999999999997</v>
      </c>
      <c r="X9" s="284">
        <v>3</v>
      </c>
      <c r="Y9" s="271">
        <f t="shared" si="0"/>
        <v>209.35499999999999</v>
      </c>
      <c r="Z9" s="272"/>
      <c r="AA9" s="273"/>
      <c r="AB9" s="260"/>
      <c r="AC9" s="324"/>
      <c r="AD9" s="301"/>
      <c r="AE9" s="301"/>
      <c r="AF9" s="301"/>
      <c r="AG9" s="301"/>
      <c r="AH9" s="301"/>
      <c r="AI9" s="301"/>
      <c r="AJ9" s="302"/>
      <c r="AK9" s="303"/>
      <c r="AL9" s="302"/>
      <c r="AM9" s="260"/>
      <c r="AN9" s="308"/>
      <c r="AO9" s="309"/>
      <c r="AU9" s="252"/>
    </row>
    <row r="10" spans="1:1025" ht="29.25" customHeight="1" thickBot="1">
      <c r="A10" s="910" t="str">
        <f>'[4]D M S'!$M$5</f>
        <v>Day-4 14/06/07</v>
      </c>
      <c r="B10" s="325">
        <f>'[4]w Machinery Ex'!$S$93</f>
        <v>2470</v>
      </c>
      <c r="C10" s="325">
        <f>'[4]w Machinery Ex'!$S$143</f>
        <v>863</v>
      </c>
      <c r="D10" s="911"/>
      <c r="E10" s="911"/>
      <c r="F10" s="325" t="s">
        <v>678</v>
      </c>
      <c r="G10" s="319">
        <f>(Cons.Mat.Evalu.!F19+Cons.Mat.Evalu.!F21)*232.5</f>
        <v>21738.75</v>
      </c>
      <c r="H10" s="320"/>
      <c r="I10" s="322"/>
      <c r="J10" s="319"/>
      <c r="K10" s="319"/>
      <c r="L10" s="319"/>
      <c r="M10" s="319"/>
      <c r="N10" s="319"/>
      <c r="O10" s="320"/>
      <c r="P10" s="316"/>
      <c r="Q10" s="295"/>
      <c r="R10" s="257"/>
      <c r="S10" s="2075" t="s">
        <v>314</v>
      </c>
      <c r="T10" s="2075"/>
      <c r="U10" s="2075"/>
      <c r="V10" s="283" t="s">
        <v>315</v>
      </c>
      <c r="W10" s="284">
        <v>28.26</v>
      </c>
      <c r="X10" s="284"/>
      <c r="Y10" s="271">
        <f t="shared" si="0"/>
        <v>0</v>
      </c>
      <c r="Z10" s="272"/>
      <c r="AA10" s="273"/>
      <c r="AB10" s="260"/>
      <c r="AC10" s="300" t="s">
        <v>195</v>
      </c>
      <c r="AD10" s="301">
        <v>2</v>
      </c>
      <c r="AE10" s="301">
        <v>8</v>
      </c>
      <c r="AF10" s="301">
        <v>6</v>
      </c>
      <c r="AG10" s="301">
        <f>AD10*AE10*AF10</f>
        <v>96</v>
      </c>
      <c r="AH10" s="301">
        <v>18</v>
      </c>
      <c r="AI10" s="301">
        <f>AG10*AH10</f>
        <v>1728</v>
      </c>
      <c r="AJ10" s="302">
        <f>AI10*9.55</f>
        <v>16502.400000000001</v>
      </c>
      <c r="AK10" s="303">
        <v>550</v>
      </c>
      <c r="AL10" s="302">
        <f>AG10*AK10</f>
        <v>52800</v>
      </c>
      <c r="AM10" s="260"/>
      <c r="AN10" s="308"/>
      <c r="AO10" s="309"/>
      <c r="AU10" s="252"/>
    </row>
    <row r="11" spans="1:1025" ht="26.25" customHeight="1" thickBot="1">
      <c r="A11" s="910" t="str">
        <f>'[5]D M S'!$M$5</f>
        <v>Day-5 27/08/07</v>
      </c>
      <c r="B11" s="325">
        <f>'[5]w Machinery Ex'!$S$93</f>
        <v>2058</v>
      </c>
      <c r="C11" s="325">
        <f>'[5]w Machinery Ex'!$S$143</f>
        <v>1027</v>
      </c>
      <c r="D11" s="911"/>
      <c r="E11" s="911"/>
      <c r="F11" s="325" t="s">
        <v>787</v>
      </c>
      <c r="G11" s="319">
        <f>12*3*625</f>
        <v>22500</v>
      </c>
      <c r="H11" s="912"/>
      <c r="I11" s="322"/>
      <c r="J11" s="322"/>
      <c r="K11" s="319"/>
      <c r="L11" s="319"/>
      <c r="M11" s="319"/>
      <c r="N11" s="319"/>
      <c r="O11" s="320"/>
      <c r="P11" s="316"/>
      <c r="Q11" s="295"/>
      <c r="R11" s="257" t="s">
        <v>316</v>
      </c>
      <c r="S11" s="265">
        <v>22011.53</v>
      </c>
      <c r="T11" s="317"/>
      <c r="U11" s="267">
        <f>+S11*T11</f>
        <v>0</v>
      </c>
      <c r="V11" s="283" t="s">
        <v>317</v>
      </c>
      <c r="W11" s="284">
        <v>13.17</v>
      </c>
      <c r="X11" s="284"/>
      <c r="Y11" s="271">
        <f t="shared" si="0"/>
        <v>0</v>
      </c>
      <c r="Z11" s="272"/>
      <c r="AA11" s="273"/>
      <c r="AB11" s="260"/>
      <c r="AC11" s="300" t="s">
        <v>132</v>
      </c>
      <c r="AD11" s="301">
        <v>1</v>
      </c>
      <c r="AE11" s="301">
        <v>8</v>
      </c>
      <c r="AF11" s="301">
        <v>6</v>
      </c>
      <c r="AG11" s="301">
        <f>AD11*AE11*AF11</f>
        <v>48</v>
      </c>
      <c r="AH11" s="301">
        <v>2</v>
      </c>
      <c r="AI11" s="301">
        <f>AG11*AH11</f>
        <v>96</v>
      </c>
      <c r="AJ11" s="302">
        <f>AI11*9.55</f>
        <v>916.80000000000007</v>
      </c>
      <c r="AK11" s="303">
        <v>50</v>
      </c>
      <c r="AL11" s="302">
        <f>AG11*AK11</f>
        <v>2400</v>
      </c>
      <c r="AM11" s="260"/>
      <c r="AN11" s="308"/>
      <c r="AO11" s="309"/>
      <c r="AU11" s="252"/>
    </row>
    <row r="12" spans="1:1025" ht="23.25" customHeight="1" thickBot="1">
      <c r="A12" s="910" t="str">
        <f>'[6]D M S'!$M$5</f>
        <v>Day-6 28/08/07</v>
      </c>
      <c r="B12" s="325">
        <f>'[6]w Machinery Ex'!$S$93</f>
        <v>1707</v>
      </c>
      <c r="C12" s="325">
        <f>'[6]w Machinery Ex'!$S$143</f>
        <v>388</v>
      </c>
      <c r="D12" s="911"/>
      <c r="E12" s="911"/>
      <c r="F12" s="325"/>
      <c r="G12" s="319"/>
      <c r="H12" s="320"/>
      <c r="I12" s="322"/>
      <c r="J12" s="322"/>
      <c r="K12" s="319"/>
      <c r="L12" s="319"/>
      <c r="M12" s="319"/>
      <c r="N12" s="319"/>
      <c r="O12" s="320"/>
      <c r="P12" s="316"/>
      <c r="Q12" s="295"/>
      <c r="R12" s="257" t="s">
        <v>318</v>
      </c>
      <c r="S12" s="296">
        <v>2130.9499999999998</v>
      </c>
      <c r="T12" s="297"/>
      <c r="U12" s="321">
        <f>+S12*T12</f>
        <v>0</v>
      </c>
      <c r="V12" s="283" t="s">
        <v>319</v>
      </c>
      <c r="W12" s="284">
        <v>20.3</v>
      </c>
      <c r="X12" s="284"/>
      <c r="Y12" s="271">
        <f t="shared" si="0"/>
        <v>0</v>
      </c>
      <c r="Z12" s="272"/>
      <c r="AA12" s="273"/>
      <c r="AB12" s="260"/>
      <c r="AC12" s="300" t="s">
        <v>137</v>
      </c>
      <c r="AD12" s="301">
        <v>5</v>
      </c>
      <c r="AE12" s="301">
        <v>4</v>
      </c>
      <c r="AF12" s="301">
        <v>6</v>
      </c>
      <c r="AG12" s="301">
        <f>AD12*AE12*AF12</f>
        <v>120</v>
      </c>
      <c r="AH12" s="301">
        <v>0.5</v>
      </c>
      <c r="AI12" s="301">
        <f>AG12*AH12</f>
        <v>60</v>
      </c>
      <c r="AJ12" s="302">
        <f>AI12*9.55</f>
        <v>573</v>
      </c>
      <c r="AK12" s="303">
        <v>5</v>
      </c>
      <c r="AL12" s="302">
        <f>AG12*AK12</f>
        <v>600</v>
      </c>
      <c r="AM12" s="260"/>
      <c r="AN12" s="308"/>
      <c r="AO12" s="309"/>
      <c r="AU12" s="252"/>
    </row>
    <row r="13" spans="1:1025" ht="23.25" customHeight="1" thickBot="1">
      <c r="A13" s="910" t="str">
        <f>'[7]D M S'!$M$5</f>
        <v>Day-7 29/08/07</v>
      </c>
      <c r="B13" s="325">
        <f>'[7]w Machinery Ex'!$S$93</f>
        <v>2347</v>
      </c>
      <c r="C13" s="325">
        <f>'[7]w Machinery Ex'!$S$143</f>
        <v>426</v>
      </c>
      <c r="D13" s="911"/>
      <c r="E13" s="911"/>
      <c r="F13" s="325"/>
      <c r="G13" s="319"/>
      <c r="H13" s="320"/>
      <c r="I13" s="322"/>
      <c r="J13" s="322"/>
      <c r="K13" s="319"/>
      <c r="L13" s="319"/>
      <c r="M13" s="319"/>
      <c r="N13" s="319"/>
      <c r="O13" s="320"/>
      <c r="P13" s="316"/>
      <c r="Q13" s="295"/>
      <c r="R13" s="257"/>
      <c r="S13" s="296"/>
      <c r="T13" s="297"/>
      <c r="U13" s="321"/>
      <c r="V13" s="283"/>
      <c r="W13" s="284"/>
      <c r="X13" s="284"/>
      <c r="Y13" s="271"/>
      <c r="Z13" s="272"/>
      <c r="AA13" s="273"/>
      <c r="AB13" s="260"/>
      <c r="AC13" s="300"/>
      <c r="AD13" s="301"/>
      <c r="AE13" s="301"/>
      <c r="AF13" s="301"/>
      <c r="AG13" s="301"/>
      <c r="AH13" s="301"/>
      <c r="AI13" s="301"/>
      <c r="AJ13" s="302"/>
      <c r="AK13" s="303"/>
      <c r="AL13" s="302"/>
      <c r="AM13" s="260"/>
      <c r="AN13" s="308"/>
      <c r="AO13" s="309"/>
      <c r="AU13" s="252"/>
    </row>
    <row r="14" spans="1:1025" ht="24" customHeight="1">
      <c r="A14" s="910"/>
      <c r="B14" s="325"/>
      <c r="C14" s="325"/>
      <c r="D14" s="913"/>
      <c r="E14" s="914"/>
      <c r="F14" s="325"/>
      <c r="G14" s="319"/>
      <c r="H14" s="320"/>
      <c r="I14" s="775"/>
      <c r="J14" s="775"/>
      <c r="K14" s="774"/>
      <c r="L14" s="774"/>
      <c r="M14" s="774"/>
      <c r="N14" s="774"/>
      <c r="O14" s="776"/>
      <c r="P14" s="316"/>
      <c r="Q14" s="295"/>
      <c r="R14" s="257" t="s">
        <v>320</v>
      </c>
      <c r="S14" s="777">
        <v>2826.09</v>
      </c>
      <c r="T14" s="778"/>
      <c r="U14" s="779">
        <f>+S14*T14</f>
        <v>0</v>
      </c>
      <c r="V14" s="780" t="s">
        <v>321</v>
      </c>
      <c r="W14" s="781">
        <v>14.374000000000001</v>
      </c>
      <c r="X14" s="781"/>
      <c r="Y14" s="782">
        <f t="shared" ref="Y14:Y26" si="1">W14*X14</f>
        <v>0</v>
      </c>
      <c r="Z14" s="272"/>
      <c r="AA14" s="273"/>
      <c r="AB14" s="260"/>
      <c r="AC14" s="783" t="s">
        <v>322</v>
      </c>
      <c r="AD14" s="784">
        <v>6</v>
      </c>
      <c r="AE14" s="784">
        <v>8</v>
      </c>
      <c r="AF14" s="784">
        <v>6</v>
      </c>
      <c r="AG14" s="784">
        <f>AD14*AE14*AF14</f>
        <v>288</v>
      </c>
      <c r="AH14" s="784">
        <v>0.5</v>
      </c>
      <c r="AI14" s="784">
        <f>AG14*AH14</f>
        <v>144</v>
      </c>
      <c r="AJ14" s="785">
        <f>AI14*9.55</f>
        <v>1375.2</v>
      </c>
      <c r="AK14" s="786">
        <v>5</v>
      </c>
      <c r="AL14" s="785">
        <f>AG14*AK14</f>
        <v>1440</v>
      </c>
      <c r="AM14" s="260"/>
      <c r="AN14" s="308"/>
      <c r="AO14" s="309"/>
      <c r="AU14" s="252"/>
    </row>
    <row r="15" spans="1:1025" s="802" customFormat="1" ht="30.75" customHeight="1" thickBot="1">
      <c r="A15" s="915" t="s">
        <v>323</v>
      </c>
      <c r="B15" s="916">
        <f>SUM(B7:B14)</f>
        <v>11764</v>
      </c>
      <c r="C15" s="917">
        <f>SUM(C7:C14)</f>
        <v>4142</v>
      </c>
      <c r="D15" s="918">
        <f>SUM(D7:D14)</f>
        <v>0</v>
      </c>
      <c r="E15" s="918"/>
      <c r="F15" s="919"/>
      <c r="G15" s="920">
        <f>SUM(G7:G14)</f>
        <v>44238.75</v>
      </c>
      <c r="H15" s="921">
        <f>SUM(H7:H14)</f>
        <v>0</v>
      </c>
      <c r="I15" s="789" t="e">
        <f>#REF!</f>
        <v>#REF!</v>
      </c>
      <c r="J15" s="787" t="e">
        <f>#REF!</f>
        <v>#REF!</v>
      </c>
      <c r="K15" s="787"/>
      <c r="L15" s="787"/>
      <c r="M15" s="787">
        <f>D40</f>
        <v>434504.69999999995</v>
      </c>
      <c r="N15" s="787">
        <f>D46</f>
        <v>278570.212</v>
      </c>
      <c r="O15" s="788">
        <f>SUM(O7:O14)</f>
        <v>0</v>
      </c>
      <c r="P15" s="790"/>
      <c r="Q15" s="791"/>
      <c r="R15" s="792" t="s">
        <v>324</v>
      </c>
      <c r="S15" s="793">
        <v>1648.7</v>
      </c>
      <c r="T15" s="794"/>
      <c r="U15" s="795">
        <f>+S15*T15</f>
        <v>0</v>
      </c>
      <c r="V15" s="796" t="s">
        <v>325</v>
      </c>
      <c r="W15" s="797">
        <v>26.501300000000001</v>
      </c>
      <c r="X15" s="797"/>
      <c r="Y15" s="798">
        <f t="shared" si="1"/>
        <v>0</v>
      </c>
      <c r="Z15" s="791"/>
      <c r="AA15" s="792"/>
      <c r="AB15" s="799"/>
      <c r="AC15" s="770" t="s">
        <v>141</v>
      </c>
      <c r="AD15" s="771">
        <v>11</v>
      </c>
      <c r="AE15" s="771">
        <v>8</v>
      </c>
      <c r="AF15" s="771">
        <v>6</v>
      </c>
      <c r="AG15" s="771">
        <f>AD15*AE15*AF15</f>
        <v>528</v>
      </c>
      <c r="AH15" s="771">
        <v>10</v>
      </c>
      <c r="AI15" s="771">
        <f>AG15*AH15</f>
        <v>5280</v>
      </c>
      <c r="AJ15" s="772">
        <f>AI15*9.55</f>
        <v>50424.000000000007</v>
      </c>
      <c r="AK15" s="773">
        <v>120</v>
      </c>
      <c r="AL15" s="772">
        <f>AG15*AK15</f>
        <v>63360</v>
      </c>
      <c r="AM15" s="800"/>
      <c r="AN15" s="799"/>
      <c r="AO15" s="799"/>
      <c r="AP15" s="801"/>
      <c r="AQ15" s="801"/>
      <c r="AR15" s="801"/>
      <c r="AS15" s="801"/>
      <c r="AT15" s="801"/>
      <c r="AU15" s="791"/>
      <c r="AV15" s="791"/>
      <c r="AW15" s="791"/>
      <c r="AX15" s="791"/>
      <c r="AY15" s="791"/>
      <c r="AZ15" s="791"/>
      <c r="BA15" s="791"/>
      <c r="BB15" s="791"/>
      <c r="BC15" s="791"/>
      <c r="BD15" s="791"/>
      <c r="BE15" s="791"/>
      <c r="BF15" s="791"/>
      <c r="BG15" s="791"/>
      <c r="BH15" s="791"/>
      <c r="BI15" s="791"/>
      <c r="BJ15" s="791"/>
      <c r="BK15" s="791"/>
      <c r="BL15" s="791"/>
      <c r="BM15" s="791"/>
      <c r="BN15" s="791"/>
      <c r="BO15" s="791"/>
      <c r="BP15" s="791"/>
      <c r="BQ15" s="791"/>
      <c r="BR15" s="791"/>
      <c r="BS15" s="791"/>
      <c r="BT15" s="791"/>
      <c r="BU15" s="791"/>
      <c r="BV15" s="791"/>
      <c r="BW15" s="791"/>
      <c r="BX15" s="791"/>
      <c r="BY15" s="791"/>
      <c r="BZ15" s="791"/>
      <c r="CA15" s="791"/>
      <c r="CB15" s="791"/>
      <c r="CC15" s="791"/>
      <c r="CD15" s="791"/>
      <c r="CE15" s="791"/>
      <c r="CF15" s="791"/>
      <c r="CG15" s="791"/>
      <c r="CH15" s="791"/>
      <c r="CI15" s="791"/>
      <c r="CJ15" s="791"/>
      <c r="CK15" s="791"/>
      <c r="CL15" s="791"/>
      <c r="CM15" s="791"/>
      <c r="CN15" s="791"/>
      <c r="CO15" s="791"/>
      <c r="CP15" s="791"/>
      <c r="CQ15" s="791"/>
      <c r="CR15" s="791"/>
      <c r="CS15" s="791"/>
      <c r="CT15" s="791"/>
      <c r="CU15" s="791"/>
      <c r="CV15" s="791"/>
      <c r="CW15" s="791"/>
      <c r="CX15" s="791"/>
      <c r="CY15" s="791"/>
      <c r="CZ15" s="791"/>
      <c r="DA15" s="791"/>
      <c r="DB15" s="791"/>
      <c r="DC15" s="791"/>
      <c r="DD15" s="791"/>
      <c r="DE15" s="791"/>
      <c r="DF15" s="791"/>
      <c r="DG15" s="791"/>
      <c r="DH15" s="791"/>
      <c r="DI15" s="791"/>
      <c r="DJ15" s="791"/>
      <c r="DK15" s="791"/>
      <c r="DL15" s="791"/>
      <c r="DM15" s="791"/>
      <c r="DN15" s="791"/>
      <c r="DO15" s="791"/>
      <c r="DP15" s="791"/>
      <c r="DQ15" s="791"/>
      <c r="DR15" s="791"/>
      <c r="DS15" s="791"/>
      <c r="DT15" s="791"/>
      <c r="DU15" s="791"/>
      <c r="DV15" s="791"/>
      <c r="DW15" s="791"/>
      <c r="DX15" s="791"/>
      <c r="DY15" s="791"/>
      <c r="DZ15" s="791"/>
      <c r="EA15" s="791"/>
      <c r="EB15" s="791"/>
      <c r="EC15" s="791"/>
      <c r="ED15" s="791"/>
      <c r="EE15" s="791"/>
      <c r="EF15" s="791"/>
      <c r="EG15" s="791"/>
      <c r="EH15" s="791"/>
      <c r="EI15" s="791"/>
      <c r="EJ15" s="791"/>
      <c r="EK15" s="791"/>
      <c r="EL15" s="791"/>
      <c r="EM15" s="791"/>
      <c r="EN15" s="791"/>
      <c r="EO15" s="791"/>
      <c r="EP15" s="791"/>
      <c r="EQ15" s="791"/>
      <c r="ER15" s="791"/>
      <c r="ES15" s="791"/>
      <c r="ET15" s="791"/>
      <c r="EU15" s="791"/>
      <c r="EV15" s="791"/>
      <c r="EW15" s="791"/>
      <c r="EX15" s="791"/>
      <c r="EY15" s="791"/>
      <c r="EZ15" s="791"/>
      <c r="FA15" s="791"/>
      <c r="FB15" s="791"/>
      <c r="FC15" s="791"/>
      <c r="FD15" s="791"/>
      <c r="FE15" s="791"/>
      <c r="FF15" s="791"/>
      <c r="FG15" s="791"/>
      <c r="FH15" s="791"/>
      <c r="FI15" s="791"/>
      <c r="FJ15" s="791"/>
      <c r="FK15" s="791"/>
      <c r="FL15" s="791"/>
      <c r="FM15" s="791"/>
      <c r="FN15" s="791"/>
      <c r="FO15" s="791"/>
      <c r="FP15" s="791"/>
      <c r="FQ15" s="791"/>
      <c r="FR15" s="791"/>
      <c r="FS15" s="791"/>
      <c r="FT15" s="791"/>
      <c r="FU15" s="791"/>
      <c r="FV15" s="791"/>
      <c r="FW15" s="791"/>
      <c r="FX15" s="791"/>
      <c r="FY15" s="791"/>
      <c r="FZ15" s="791"/>
      <c r="GA15" s="791"/>
      <c r="GB15" s="791"/>
      <c r="GC15" s="791"/>
      <c r="GD15" s="791"/>
      <c r="GE15" s="791"/>
      <c r="GF15" s="791"/>
      <c r="GG15" s="791"/>
      <c r="GH15" s="791"/>
      <c r="GI15" s="791"/>
      <c r="GJ15" s="791"/>
      <c r="GK15" s="791"/>
      <c r="GL15" s="791"/>
      <c r="GM15" s="791"/>
      <c r="GN15" s="791"/>
      <c r="GO15" s="791"/>
      <c r="GP15" s="791"/>
      <c r="GQ15" s="791"/>
      <c r="GR15" s="791"/>
      <c r="GS15" s="791"/>
      <c r="GT15" s="791"/>
      <c r="GU15" s="791"/>
      <c r="GV15" s="791"/>
      <c r="GW15" s="791"/>
      <c r="GX15" s="791"/>
      <c r="GY15" s="791"/>
      <c r="GZ15" s="791"/>
      <c r="HA15" s="791"/>
      <c r="HB15" s="791"/>
      <c r="HC15" s="791"/>
      <c r="HD15" s="791"/>
      <c r="HE15" s="791"/>
      <c r="HF15" s="791"/>
      <c r="HG15" s="791"/>
      <c r="HH15" s="791"/>
      <c r="HI15" s="791"/>
      <c r="HJ15" s="791"/>
      <c r="HK15" s="791"/>
      <c r="HL15" s="791"/>
      <c r="HM15" s="791"/>
      <c r="HN15" s="791"/>
      <c r="HO15" s="791"/>
      <c r="HP15" s="791"/>
      <c r="HQ15" s="791"/>
      <c r="HR15" s="791"/>
      <c r="HS15" s="791"/>
      <c r="HT15" s="791"/>
      <c r="HU15" s="791"/>
      <c r="HV15" s="791"/>
      <c r="HW15" s="791"/>
      <c r="HX15" s="791"/>
      <c r="HY15" s="791"/>
      <c r="HZ15" s="791"/>
      <c r="IA15" s="791"/>
      <c r="IB15" s="791"/>
      <c r="IC15" s="791"/>
      <c r="ID15" s="791"/>
      <c r="IE15" s="791"/>
      <c r="IF15" s="791"/>
      <c r="IG15" s="791"/>
      <c r="IH15" s="791"/>
      <c r="II15" s="791"/>
      <c r="IJ15" s="791"/>
      <c r="IK15" s="791"/>
      <c r="IL15" s="791"/>
      <c r="IM15" s="791"/>
      <c r="IN15" s="791"/>
      <c r="IO15" s="791"/>
      <c r="IP15" s="791"/>
      <c r="IQ15" s="791"/>
      <c r="IR15" s="791"/>
      <c r="IS15" s="791"/>
      <c r="IT15" s="791"/>
      <c r="IU15" s="791"/>
      <c r="IV15" s="791"/>
      <c r="IW15" s="791"/>
      <c r="IX15" s="791"/>
      <c r="IY15" s="791"/>
      <c r="IZ15" s="791"/>
      <c r="JA15" s="791"/>
      <c r="JB15" s="791"/>
      <c r="JC15" s="791"/>
      <c r="JD15" s="791"/>
      <c r="JE15" s="791"/>
      <c r="JF15" s="791"/>
      <c r="JG15" s="791"/>
      <c r="JH15" s="791"/>
      <c r="JI15" s="791"/>
      <c r="JJ15" s="791"/>
      <c r="JK15" s="791"/>
      <c r="JL15" s="791"/>
      <c r="JM15" s="791"/>
      <c r="JN15" s="791"/>
      <c r="JO15" s="791"/>
      <c r="JP15" s="791"/>
      <c r="JQ15" s="791"/>
      <c r="JR15" s="791"/>
      <c r="JS15" s="791"/>
      <c r="JT15" s="791"/>
      <c r="JU15" s="791"/>
      <c r="JV15" s="791"/>
      <c r="JW15" s="791"/>
      <c r="JX15" s="791"/>
      <c r="JY15" s="791"/>
      <c r="JZ15" s="791"/>
      <c r="KA15" s="791"/>
      <c r="KB15" s="791"/>
      <c r="KC15" s="791"/>
      <c r="KD15" s="791"/>
      <c r="KE15" s="791"/>
      <c r="KF15" s="791"/>
      <c r="KG15" s="791"/>
      <c r="KH15" s="791"/>
      <c r="KI15" s="791"/>
      <c r="KJ15" s="791"/>
      <c r="KK15" s="791"/>
      <c r="KL15" s="791"/>
      <c r="KM15" s="791"/>
      <c r="KN15" s="791"/>
      <c r="KO15" s="791"/>
      <c r="KP15" s="791"/>
      <c r="KQ15" s="791"/>
      <c r="KR15" s="791"/>
      <c r="KS15" s="791"/>
      <c r="KT15" s="791"/>
      <c r="KU15" s="791"/>
      <c r="KV15" s="791"/>
      <c r="KW15" s="791"/>
      <c r="KX15" s="791"/>
      <c r="KY15" s="791"/>
      <c r="KZ15" s="791"/>
      <c r="LA15" s="791"/>
      <c r="LB15" s="791"/>
      <c r="LC15" s="791"/>
      <c r="LD15" s="791"/>
      <c r="LE15" s="791"/>
      <c r="LF15" s="791"/>
      <c r="LG15" s="791"/>
      <c r="LH15" s="791"/>
      <c r="LI15" s="791"/>
      <c r="LJ15" s="791"/>
      <c r="LK15" s="791"/>
      <c r="LL15" s="791"/>
      <c r="LM15" s="791"/>
      <c r="LN15" s="791"/>
      <c r="LO15" s="791"/>
      <c r="LP15" s="791"/>
      <c r="LQ15" s="791"/>
      <c r="LR15" s="791"/>
      <c r="LS15" s="791"/>
      <c r="LT15" s="791"/>
      <c r="LU15" s="791"/>
      <c r="LV15" s="791"/>
      <c r="LW15" s="791"/>
      <c r="LX15" s="791"/>
      <c r="LY15" s="791"/>
      <c r="LZ15" s="791"/>
      <c r="MA15" s="791"/>
      <c r="MB15" s="791"/>
      <c r="MC15" s="791"/>
      <c r="MD15" s="791"/>
      <c r="ME15" s="791"/>
      <c r="MF15" s="791"/>
      <c r="MG15" s="791"/>
      <c r="MH15" s="791"/>
      <c r="MI15" s="791"/>
      <c r="MJ15" s="791"/>
      <c r="MK15" s="791"/>
      <c r="ML15" s="791"/>
      <c r="MM15" s="791"/>
      <c r="MN15" s="791"/>
      <c r="MO15" s="791"/>
      <c r="MP15" s="791"/>
      <c r="MQ15" s="791"/>
      <c r="MR15" s="791"/>
      <c r="MS15" s="791"/>
      <c r="MT15" s="791"/>
      <c r="MU15" s="791"/>
      <c r="MV15" s="791"/>
      <c r="MW15" s="791"/>
      <c r="MX15" s="791"/>
      <c r="MY15" s="791"/>
      <c r="MZ15" s="791"/>
      <c r="NA15" s="791"/>
      <c r="NB15" s="791"/>
      <c r="NC15" s="791"/>
      <c r="ND15" s="791"/>
      <c r="NE15" s="791"/>
      <c r="NF15" s="791"/>
      <c r="NG15" s="791"/>
      <c r="NH15" s="791"/>
      <c r="NI15" s="791"/>
      <c r="NJ15" s="791"/>
      <c r="NK15" s="791"/>
      <c r="NL15" s="791"/>
      <c r="NM15" s="791"/>
      <c r="NN15" s="791"/>
      <c r="NO15" s="791"/>
      <c r="NP15" s="791"/>
      <c r="NQ15" s="791"/>
      <c r="NR15" s="791"/>
      <c r="NS15" s="791"/>
      <c r="NT15" s="791"/>
      <c r="NU15" s="791"/>
      <c r="NV15" s="791"/>
      <c r="NW15" s="791"/>
      <c r="NX15" s="791"/>
      <c r="NY15" s="791"/>
      <c r="NZ15" s="791"/>
      <c r="OA15" s="791"/>
      <c r="OB15" s="791"/>
      <c r="OC15" s="791"/>
      <c r="OD15" s="791"/>
      <c r="OE15" s="791"/>
      <c r="OF15" s="791"/>
      <c r="OG15" s="791"/>
      <c r="OH15" s="791"/>
      <c r="OI15" s="791"/>
      <c r="OJ15" s="791"/>
      <c r="OK15" s="791"/>
      <c r="OL15" s="791"/>
      <c r="OM15" s="791"/>
      <c r="ON15" s="791"/>
      <c r="OO15" s="791"/>
      <c r="OP15" s="791"/>
      <c r="OQ15" s="791"/>
      <c r="OR15" s="791"/>
      <c r="OS15" s="791"/>
      <c r="OT15" s="791"/>
      <c r="OU15" s="791"/>
      <c r="OV15" s="791"/>
      <c r="OW15" s="791"/>
      <c r="OX15" s="791"/>
      <c r="OY15" s="791"/>
      <c r="OZ15" s="791"/>
      <c r="PA15" s="791"/>
      <c r="PB15" s="791"/>
      <c r="PC15" s="791"/>
      <c r="PD15" s="791"/>
      <c r="PE15" s="791"/>
      <c r="PF15" s="791"/>
      <c r="PG15" s="791"/>
      <c r="PH15" s="791"/>
      <c r="PI15" s="791"/>
      <c r="PJ15" s="791"/>
      <c r="PK15" s="791"/>
      <c r="PL15" s="791"/>
      <c r="PM15" s="791"/>
      <c r="PN15" s="791"/>
      <c r="PO15" s="791"/>
      <c r="PP15" s="791"/>
      <c r="PQ15" s="791"/>
      <c r="PR15" s="791"/>
      <c r="PS15" s="791"/>
      <c r="PT15" s="791"/>
      <c r="PU15" s="791"/>
      <c r="PV15" s="791"/>
      <c r="PW15" s="791"/>
      <c r="PX15" s="791"/>
      <c r="PY15" s="791"/>
      <c r="PZ15" s="791"/>
      <c r="QA15" s="791"/>
      <c r="QB15" s="791"/>
      <c r="QC15" s="791"/>
      <c r="QD15" s="791"/>
      <c r="QE15" s="791"/>
      <c r="QF15" s="791"/>
      <c r="QG15" s="791"/>
      <c r="QH15" s="791"/>
      <c r="QI15" s="791"/>
      <c r="QJ15" s="791"/>
      <c r="QK15" s="791"/>
      <c r="QL15" s="791"/>
      <c r="QM15" s="791"/>
      <c r="QN15" s="791"/>
      <c r="QO15" s="791"/>
      <c r="QP15" s="791"/>
      <c r="QQ15" s="791"/>
      <c r="QR15" s="791"/>
      <c r="QS15" s="791"/>
      <c r="QT15" s="791"/>
      <c r="QU15" s="791"/>
      <c r="QV15" s="791"/>
      <c r="QW15" s="791"/>
      <c r="QX15" s="791"/>
      <c r="QY15" s="791"/>
      <c r="QZ15" s="791"/>
      <c r="RA15" s="791"/>
      <c r="RB15" s="791"/>
      <c r="RC15" s="791"/>
      <c r="RD15" s="791"/>
      <c r="RE15" s="791"/>
      <c r="RF15" s="791"/>
      <c r="RG15" s="791"/>
      <c r="RH15" s="791"/>
      <c r="RI15" s="791"/>
      <c r="RJ15" s="791"/>
      <c r="RK15" s="791"/>
      <c r="RL15" s="791"/>
      <c r="RM15" s="791"/>
      <c r="RN15" s="791"/>
      <c r="RO15" s="791"/>
      <c r="RP15" s="791"/>
      <c r="RQ15" s="791"/>
      <c r="RR15" s="791"/>
      <c r="RS15" s="791"/>
      <c r="RT15" s="791"/>
      <c r="RU15" s="791"/>
      <c r="RV15" s="791"/>
      <c r="RW15" s="791"/>
      <c r="RX15" s="791"/>
      <c r="RY15" s="791"/>
      <c r="RZ15" s="791"/>
      <c r="SA15" s="791"/>
      <c r="SB15" s="791"/>
      <c r="SC15" s="791"/>
      <c r="SD15" s="791"/>
      <c r="SE15" s="791"/>
      <c r="SF15" s="791"/>
      <c r="SG15" s="791"/>
      <c r="SH15" s="791"/>
      <c r="SI15" s="791"/>
      <c r="SJ15" s="791"/>
      <c r="SK15" s="791"/>
      <c r="SL15" s="791"/>
      <c r="SM15" s="791"/>
      <c r="SN15" s="791"/>
      <c r="SO15" s="791"/>
      <c r="SP15" s="791"/>
      <c r="SQ15" s="791"/>
      <c r="SR15" s="791"/>
      <c r="SS15" s="791"/>
      <c r="ST15" s="791"/>
      <c r="SU15" s="791"/>
      <c r="SV15" s="791"/>
      <c r="SW15" s="791"/>
      <c r="SX15" s="791"/>
      <c r="SY15" s="791"/>
      <c r="SZ15" s="791"/>
      <c r="TA15" s="791"/>
      <c r="TB15" s="791"/>
      <c r="TC15" s="791"/>
      <c r="TD15" s="791"/>
      <c r="TE15" s="791"/>
      <c r="TF15" s="791"/>
      <c r="TG15" s="791"/>
      <c r="TH15" s="791"/>
      <c r="TI15" s="791"/>
      <c r="TJ15" s="791"/>
      <c r="TK15" s="791"/>
      <c r="TL15" s="791"/>
      <c r="TM15" s="791"/>
      <c r="TN15" s="791"/>
      <c r="TO15" s="791"/>
      <c r="TP15" s="791"/>
      <c r="TQ15" s="791"/>
      <c r="TR15" s="791"/>
      <c r="TS15" s="791"/>
      <c r="TT15" s="791"/>
      <c r="TU15" s="791"/>
      <c r="TV15" s="791"/>
      <c r="TW15" s="791"/>
      <c r="TX15" s="791"/>
      <c r="TY15" s="791"/>
      <c r="TZ15" s="791"/>
      <c r="UA15" s="791"/>
      <c r="UB15" s="791"/>
      <c r="UC15" s="791"/>
      <c r="UD15" s="791"/>
      <c r="UE15" s="791"/>
      <c r="UF15" s="791"/>
      <c r="UG15" s="791"/>
      <c r="UH15" s="791"/>
      <c r="UI15" s="791"/>
      <c r="UJ15" s="791"/>
      <c r="UK15" s="791"/>
      <c r="UL15" s="791"/>
      <c r="UM15" s="791"/>
      <c r="UN15" s="791"/>
      <c r="UO15" s="791"/>
      <c r="UP15" s="791"/>
      <c r="UQ15" s="791"/>
      <c r="UR15" s="791"/>
      <c r="US15" s="791"/>
      <c r="UT15" s="791"/>
      <c r="UU15" s="791"/>
      <c r="UV15" s="791"/>
      <c r="UW15" s="791"/>
      <c r="UX15" s="791"/>
      <c r="UY15" s="791"/>
      <c r="UZ15" s="791"/>
      <c r="VA15" s="791"/>
      <c r="VB15" s="791"/>
      <c r="VC15" s="791"/>
      <c r="VD15" s="791"/>
      <c r="VE15" s="791"/>
      <c r="VF15" s="791"/>
      <c r="VG15" s="791"/>
      <c r="VH15" s="791"/>
      <c r="VI15" s="791"/>
      <c r="VJ15" s="791"/>
      <c r="VK15" s="791"/>
      <c r="VL15" s="791"/>
      <c r="VM15" s="791"/>
      <c r="VN15" s="791"/>
      <c r="VO15" s="791"/>
      <c r="VP15" s="791"/>
      <c r="VQ15" s="791"/>
      <c r="VR15" s="791"/>
      <c r="VS15" s="791"/>
      <c r="VT15" s="791"/>
      <c r="VU15" s="791"/>
      <c r="VV15" s="791"/>
      <c r="VW15" s="791"/>
      <c r="VX15" s="791"/>
      <c r="VY15" s="791"/>
      <c r="VZ15" s="791"/>
      <c r="WA15" s="791"/>
      <c r="WB15" s="791"/>
      <c r="WC15" s="791"/>
      <c r="WD15" s="791"/>
      <c r="WE15" s="791"/>
      <c r="WF15" s="791"/>
      <c r="WG15" s="791"/>
      <c r="WH15" s="791"/>
      <c r="WI15" s="791"/>
      <c r="WJ15" s="791"/>
      <c r="WK15" s="791"/>
      <c r="WL15" s="791"/>
      <c r="WM15" s="791"/>
      <c r="WN15" s="791"/>
      <c r="WO15" s="791"/>
      <c r="WP15" s="791"/>
      <c r="WQ15" s="791"/>
      <c r="WR15" s="791"/>
      <c r="WS15" s="791"/>
      <c r="WT15" s="791"/>
      <c r="WU15" s="791"/>
      <c r="WV15" s="791"/>
      <c r="WW15" s="791"/>
      <c r="WX15" s="791"/>
      <c r="WY15" s="791"/>
      <c r="WZ15" s="791"/>
      <c r="XA15" s="791"/>
      <c r="XB15" s="791"/>
      <c r="XC15" s="791"/>
      <c r="XD15" s="791"/>
      <c r="XE15" s="791"/>
      <c r="XF15" s="791"/>
      <c r="XG15" s="791"/>
      <c r="XH15" s="791"/>
      <c r="XI15" s="791"/>
      <c r="XJ15" s="791"/>
      <c r="XK15" s="791"/>
      <c r="XL15" s="791"/>
      <c r="XM15" s="791"/>
      <c r="XN15" s="791"/>
      <c r="XO15" s="791"/>
      <c r="XP15" s="791"/>
      <c r="XQ15" s="791"/>
      <c r="XR15" s="791"/>
      <c r="XS15" s="791"/>
      <c r="XT15" s="791"/>
      <c r="XU15" s="791"/>
      <c r="XV15" s="791"/>
      <c r="XW15" s="791"/>
      <c r="XX15" s="791"/>
      <c r="XY15" s="791"/>
      <c r="XZ15" s="791"/>
      <c r="YA15" s="791"/>
      <c r="YB15" s="791"/>
      <c r="YC15" s="791"/>
      <c r="YD15" s="791"/>
      <c r="YE15" s="791"/>
      <c r="YF15" s="791"/>
      <c r="YG15" s="791"/>
      <c r="YH15" s="791"/>
      <c r="YI15" s="791"/>
      <c r="YJ15" s="791"/>
      <c r="YK15" s="791"/>
      <c r="YL15" s="791"/>
      <c r="YM15" s="791"/>
      <c r="YN15" s="791"/>
      <c r="YO15" s="791"/>
      <c r="YP15" s="791"/>
      <c r="YQ15" s="791"/>
      <c r="YR15" s="791"/>
      <c r="YS15" s="791"/>
      <c r="YT15" s="791"/>
      <c r="YU15" s="791"/>
      <c r="YV15" s="791"/>
      <c r="YW15" s="791"/>
      <c r="YX15" s="791"/>
      <c r="YY15" s="791"/>
      <c r="YZ15" s="791"/>
      <c r="ZA15" s="791"/>
      <c r="ZB15" s="791"/>
      <c r="ZC15" s="791"/>
      <c r="ZD15" s="791"/>
      <c r="ZE15" s="791"/>
      <c r="ZF15" s="791"/>
      <c r="ZG15" s="791"/>
      <c r="ZH15" s="791"/>
      <c r="ZI15" s="791"/>
      <c r="ZJ15" s="791"/>
      <c r="ZK15" s="791"/>
      <c r="ZL15" s="791"/>
      <c r="ZM15" s="791"/>
      <c r="ZN15" s="791"/>
      <c r="ZO15" s="791"/>
      <c r="ZP15" s="791"/>
      <c r="ZQ15" s="791"/>
      <c r="ZR15" s="791"/>
      <c r="ZS15" s="791"/>
      <c r="ZT15" s="791"/>
      <c r="ZU15" s="791"/>
      <c r="ZV15" s="791"/>
      <c r="ZW15" s="791"/>
      <c r="ZX15" s="791"/>
      <c r="ZY15" s="791"/>
      <c r="ZZ15" s="791"/>
      <c r="AAA15" s="791"/>
      <c r="AAB15" s="791"/>
      <c r="AAC15" s="791"/>
      <c r="AAD15" s="791"/>
      <c r="AAE15" s="791"/>
      <c r="AAF15" s="791"/>
      <c r="AAG15" s="791"/>
      <c r="AAH15" s="791"/>
      <c r="AAI15" s="791"/>
      <c r="AAJ15" s="791"/>
      <c r="AAK15" s="791"/>
      <c r="AAL15" s="791"/>
      <c r="AAM15" s="791"/>
      <c r="AAN15" s="791"/>
      <c r="AAO15" s="791"/>
      <c r="AAP15" s="791"/>
      <c r="AAQ15" s="791"/>
      <c r="AAR15" s="791"/>
      <c r="AAS15" s="791"/>
      <c r="AAT15" s="791"/>
      <c r="AAU15" s="791"/>
      <c r="AAV15" s="791"/>
      <c r="AAW15" s="791"/>
      <c r="AAX15" s="791"/>
      <c r="AAY15" s="791"/>
      <c r="AAZ15" s="791"/>
      <c r="ABA15" s="791"/>
      <c r="ABB15" s="791"/>
      <c r="ABC15" s="791"/>
      <c r="ABD15" s="791"/>
      <c r="ABE15" s="791"/>
      <c r="ABF15" s="791"/>
      <c r="ABG15" s="791"/>
      <c r="ABH15" s="791"/>
      <c r="ABI15" s="791"/>
      <c r="ABJ15" s="791"/>
      <c r="ABK15" s="791"/>
      <c r="ABL15" s="791"/>
      <c r="ABM15" s="791"/>
      <c r="ABN15" s="791"/>
      <c r="ABO15" s="791"/>
      <c r="ABP15" s="791"/>
      <c r="ABQ15" s="791"/>
      <c r="ABR15" s="791"/>
      <c r="ABS15" s="791"/>
      <c r="ABT15" s="791"/>
      <c r="ABU15" s="791"/>
      <c r="ABV15" s="791"/>
      <c r="ABW15" s="791"/>
      <c r="ABX15" s="791"/>
      <c r="ABY15" s="791"/>
      <c r="ABZ15" s="791"/>
      <c r="ACA15" s="791"/>
      <c r="ACB15" s="791"/>
      <c r="ACC15" s="791"/>
      <c r="ACD15" s="791"/>
      <c r="ACE15" s="791"/>
      <c r="ACF15" s="791"/>
      <c r="ACG15" s="791"/>
      <c r="ACH15" s="791"/>
      <c r="ACI15" s="791"/>
      <c r="ACJ15" s="791"/>
      <c r="ACK15" s="791"/>
      <c r="ACL15" s="791"/>
      <c r="ACM15" s="791"/>
      <c r="ACN15" s="791"/>
      <c r="ACO15" s="791"/>
      <c r="ACP15" s="791"/>
      <c r="ACQ15" s="791"/>
      <c r="ACR15" s="791"/>
      <c r="ACS15" s="791"/>
      <c r="ACT15" s="791"/>
      <c r="ACU15" s="791"/>
      <c r="ACV15" s="791"/>
      <c r="ACW15" s="791"/>
      <c r="ACX15" s="791"/>
      <c r="ACY15" s="791"/>
      <c r="ACZ15" s="791"/>
      <c r="ADA15" s="791"/>
      <c r="ADB15" s="791"/>
      <c r="ADC15" s="791"/>
      <c r="ADD15" s="791"/>
      <c r="ADE15" s="791"/>
      <c r="ADF15" s="791"/>
      <c r="ADG15" s="791"/>
      <c r="ADH15" s="791"/>
      <c r="ADI15" s="791"/>
      <c r="ADJ15" s="791"/>
      <c r="ADK15" s="791"/>
      <c r="ADL15" s="791"/>
      <c r="ADM15" s="791"/>
      <c r="ADN15" s="791"/>
      <c r="ADO15" s="791"/>
      <c r="ADP15" s="791"/>
      <c r="ADQ15" s="791"/>
      <c r="ADR15" s="791"/>
      <c r="ADS15" s="791"/>
      <c r="ADT15" s="791"/>
      <c r="ADU15" s="791"/>
      <c r="ADV15" s="791"/>
      <c r="ADW15" s="791"/>
      <c r="ADX15" s="791"/>
      <c r="ADY15" s="791"/>
      <c r="ADZ15" s="791"/>
      <c r="AEA15" s="791"/>
      <c r="AEB15" s="791"/>
      <c r="AEC15" s="791"/>
      <c r="AED15" s="791"/>
      <c r="AEE15" s="791"/>
      <c r="AEF15" s="791"/>
      <c r="AEG15" s="791"/>
      <c r="AEH15" s="791"/>
      <c r="AEI15" s="791"/>
      <c r="AEJ15" s="791"/>
      <c r="AEK15" s="791"/>
      <c r="AEL15" s="791"/>
      <c r="AEM15" s="791"/>
      <c r="AEN15" s="791"/>
      <c r="AEO15" s="791"/>
      <c r="AEP15" s="791"/>
      <c r="AEQ15" s="791"/>
      <c r="AER15" s="791"/>
      <c r="AES15" s="791"/>
      <c r="AET15" s="791"/>
      <c r="AEU15" s="791"/>
      <c r="AEV15" s="791"/>
      <c r="AEW15" s="791"/>
      <c r="AEX15" s="791"/>
      <c r="AEY15" s="791"/>
      <c r="AEZ15" s="791"/>
      <c r="AFA15" s="791"/>
      <c r="AFB15" s="791"/>
      <c r="AFC15" s="791"/>
      <c r="AFD15" s="791"/>
      <c r="AFE15" s="791"/>
      <c r="AFF15" s="791"/>
      <c r="AFG15" s="791"/>
      <c r="AFH15" s="791"/>
      <c r="AFI15" s="791"/>
      <c r="AFJ15" s="791"/>
      <c r="AFK15" s="791"/>
      <c r="AFL15" s="791"/>
      <c r="AFM15" s="791"/>
      <c r="AFN15" s="791"/>
      <c r="AFO15" s="791"/>
      <c r="AFP15" s="791"/>
      <c r="AFQ15" s="791"/>
      <c r="AFR15" s="791"/>
      <c r="AFS15" s="791"/>
      <c r="AFT15" s="791"/>
      <c r="AFU15" s="791"/>
      <c r="AFV15" s="791"/>
      <c r="AFW15" s="791"/>
      <c r="AFX15" s="791"/>
      <c r="AFY15" s="791"/>
      <c r="AFZ15" s="791"/>
      <c r="AGA15" s="791"/>
      <c r="AGB15" s="791"/>
      <c r="AGC15" s="791"/>
      <c r="AGD15" s="791"/>
      <c r="AGE15" s="791"/>
      <c r="AGF15" s="791"/>
      <c r="AGG15" s="791"/>
      <c r="AGH15" s="791"/>
      <c r="AGI15" s="791"/>
      <c r="AGJ15" s="791"/>
      <c r="AGK15" s="791"/>
      <c r="AGL15" s="791"/>
      <c r="AGM15" s="791"/>
      <c r="AGN15" s="791"/>
      <c r="AGO15" s="791"/>
      <c r="AGP15" s="791"/>
      <c r="AGQ15" s="791"/>
      <c r="AGR15" s="791"/>
      <c r="AGS15" s="791"/>
      <c r="AGT15" s="791"/>
      <c r="AGU15" s="791"/>
      <c r="AGV15" s="791"/>
      <c r="AGW15" s="791"/>
      <c r="AGX15" s="791"/>
      <c r="AGY15" s="791"/>
      <c r="AGZ15" s="791"/>
      <c r="AHA15" s="791"/>
      <c r="AHB15" s="791"/>
      <c r="AHC15" s="791"/>
      <c r="AHD15" s="791"/>
      <c r="AHE15" s="791"/>
      <c r="AHF15" s="791"/>
      <c r="AHG15" s="791"/>
      <c r="AHH15" s="791"/>
      <c r="AHI15" s="791"/>
      <c r="AHJ15" s="791"/>
      <c r="AHK15" s="791"/>
      <c r="AHL15" s="791"/>
      <c r="AHM15" s="791"/>
      <c r="AHN15" s="791"/>
      <c r="AHO15" s="791"/>
      <c r="AHP15" s="791"/>
      <c r="AHQ15" s="791"/>
      <c r="AHR15" s="791"/>
      <c r="AHS15" s="791"/>
      <c r="AHT15" s="791"/>
      <c r="AHU15" s="791"/>
      <c r="AHV15" s="791"/>
      <c r="AHW15" s="791"/>
      <c r="AHX15" s="791"/>
      <c r="AHY15" s="791"/>
      <c r="AHZ15" s="791"/>
      <c r="AIA15" s="791"/>
      <c r="AIB15" s="791"/>
      <c r="AIC15" s="791"/>
      <c r="AID15" s="791"/>
      <c r="AIE15" s="791"/>
      <c r="AIF15" s="791"/>
      <c r="AIG15" s="791"/>
      <c r="AIH15" s="791"/>
      <c r="AII15" s="791"/>
      <c r="AIJ15" s="791"/>
      <c r="AIK15" s="791"/>
      <c r="AIL15" s="791"/>
      <c r="AIM15" s="791"/>
      <c r="AIN15" s="791"/>
      <c r="AIO15" s="791"/>
      <c r="AIP15" s="791"/>
      <c r="AIQ15" s="791"/>
      <c r="AIR15" s="791"/>
      <c r="AIS15" s="791"/>
      <c r="AIT15" s="791"/>
      <c r="AIU15" s="791"/>
      <c r="AIV15" s="791"/>
      <c r="AIW15" s="791"/>
      <c r="AIX15" s="791"/>
      <c r="AIY15" s="791"/>
      <c r="AIZ15" s="791"/>
      <c r="AJA15" s="791"/>
      <c r="AJB15" s="791"/>
      <c r="AJC15" s="791"/>
      <c r="AJD15" s="791"/>
      <c r="AJE15" s="791"/>
      <c r="AJF15" s="791"/>
      <c r="AJG15" s="791"/>
      <c r="AJH15" s="791"/>
      <c r="AJI15" s="791"/>
      <c r="AJJ15" s="791"/>
      <c r="AJK15" s="791"/>
      <c r="AJL15" s="791"/>
      <c r="AJM15" s="791"/>
      <c r="AJN15" s="791"/>
      <c r="AJO15" s="791"/>
      <c r="AJP15" s="791"/>
      <c r="AJQ15" s="791"/>
      <c r="AJR15" s="791"/>
      <c r="AJS15" s="791"/>
      <c r="AJT15" s="791"/>
      <c r="AJU15" s="791"/>
      <c r="AJV15" s="791"/>
      <c r="AJW15" s="791"/>
      <c r="AJX15" s="791"/>
      <c r="AJY15" s="791"/>
      <c r="AJZ15" s="791"/>
      <c r="AKA15" s="791"/>
      <c r="AKB15" s="791"/>
      <c r="AKC15" s="791"/>
      <c r="AKD15" s="791"/>
      <c r="AKE15" s="791"/>
      <c r="AKF15" s="791"/>
      <c r="AKG15" s="791"/>
      <c r="AKH15" s="791"/>
      <c r="AKI15" s="791"/>
      <c r="AKJ15" s="791"/>
      <c r="AKK15" s="791"/>
      <c r="AKL15" s="791"/>
      <c r="AKM15" s="791"/>
      <c r="AKN15" s="791"/>
      <c r="AKO15" s="791"/>
      <c r="AKP15" s="791"/>
      <c r="AKQ15" s="791"/>
      <c r="AKR15" s="791"/>
      <c r="AKS15" s="791"/>
      <c r="AKT15" s="791"/>
      <c r="AKU15" s="791"/>
      <c r="AKV15" s="791"/>
      <c r="AKW15" s="791"/>
      <c r="AKX15" s="791"/>
      <c r="AKY15" s="791"/>
      <c r="AKZ15" s="791"/>
      <c r="ALA15" s="791"/>
      <c r="ALB15" s="791"/>
      <c r="ALC15" s="791"/>
      <c r="ALD15" s="791"/>
      <c r="ALE15" s="791"/>
      <c r="ALF15" s="791"/>
      <c r="ALG15" s="791"/>
      <c r="ALH15" s="791"/>
      <c r="ALI15" s="791"/>
      <c r="ALJ15" s="791"/>
      <c r="ALK15" s="791"/>
      <c r="ALL15" s="791"/>
      <c r="ALM15" s="791"/>
      <c r="ALN15" s="791"/>
      <c r="ALO15" s="791"/>
      <c r="ALP15" s="791"/>
      <c r="ALQ15" s="791"/>
      <c r="ALR15" s="791"/>
      <c r="ALS15" s="791"/>
      <c r="ALT15" s="791"/>
      <c r="ALU15" s="791"/>
      <c r="ALV15" s="791"/>
      <c r="ALW15" s="791"/>
      <c r="ALX15" s="791"/>
      <c r="ALY15" s="791"/>
      <c r="ALZ15" s="791"/>
      <c r="AMA15" s="791"/>
      <c r="AMB15" s="791"/>
      <c r="AMC15" s="791"/>
      <c r="AMD15" s="791"/>
      <c r="AME15" s="791"/>
      <c r="AMF15" s="791"/>
      <c r="AMG15" s="791"/>
      <c r="AMH15" s="791"/>
      <c r="AMI15" s="791"/>
      <c r="AMJ15" s="791"/>
      <c r="AMK15" s="791"/>
    </row>
    <row r="16" spans="1:1025" s="85" customFormat="1" ht="30.75" customHeight="1" thickTop="1" thickBot="1">
      <c r="A16" s="630" t="s">
        <v>695</v>
      </c>
      <c r="C16" s="631" t="s">
        <v>665</v>
      </c>
      <c r="F16" s="632" t="s">
        <v>666</v>
      </c>
      <c r="G16" s="617"/>
      <c r="H16" s="616"/>
      <c r="I16" s="629"/>
      <c r="J16" s="629"/>
      <c r="K16" s="629"/>
      <c r="L16" s="629"/>
      <c r="M16" s="629"/>
      <c r="N16" s="629"/>
      <c r="O16" s="629"/>
      <c r="P16" s="628"/>
      <c r="Q16" s="135"/>
      <c r="R16" s="257"/>
      <c r="S16" s="296"/>
      <c r="T16" s="297"/>
      <c r="U16" s="321"/>
      <c r="V16" s="283"/>
      <c r="W16" s="284"/>
      <c r="X16" s="284"/>
      <c r="Y16" s="271"/>
      <c r="Z16" s="272"/>
      <c r="AA16" s="273"/>
      <c r="AB16" s="260"/>
      <c r="AC16" s="300"/>
      <c r="AD16" s="301"/>
      <c r="AE16" s="301"/>
      <c r="AF16" s="301"/>
      <c r="AG16" s="301"/>
      <c r="AH16" s="301"/>
      <c r="AI16" s="301"/>
      <c r="AJ16" s="302"/>
      <c r="AK16" s="303"/>
      <c r="AL16" s="302"/>
      <c r="AM16" s="289"/>
      <c r="AN16" s="260"/>
      <c r="AO16" s="260"/>
      <c r="AP16" s="252"/>
      <c r="AQ16" s="252"/>
      <c r="AR16" s="252"/>
      <c r="AS16" s="252"/>
      <c r="AT16" s="252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  <c r="DC16" s="135"/>
      <c r="DD16" s="135"/>
      <c r="DE16" s="135"/>
      <c r="DF16" s="135"/>
      <c r="DG16" s="135"/>
      <c r="DH16" s="135"/>
      <c r="DI16" s="135"/>
      <c r="DJ16" s="135"/>
      <c r="DK16" s="135"/>
      <c r="DL16" s="135"/>
      <c r="DM16" s="135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5"/>
      <c r="EE16" s="135"/>
      <c r="EF16" s="135"/>
      <c r="EG16" s="135"/>
      <c r="EH16" s="135"/>
      <c r="EI16" s="135"/>
      <c r="EJ16" s="135"/>
      <c r="EK16" s="135"/>
      <c r="EL16" s="135"/>
      <c r="EM16" s="135"/>
      <c r="EN16" s="135"/>
      <c r="EO16" s="135"/>
      <c r="EP16" s="135"/>
      <c r="EQ16" s="135"/>
      <c r="ER16" s="135"/>
      <c r="ES16" s="135"/>
      <c r="ET16" s="135"/>
      <c r="EU16" s="135"/>
      <c r="EV16" s="135"/>
      <c r="EW16" s="135"/>
      <c r="EX16" s="135"/>
      <c r="EY16" s="135"/>
      <c r="EZ16" s="135"/>
      <c r="FA16" s="135"/>
      <c r="FB16" s="135"/>
      <c r="FC16" s="135"/>
      <c r="FD16" s="135"/>
      <c r="FE16" s="135"/>
      <c r="FF16" s="135"/>
      <c r="FG16" s="135"/>
      <c r="FH16" s="135"/>
      <c r="FI16" s="135"/>
      <c r="FJ16" s="135"/>
      <c r="FK16" s="135"/>
      <c r="FL16" s="135"/>
      <c r="FM16" s="135"/>
      <c r="FN16" s="135"/>
      <c r="FO16" s="135"/>
      <c r="FP16" s="135"/>
      <c r="FQ16" s="135"/>
      <c r="FR16" s="135"/>
      <c r="FS16" s="135"/>
      <c r="FT16" s="135"/>
      <c r="FU16" s="135"/>
      <c r="FV16" s="135"/>
      <c r="FW16" s="135"/>
      <c r="FX16" s="135"/>
      <c r="FY16" s="135"/>
      <c r="FZ16" s="135"/>
      <c r="GA16" s="135"/>
      <c r="GB16" s="135"/>
      <c r="GC16" s="135"/>
      <c r="GD16" s="135"/>
      <c r="GE16" s="135"/>
      <c r="GF16" s="135"/>
      <c r="GG16" s="135"/>
      <c r="GH16" s="135"/>
      <c r="GI16" s="135"/>
      <c r="GJ16" s="135"/>
      <c r="GK16" s="135"/>
      <c r="GL16" s="135"/>
      <c r="GM16" s="135"/>
      <c r="GN16" s="135"/>
      <c r="GO16" s="135"/>
      <c r="GP16" s="135"/>
      <c r="GQ16" s="135"/>
      <c r="GR16" s="135"/>
      <c r="GS16" s="135"/>
      <c r="GT16" s="135"/>
      <c r="GU16" s="135"/>
      <c r="GV16" s="135"/>
      <c r="GW16" s="135"/>
      <c r="GX16" s="135"/>
      <c r="GY16" s="135"/>
      <c r="GZ16" s="135"/>
      <c r="HA16" s="135"/>
      <c r="HB16" s="135"/>
      <c r="HC16" s="135"/>
      <c r="HD16" s="135"/>
      <c r="HE16" s="135"/>
      <c r="HF16" s="135"/>
      <c r="HG16" s="135"/>
      <c r="HH16" s="135"/>
      <c r="HI16" s="135"/>
      <c r="HJ16" s="135"/>
      <c r="HK16" s="135"/>
      <c r="HL16" s="135"/>
      <c r="HM16" s="135"/>
      <c r="HN16" s="135"/>
      <c r="HO16" s="135"/>
      <c r="HP16" s="135"/>
      <c r="HQ16" s="135"/>
      <c r="HR16" s="135"/>
      <c r="HS16" s="135"/>
      <c r="HT16" s="135"/>
      <c r="HU16" s="135"/>
      <c r="HV16" s="135"/>
      <c r="HW16" s="135"/>
      <c r="HX16" s="135"/>
      <c r="HY16" s="135"/>
      <c r="HZ16" s="135"/>
      <c r="IA16" s="135"/>
      <c r="IB16" s="135"/>
      <c r="IC16" s="135"/>
      <c r="ID16" s="135"/>
      <c r="IE16" s="135"/>
      <c r="IF16" s="135"/>
      <c r="IG16" s="135"/>
      <c r="IH16" s="135"/>
      <c r="II16" s="135"/>
      <c r="IJ16" s="135"/>
      <c r="IK16" s="135"/>
      <c r="IL16" s="135"/>
      <c r="IM16" s="135"/>
      <c r="IN16" s="135"/>
      <c r="IO16" s="135"/>
      <c r="IP16" s="135"/>
      <c r="IQ16" s="135"/>
      <c r="IR16" s="135"/>
      <c r="IS16" s="135"/>
      <c r="IT16" s="135"/>
      <c r="IU16" s="135"/>
      <c r="IV16" s="135"/>
      <c r="IW16" s="135"/>
      <c r="IX16" s="135"/>
      <c r="IY16" s="135"/>
      <c r="IZ16" s="135"/>
      <c r="JA16" s="135"/>
      <c r="JB16" s="135"/>
      <c r="JC16" s="135"/>
      <c r="JD16" s="135"/>
      <c r="JE16" s="135"/>
      <c r="JF16" s="135"/>
      <c r="JG16" s="135"/>
      <c r="JH16" s="135"/>
      <c r="JI16" s="135"/>
      <c r="JJ16" s="135"/>
      <c r="JK16" s="135"/>
      <c r="JL16" s="135"/>
      <c r="JM16" s="135"/>
      <c r="JN16" s="135"/>
      <c r="JO16" s="135"/>
      <c r="JP16" s="135"/>
      <c r="JQ16" s="135"/>
      <c r="JR16" s="135"/>
      <c r="JS16" s="135"/>
      <c r="JT16" s="135"/>
      <c r="JU16" s="135"/>
      <c r="JV16" s="135"/>
      <c r="JW16" s="135"/>
      <c r="JX16" s="135"/>
      <c r="JY16" s="135"/>
      <c r="JZ16" s="135"/>
      <c r="KA16" s="135"/>
      <c r="KB16" s="135"/>
      <c r="KC16" s="135"/>
      <c r="KD16" s="135"/>
      <c r="KE16" s="135"/>
      <c r="KF16" s="135"/>
      <c r="KG16" s="135"/>
      <c r="KH16" s="135"/>
      <c r="KI16" s="135"/>
      <c r="KJ16" s="135"/>
      <c r="KK16" s="135"/>
      <c r="KL16" s="135"/>
      <c r="KM16" s="135"/>
      <c r="KN16" s="135"/>
      <c r="KO16" s="135"/>
      <c r="KP16" s="135"/>
      <c r="KQ16" s="135"/>
      <c r="KR16" s="135"/>
      <c r="KS16" s="135"/>
      <c r="KT16" s="135"/>
      <c r="KU16" s="135"/>
      <c r="KV16" s="135"/>
      <c r="KW16" s="135"/>
      <c r="KX16" s="135"/>
      <c r="KY16" s="135"/>
      <c r="KZ16" s="135"/>
      <c r="LA16" s="135"/>
      <c r="LB16" s="135"/>
      <c r="LC16" s="135"/>
      <c r="LD16" s="135"/>
      <c r="LE16" s="135"/>
      <c r="LF16" s="135"/>
      <c r="LG16" s="135"/>
      <c r="LH16" s="135"/>
      <c r="LI16" s="135"/>
      <c r="LJ16" s="135"/>
      <c r="LK16" s="135"/>
      <c r="LL16" s="135"/>
      <c r="LM16" s="135"/>
      <c r="LN16" s="135"/>
      <c r="LO16" s="135"/>
      <c r="LP16" s="135"/>
      <c r="LQ16" s="135"/>
      <c r="LR16" s="135"/>
      <c r="LS16" s="135"/>
      <c r="LT16" s="135"/>
      <c r="LU16" s="135"/>
      <c r="LV16" s="135"/>
      <c r="LW16" s="135"/>
      <c r="LX16" s="135"/>
      <c r="LY16" s="135"/>
      <c r="LZ16" s="135"/>
      <c r="MA16" s="135"/>
      <c r="MB16" s="135"/>
      <c r="MC16" s="135"/>
      <c r="MD16" s="135"/>
      <c r="ME16" s="135"/>
      <c r="MF16" s="135"/>
      <c r="MG16" s="135"/>
      <c r="MH16" s="135"/>
      <c r="MI16" s="135"/>
      <c r="MJ16" s="135"/>
      <c r="MK16" s="135"/>
      <c r="ML16" s="135"/>
      <c r="MM16" s="135"/>
      <c r="MN16" s="135"/>
      <c r="MO16" s="135"/>
      <c r="MP16" s="135"/>
      <c r="MQ16" s="135"/>
      <c r="MR16" s="135"/>
      <c r="MS16" s="135"/>
      <c r="MT16" s="135"/>
      <c r="MU16" s="135"/>
      <c r="MV16" s="135"/>
      <c r="MW16" s="135"/>
      <c r="MX16" s="135"/>
      <c r="MY16" s="135"/>
      <c r="MZ16" s="135"/>
      <c r="NA16" s="135"/>
      <c r="NB16" s="135"/>
      <c r="NC16" s="135"/>
      <c r="ND16" s="135"/>
      <c r="NE16" s="135"/>
      <c r="NF16" s="135"/>
      <c r="NG16" s="135"/>
      <c r="NH16" s="135"/>
      <c r="NI16" s="135"/>
      <c r="NJ16" s="135"/>
      <c r="NK16" s="135"/>
      <c r="NL16" s="135"/>
      <c r="NM16" s="135"/>
      <c r="NN16" s="135"/>
      <c r="NO16" s="135"/>
      <c r="NP16" s="135"/>
      <c r="NQ16" s="135"/>
      <c r="NR16" s="135"/>
      <c r="NS16" s="135"/>
      <c r="NT16" s="135"/>
      <c r="NU16" s="135"/>
      <c r="NV16" s="135"/>
      <c r="NW16" s="135"/>
      <c r="NX16" s="135"/>
      <c r="NY16" s="135"/>
      <c r="NZ16" s="135"/>
      <c r="OA16" s="135"/>
      <c r="OB16" s="135"/>
      <c r="OC16" s="135"/>
      <c r="OD16" s="135"/>
      <c r="OE16" s="135"/>
      <c r="OF16" s="135"/>
      <c r="OG16" s="135"/>
      <c r="OH16" s="135"/>
      <c r="OI16" s="135"/>
      <c r="OJ16" s="135"/>
      <c r="OK16" s="135"/>
      <c r="OL16" s="135"/>
      <c r="OM16" s="135"/>
      <c r="ON16" s="135"/>
      <c r="OO16" s="135"/>
      <c r="OP16" s="135"/>
      <c r="OQ16" s="135"/>
      <c r="OR16" s="135"/>
      <c r="OS16" s="135"/>
      <c r="OT16" s="135"/>
      <c r="OU16" s="135"/>
      <c r="OV16" s="135"/>
      <c r="OW16" s="135"/>
      <c r="OX16" s="135"/>
      <c r="OY16" s="135"/>
      <c r="OZ16" s="135"/>
      <c r="PA16" s="135"/>
      <c r="PB16" s="135"/>
      <c r="PC16" s="135"/>
      <c r="PD16" s="135"/>
      <c r="PE16" s="135"/>
      <c r="PF16" s="135"/>
      <c r="PG16" s="135"/>
      <c r="PH16" s="135"/>
      <c r="PI16" s="135"/>
      <c r="PJ16" s="135"/>
      <c r="PK16" s="135"/>
      <c r="PL16" s="135"/>
      <c r="PM16" s="135"/>
      <c r="PN16" s="135"/>
      <c r="PO16" s="135"/>
      <c r="PP16" s="135"/>
      <c r="PQ16" s="135"/>
      <c r="PR16" s="135"/>
      <c r="PS16" s="135"/>
      <c r="PT16" s="135"/>
      <c r="PU16" s="135"/>
      <c r="PV16" s="135"/>
      <c r="PW16" s="135"/>
      <c r="PX16" s="135"/>
      <c r="PY16" s="135"/>
      <c r="PZ16" s="135"/>
      <c r="QA16" s="135"/>
      <c r="QB16" s="135"/>
      <c r="QC16" s="135"/>
      <c r="QD16" s="135"/>
      <c r="QE16" s="135"/>
      <c r="QF16" s="135"/>
      <c r="QG16" s="135"/>
      <c r="QH16" s="135"/>
      <c r="QI16" s="135"/>
      <c r="QJ16" s="135"/>
      <c r="QK16" s="135"/>
      <c r="QL16" s="135"/>
      <c r="QM16" s="135"/>
      <c r="QN16" s="135"/>
      <c r="QO16" s="135"/>
      <c r="QP16" s="135"/>
      <c r="QQ16" s="135"/>
      <c r="QR16" s="135"/>
      <c r="QS16" s="135"/>
      <c r="QT16" s="135"/>
      <c r="QU16" s="135"/>
      <c r="QV16" s="135"/>
      <c r="QW16" s="135"/>
      <c r="QX16" s="135"/>
      <c r="QY16" s="135"/>
      <c r="QZ16" s="135"/>
      <c r="RA16" s="135"/>
      <c r="RB16" s="135"/>
      <c r="RC16" s="135"/>
      <c r="RD16" s="135"/>
      <c r="RE16" s="135"/>
      <c r="RF16" s="135"/>
      <c r="RG16" s="135"/>
      <c r="RH16" s="135"/>
      <c r="RI16" s="135"/>
      <c r="RJ16" s="135"/>
      <c r="RK16" s="135"/>
      <c r="RL16" s="135"/>
      <c r="RM16" s="135"/>
      <c r="RN16" s="135"/>
      <c r="RO16" s="135"/>
      <c r="RP16" s="135"/>
      <c r="RQ16" s="135"/>
      <c r="RR16" s="135"/>
      <c r="RS16" s="135"/>
      <c r="RT16" s="135"/>
      <c r="RU16" s="135"/>
      <c r="RV16" s="135"/>
      <c r="RW16" s="135"/>
      <c r="RX16" s="135"/>
      <c r="RY16" s="135"/>
      <c r="RZ16" s="135"/>
      <c r="SA16" s="135"/>
      <c r="SB16" s="135"/>
      <c r="SC16" s="135"/>
      <c r="SD16" s="135"/>
      <c r="SE16" s="135"/>
      <c r="SF16" s="135"/>
      <c r="SG16" s="135"/>
      <c r="SH16" s="135"/>
      <c r="SI16" s="135"/>
      <c r="SJ16" s="135"/>
      <c r="SK16" s="135"/>
      <c r="SL16" s="135"/>
      <c r="SM16" s="135"/>
      <c r="SN16" s="135"/>
      <c r="SO16" s="135"/>
      <c r="SP16" s="135"/>
      <c r="SQ16" s="135"/>
      <c r="SR16" s="135"/>
      <c r="SS16" s="135"/>
      <c r="ST16" s="135"/>
      <c r="SU16" s="135"/>
      <c r="SV16" s="135"/>
      <c r="SW16" s="135"/>
      <c r="SX16" s="135"/>
      <c r="SY16" s="135"/>
      <c r="SZ16" s="135"/>
      <c r="TA16" s="135"/>
      <c r="TB16" s="135"/>
      <c r="TC16" s="135"/>
      <c r="TD16" s="135"/>
      <c r="TE16" s="135"/>
      <c r="TF16" s="135"/>
      <c r="TG16" s="135"/>
      <c r="TH16" s="135"/>
      <c r="TI16" s="135"/>
      <c r="TJ16" s="135"/>
      <c r="TK16" s="135"/>
      <c r="TL16" s="135"/>
      <c r="TM16" s="135"/>
      <c r="TN16" s="135"/>
      <c r="TO16" s="135"/>
      <c r="TP16" s="135"/>
      <c r="TQ16" s="135"/>
      <c r="TR16" s="135"/>
      <c r="TS16" s="135"/>
      <c r="TT16" s="135"/>
      <c r="TU16" s="135"/>
      <c r="TV16" s="135"/>
      <c r="TW16" s="135"/>
      <c r="TX16" s="135"/>
      <c r="TY16" s="135"/>
      <c r="TZ16" s="135"/>
      <c r="UA16" s="135"/>
      <c r="UB16" s="135"/>
      <c r="UC16" s="135"/>
      <c r="UD16" s="135"/>
      <c r="UE16" s="135"/>
      <c r="UF16" s="135"/>
      <c r="UG16" s="135"/>
      <c r="UH16" s="135"/>
      <c r="UI16" s="135"/>
      <c r="UJ16" s="135"/>
      <c r="UK16" s="135"/>
      <c r="UL16" s="135"/>
      <c r="UM16" s="135"/>
      <c r="UN16" s="135"/>
      <c r="UO16" s="135"/>
      <c r="UP16" s="135"/>
      <c r="UQ16" s="135"/>
      <c r="UR16" s="135"/>
      <c r="US16" s="135"/>
      <c r="UT16" s="135"/>
      <c r="UU16" s="135"/>
      <c r="UV16" s="135"/>
      <c r="UW16" s="135"/>
      <c r="UX16" s="135"/>
      <c r="UY16" s="135"/>
      <c r="UZ16" s="135"/>
      <c r="VA16" s="135"/>
      <c r="VB16" s="135"/>
      <c r="VC16" s="135"/>
      <c r="VD16" s="135"/>
      <c r="VE16" s="135"/>
      <c r="VF16" s="135"/>
      <c r="VG16" s="135"/>
      <c r="VH16" s="135"/>
      <c r="VI16" s="135"/>
      <c r="VJ16" s="135"/>
      <c r="VK16" s="135"/>
      <c r="VL16" s="135"/>
      <c r="VM16" s="135"/>
      <c r="VN16" s="135"/>
      <c r="VO16" s="135"/>
      <c r="VP16" s="135"/>
      <c r="VQ16" s="135"/>
      <c r="VR16" s="135"/>
      <c r="VS16" s="135"/>
      <c r="VT16" s="135"/>
      <c r="VU16" s="135"/>
      <c r="VV16" s="135"/>
      <c r="VW16" s="135"/>
      <c r="VX16" s="135"/>
      <c r="VY16" s="135"/>
      <c r="VZ16" s="135"/>
      <c r="WA16" s="135"/>
      <c r="WB16" s="135"/>
      <c r="WC16" s="135"/>
      <c r="WD16" s="135"/>
      <c r="WE16" s="135"/>
      <c r="WF16" s="135"/>
      <c r="WG16" s="135"/>
      <c r="WH16" s="135"/>
      <c r="WI16" s="135"/>
      <c r="WJ16" s="135"/>
      <c r="WK16" s="135"/>
      <c r="WL16" s="135"/>
      <c r="WM16" s="135"/>
      <c r="WN16" s="135"/>
      <c r="WO16" s="135"/>
      <c r="WP16" s="135"/>
      <c r="WQ16" s="135"/>
      <c r="WR16" s="135"/>
      <c r="WS16" s="135"/>
      <c r="WT16" s="135"/>
      <c r="WU16" s="135"/>
      <c r="WV16" s="135"/>
      <c r="WW16" s="135"/>
      <c r="WX16" s="135"/>
      <c r="WY16" s="135"/>
      <c r="WZ16" s="135"/>
      <c r="XA16" s="135"/>
      <c r="XB16" s="135"/>
      <c r="XC16" s="135"/>
      <c r="XD16" s="135"/>
      <c r="XE16" s="135"/>
      <c r="XF16" s="135"/>
      <c r="XG16" s="135"/>
      <c r="XH16" s="135"/>
      <c r="XI16" s="135"/>
      <c r="XJ16" s="135"/>
      <c r="XK16" s="135"/>
      <c r="XL16" s="135"/>
      <c r="XM16" s="135"/>
      <c r="XN16" s="135"/>
      <c r="XO16" s="135"/>
      <c r="XP16" s="135"/>
      <c r="XQ16" s="135"/>
      <c r="XR16" s="135"/>
      <c r="XS16" s="135"/>
      <c r="XT16" s="135"/>
      <c r="XU16" s="135"/>
      <c r="XV16" s="135"/>
      <c r="XW16" s="135"/>
      <c r="XX16" s="135"/>
      <c r="XY16" s="135"/>
      <c r="XZ16" s="135"/>
      <c r="YA16" s="135"/>
      <c r="YB16" s="135"/>
      <c r="YC16" s="135"/>
      <c r="YD16" s="135"/>
      <c r="YE16" s="135"/>
      <c r="YF16" s="135"/>
      <c r="YG16" s="135"/>
      <c r="YH16" s="135"/>
      <c r="YI16" s="135"/>
      <c r="YJ16" s="135"/>
      <c r="YK16" s="135"/>
      <c r="YL16" s="135"/>
      <c r="YM16" s="135"/>
      <c r="YN16" s="135"/>
      <c r="YO16" s="135"/>
      <c r="YP16" s="135"/>
      <c r="YQ16" s="135"/>
      <c r="YR16" s="135"/>
      <c r="YS16" s="135"/>
      <c r="YT16" s="135"/>
      <c r="YU16" s="135"/>
      <c r="YV16" s="135"/>
      <c r="YW16" s="135"/>
      <c r="YX16" s="135"/>
      <c r="YY16" s="135"/>
      <c r="YZ16" s="135"/>
      <c r="ZA16" s="135"/>
      <c r="ZB16" s="135"/>
      <c r="ZC16" s="135"/>
      <c r="ZD16" s="135"/>
      <c r="ZE16" s="135"/>
      <c r="ZF16" s="135"/>
      <c r="ZG16" s="135"/>
      <c r="ZH16" s="135"/>
      <c r="ZI16" s="135"/>
      <c r="ZJ16" s="135"/>
      <c r="ZK16" s="135"/>
      <c r="ZL16" s="135"/>
      <c r="ZM16" s="135"/>
      <c r="ZN16" s="135"/>
      <c r="ZO16" s="135"/>
      <c r="ZP16" s="135"/>
      <c r="ZQ16" s="135"/>
      <c r="ZR16" s="135"/>
      <c r="ZS16" s="135"/>
      <c r="ZT16" s="135"/>
      <c r="ZU16" s="135"/>
      <c r="ZV16" s="135"/>
      <c r="ZW16" s="135"/>
      <c r="ZX16" s="135"/>
      <c r="ZY16" s="135"/>
      <c r="ZZ16" s="135"/>
      <c r="AAA16" s="135"/>
      <c r="AAB16" s="135"/>
      <c r="AAC16" s="135"/>
      <c r="AAD16" s="135"/>
      <c r="AAE16" s="135"/>
      <c r="AAF16" s="135"/>
      <c r="AAG16" s="135"/>
      <c r="AAH16" s="135"/>
      <c r="AAI16" s="135"/>
      <c r="AAJ16" s="135"/>
      <c r="AAK16" s="135"/>
      <c r="AAL16" s="135"/>
      <c r="AAM16" s="135"/>
      <c r="AAN16" s="135"/>
      <c r="AAO16" s="135"/>
      <c r="AAP16" s="135"/>
      <c r="AAQ16" s="135"/>
      <c r="AAR16" s="135"/>
      <c r="AAS16" s="135"/>
      <c r="AAT16" s="135"/>
      <c r="AAU16" s="135"/>
      <c r="AAV16" s="135"/>
      <c r="AAW16" s="135"/>
      <c r="AAX16" s="135"/>
      <c r="AAY16" s="135"/>
      <c r="AAZ16" s="135"/>
      <c r="ABA16" s="135"/>
      <c r="ABB16" s="135"/>
      <c r="ABC16" s="135"/>
      <c r="ABD16" s="135"/>
      <c r="ABE16" s="135"/>
      <c r="ABF16" s="135"/>
      <c r="ABG16" s="135"/>
      <c r="ABH16" s="135"/>
      <c r="ABI16" s="135"/>
      <c r="ABJ16" s="135"/>
      <c r="ABK16" s="135"/>
      <c r="ABL16" s="135"/>
      <c r="ABM16" s="135"/>
      <c r="ABN16" s="135"/>
      <c r="ABO16" s="135"/>
      <c r="ABP16" s="135"/>
      <c r="ABQ16" s="135"/>
      <c r="ABR16" s="135"/>
      <c r="ABS16" s="135"/>
      <c r="ABT16" s="135"/>
      <c r="ABU16" s="135"/>
      <c r="ABV16" s="135"/>
      <c r="ABW16" s="135"/>
      <c r="ABX16" s="135"/>
      <c r="ABY16" s="135"/>
      <c r="ABZ16" s="135"/>
      <c r="ACA16" s="135"/>
      <c r="ACB16" s="135"/>
      <c r="ACC16" s="135"/>
      <c r="ACD16" s="135"/>
      <c r="ACE16" s="135"/>
      <c r="ACF16" s="135"/>
      <c r="ACG16" s="135"/>
      <c r="ACH16" s="135"/>
      <c r="ACI16" s="135"/>
      <c r="ACJ16" s="135"/>
      <c r="ACK16" s="135"/>
      <c r="ACL16" s="135"/>
      <c r="ACM16" s="135"/>
      <c r="ACN16" s="135"/>
      <c r="ACO16" s="135"/>
      <c r="ACP16" s="135"/>
      <c r="ACQ16" s="135"/>
      <c r="ACR16" s="135"/>
      <c r="ACS16" s="135"/>
      <c r="ACT16" s="135"/>
      <c r="ACU16" s="135"/>
      <c r="ACV16" s="135"/>
      <c r="ACW16" s="135"/>
      <c r="ACX16" s="135"/>
      <c r="ACY16" s="135"/>
      <c r="ACZ16" s="135"/>
      <c r="ADA16" s="135"/>
      <c r="ADB16" s="135"/>
      <c r="ADC16" s="135"/>
      <c r="ADD16" s="135"/>
      <c r="ADE16" s="135"/>
      <c r="ADF16" s="135"/>
      <c r="ADG16" s="135"/>
      <c r="ADH16" s="135"/>
      <c r="ADI16" s="135"/>
      <c r="ADJ16" s="135"/>
      <c r="ADK16" s="135"/>
      <c r="ADL16" s="135"/>
      <c r="ADM16" s="135"/>
      <c r="ADN16" s="135"/>
      <c r="ADO16" s="135"/>
      <c r="ADP16" s="135"/>
      <c r="ADQ16" s="135"/>
      <c r="ADR16" s="135"/>
      <c r="ADS16" s="135"/>
      <c r="ADT16" s="135"/>
      <c r="ADU16" s="135"/>
      <c r="ADV16" s="135"/>
      <c r="ADW16" s="135"/>
      <c r="ADX16" s="135"/>
      <c r="ADY16" s="135"/>
      <c r="ADZ16" s="135"/>
      <c r="AEA16" s="135"/>
      <c r="AEB16" s="135"/>
      <c r="AEC16" s="135"/>
      <c r="AED16" s="135"/>
      <c r="AEE16" s="135"/>
      <c r="AEF16" s="135"/>
      <c r="AEG16" s="135"/>
      <c r="AEH16" s="135"/>
      <c r="AEI16" s="135"/>
      <c r="AEJ16" s="135"/>
      <c r="AEK16" s="135"/>
      <c r="AEL16" s="135"/>
      <c r="AEM16" s="135"/>
      <c r="AEN16" s="135"/>
      <c r="AEO16" s="135"/>
      <c r="AEP16" s="135"/>
      <c r="AEQ16" s="135"/>
      <c r="AER16" s="135"/>
      <c r="AES16" s="135"/>
      <c r="AET16" s="135"/>
      <c r="AEU16" s="135"/>
      <c r="AEV16" s="135"/>
      <c r="AEW16" s="135"/>
      <c r="AEX16" s="135"/>
      <c r="AEY16" s="135"/>
      <c r="AEZ16" s="135"/>
      <c r="AFA16" s="135"/>
      <c r="AFB16" s="135"/>
      <c r="AFC16" s="135"/>
      <c r="AFD16" s="135"/>
      <c r="AFE16" s="135"/>
      <c r="AFF16" s="135"/>
      <c r="AFG16" s="135"/>
      <c r="AFH16" s="135"/>
      <c r="AFI16" s="135"/>
      <c r="AFJ16" s="135"/>
      <c r="AFK16" s="135"/>
      <c r="AFL16" s="135"/>
      <c r="AFM16" s="135"/>
      <c r="AFN16" s="135"/>
      <c r="AFO16" s="135"/>
      <c r="AFP16" s="135"/>
      <c r="AFQ16" s="135"/>
      <c r="AFR16" s="135"/>
      <c r="AFS16" s="135"/>
      <c r="AFT16" s="135"/>
      <c r="AFU16" s="135"/>
      <c r="AFV16" s="135"/>
      <c r="AFW16" s="135"/>
      <c r="AFX16" s="135"/>
      <c r="AFY16" s="135"/>
      <c r="AFZ16" s="135"/>
      <c r="AGA16" s="135"/>
      <c r="AGB16" s="135"/>
      <c r="AGC16" s="135"/>
      <c r="AGD16" s="135"/>
      <c r="AGE16" s="135"/>
      <c r="AGF16" s="135"/>
      <c r="AGG16" s="135"/>
      <c r="AGH16" s="135"/>
      <c r="AGI16" s="135"/>
      <c r="AGJ16" s="135"/>
      <c r="AGK16" s="135"/>
      <c r="AGL16" s="135"/>
      <c r="AGM16" s="135"/>
      <c r="AGN16" s="135"/>
      <c r="AGO16" s="135"/>
      <c r="AGP16" s="135"/>
      <c r="AGQ16" s="135"/>
      <c r="AGR16" s="135"/>
      <c r="AGS16" s="135"/>
      <c r="AGT16" s="135"/>
      <c r="AGU16" s="135"/>
      <c r="AGV16" s="135"/>
      <c r="AGW16" s="135"/>
      <c r="AGX16" s="135"/>
      <c r="AGY16" s="135"/>
      <c r="AGZ16" s="135"/>
      <c r="AHA16" s="135"/>
      <c r="AHB16" s="135"/>
      <c r="AHC16" s="135"/>
      <c r="AHD16" s="135"/>
      <c r="AHE16" s="135"/>
      <c r="AHF16" s="135"/>
      <c r="AHG16" s="135"/>
      <c r="AHH16" s="135"/>
      <c r="AHI16" s="135"/>
      <c r="AHJ16" s="135"/>
      <c r="AHK16" s="135"/>
      <c r="AHL16" s="135"/>
      <c r="AHM16" s="135"/>
      <c r="AHN16" s="135"/>
      <c r="AHO16" s="135"/>
      <c r="AHP16" s="135"/>
      <c r="AHQ16" s="135"/>
      <c r="AHR16" s="135"/>
      <c r="AHS16" s="135"/>
      <c r="AHT16" s="135"/>
      <c r="AHU16" s="135"/>
      <c r="AHV16" s="135"/>
      <c r="AHW16" s="135"/>
      <c r="AHX16" s="135"/>
      <c r="AHY16" s="135"/>
      <c r="AHZ16" s="135"/>
      <c r="AIA16" s="135"/>
      <c r="AIB16" s="135"/>
      <c r="AIC16" s="135"/>
      <c r="AID16" s="135"/>
      <c r="AIE16" s="135"/>
      <c r="AIF16" s="135"/>
      <c r="AIG16" s="135"/>
      <c r="AIH16" s="135"/>
      <c r="AII16" s="135"/>
      <c r="AIJ16" s="135"/>
      <c r="AIK16" s="135"/>
      <c r="AIL16" s="135"/>
      <c r="AIM16" s="135"/>
      <c r="AIN16" s="135"/>
      <c r="AIO16" s="135"/>
      <c r="AIP16" s="135"/>
      <c r="AIQ16" s="135"/>
      <c r="AIR16" s="135"/>
      <c r="AIS16" s="135"/>
      <c r="AIT16" s="135"/>
      <c r="AIU16" s="135"/>
      <c r="AIV16" s="135"/>
      <c r="AIW16" s="135"/>
      <c r="AIX16" s="135"/>
      <c r="AIY16" s="135"/>
      <c r="AIZ16" s="135"/>
      <c r="AJA16" s="135"/>
      <c r="AJB16" s="135"/>
      <c r="AJC16" s="135"/>
      <c r="AJD16" s="135"/>
      <c r="AJE16" s="135"/>
      <c r="AJF16" s="135"/>
      <c r="AJG16" s="135"/>
      <c r="AJH16" s="135"/>
      <c r="AJI16" s="135"/>
      <c r="AJJ16" s="135"/>
      <c r="AJK16" s="135"/>
      <c r="AJL16" s="135"/>
      <c r="AJM16" s="135"/>
      <c r="AJN16" s="135"/>
      <c r="AJO16" s="135"/>
      <c r="AJP16" s="135"/>
      <c r="AJQ16" s="135"/>
      <c r="AJR16" s="135"/>
      <c r="AJS16" s="135"/>
      <c r="AJT16" s="135"/>
      <c r="AJU16" s="135"/>
      <c r="AJV16" s="135"/>
      <c r="AJW16" s="135"/>
      <c r="AJX16" s="135"/>
      <c r="AJY16" s="135"/>
      <c r="AJZ16" s="135"/>
      <c r="AKA16" s="135"/>
      <c r="AKB16" s="135"/>
      <c r="AKC16" s="135"/>
      <c r="AKD16" s="135"/>
      <c r="AKE16" s="135"/>
      <c r="AKF16" s="135"/>
      <c r="AKG16" s="135"/>
      <c r="AKH16" s="135"/>
      <c r="AKI16" s="135"/>
      <c r="AKJ16" s="135"/>
      <c r="AKK16" s="135"/>
      <c r="AKL16" s="135"/>
      <c r="AKM16" s="135"/>
      <c r="AKN16" s="135"/>
      <c r="AKO16" s="135"/>
      <c r="AKP16" s="135"/>
      <c r="AKQ16" s="135"/>
      <c r="AKR16" s="135"/>
      <c r="AKS16" s="135"/>
      <c r="AKT16" s="135"/>
      <c r="AKU16" s="135"/>
      <c r="AKV16" s="135"/>
      <c r="AKW16" s="135"/>
      <c r="AKX16" s="135"/>
      <c r="AKY16" s="135"/>
      <c r="AKZ16" s="135"/>
      <c r="ALA16" s="135"/>
      <c r="ALB16" s="135"/>
      <c r="ALC16" s="135"/>
      <c r="ALD16" s="135"/>
      <c r="ALE16" s="135"/>
      <c r="ALF16" s="135"/>
      <c r="ALG16" s="135"/>
      <c r="ALH16" s="135"/>
      <c r="ALI16" s="135"/>
      <c r="ALJ16" s="135"/>
      <c r="ALK16" s="135"/>
      <c r="ALL16" s="135"/>
      <c r="ALM16" s="135"/>
      <c r="ALN16" s="135"/>
      <c r="ALO16" s="135"/>
      <c r="ALP16" s="135"/>
      <c r="ALQ16" s="135"/>
      <c r="ALR16" s="135"/>
      <c r="ALS16" s="135"/>
      <c r="ALT16" s="135"/>
      <c r="ALU16" s="135"/>
      <c r="ALV16" s="135"/>
      <c r="ALW16" s="135"/>
      <c r="ALX16" s="135"/>
      <c r="ALY16" s="135"/>
      <c r="ALZ16" s="135"/>
      <c r="AMA16" s="135"/>
      <c r="AMB16" s="135"/>
      <c r="AMC16" s="135"/>
      <c r="AMD16" s="135"/>
      <c r="AME16" s="135"/>
      <c r="AMF16" s="135"/>
      <c r="AMG16" s="135"/>
      <c r="AMH16" s="135"/>
      <c r="AMI16" s="135"/>
      <c r="AMJ16" s="135"/>
      <c r="AMK16" s="135"/>
    </row>
    <row r="17" spans="1:1025" s="697" customFormat="1" ht="30.75" customHeight="1" thickBot="1">
      <c r="A17" s="1355" t="str">
        <f>G105</f>
        <v>Fasil N.</v>
      </c>
      <c r="B17" s="718"/>
      <c r="C17" s="719" t="s">
        <v>699</v>
      </c>
      <c r="D17" s="720"/>
      <c r="E17" s="721"/>
      <c r="F17" s="722" t="s">
        <v>771</v>
      </c>
      <c r="G17" s="723"/>
      <c r="H17" s="723"/>
      <c r="I17" s="723"/>
      <c r="J17" s="723"/>
      <c r="K17" s="723"/>
      <c r="L17" s="723"/>
      <c r="M17" s="723"/>
      <c r="N17" s="723"/>
      <c r="O17" s="723"/>
      <c r="P17" s="724"/>
      <c r="Q17" s="725"/>
      <c r="R17" s="726"/>
      <c r="S17" s="727"/>
      <c r="T17" s="728"/>
      <c r="U17" s="729"/>
      <c r="V17" s="730"/>
      <c r="W17" s="731"/>
      <c r="X17" s="731"/>
      <c r="Y17" s="732"/>
      <c r="Z17" s="733"/>
      <c r="AA17" s="717"/>
      <c r="AB17" s="734"/>
      <c r="AC17" s="735"/>
      <c r="AD17" s="736"/>
      <c r="AE17" s="736"/>
      <c r="AF17" s="736"/>
      <c r="AG17" s="736"/>
      <c r="AH17" s="736"/>
      <c r="AI17" s="736"/>
      <c r="AJ17" s="737"/>
      <c r="AK17" s="738"/>
      <c r="AL17" s="737"/>
      <c r="AM17" s="739"/>
      <c r="AN17" s="734"/>
      <c r="AO17" s="734"/>
      <c r="AP17" s="740"/>
      <c r="AQ17" s="740"/>
      <c r="AR17" s="740"/>
      <c r="AS17" s="740"/>
      <c r="AT17" s="740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  <c r="BX17" s="725"/>
      <c r="BY17" s="725"/>
      <c r="BZ17" s="725"/>
      <c r="CA17" s="725"/>
      <c r="CB17" s="725"/>
      <c r="CC17" s="725"/>
      <c r="CD17" s="725"/>
      <c r="CE17" s="725"/>
      <c r="CF17" s="725"/>
      <c r="CG17" s="725"/>
      <c r="CH17" s="725"/>
      <c r="CI17" s="725"/>
      <c r="CJ17" s="725"/>
      <c r="CK17" s="725"/>
      <c r="CL17" s="725"/>
      <c r="CM17" s="725"/>
      <c r="CN17" s="725"/>
      <c r="CO17" s="725"/>
      <c r="CP17" s="725"/>
      <c r="CQ17" s="725"/>
      <c r="CR17" s="725"/>
      <c r="CS17" s="725"/>
      <c r="CT17" s="725"/>
      <c r="CU17" s="725"/>
      <c r="CV17" s="725"/>
      <c r="CW17" s="725"/>
      <c r="CX17" s="725"/>
      <c r="CY17" s="725"/>
      <c r="CZ17" s="725"/>
      <c r="DA17" s="725"/>
      <c r="DB17" s="725"/>
      <c r="DC17" s="725"/>
      <c r="DD17" s="725"/>
      <c r="DE17" s="725"/>
      <c r="DF17" s="725"/>
      <c r="DG17" s="725"/>
      <c r="DH17" s="725"/>
      <c r="DI17" s="725"/>
      <c r="DJ17" s="725"/>
      <c r="DK17" s="725"/>
      <c r="DL17" s="725"/>
      <c r="DM17" s="725"/>
      <c r="DN17" s="725"/>
      <c r="DO17" s="725"/>
      <c r="DP17" s="725"/>
      <c r="DQ17" s="725"/>
      <c r="DR17" s="725"/>
      <c r="DS17" s="725"/>
      <c r="DT17" s="725"/>
      <c r="DU17" s="725"/>
      <c r="DV17" s="725"/>
      <c r="DW17" s="725"/>
      <c r="DX17" s="725"/>
      <c r="DY17" s="725"/>
      <c r="DZ17" s="725"/>
      <c r="EA17" s="725"/>
      <c r="EB17" s="725"/>
      <c r="EC17" s="725"/>
      <c r="ED17" s="725"/>
      <c r="EE17" s="725"/>
      <c r="EF17" s="725"/>
      <c r="EG17" s="725"/>
      <c r="EH17" s="725"/>
      <c r="EI17" s="725"/>
      <c r="EJ17" s="725"/>
      <c r="EK17" s="725"/>
      <c r="EL17" s="725"/>
      <c r="EM17" s="725"/>
      <c r="EN17" s="725"/>
      <c r="EO17" s="725"/>
      <c r="EP17" s="725"/>
      <c r="EQ17" s="725"/>
      <c r="ER17" s="725"/>
      <c r="ES17" s="725"/>
      <c r="ET17" s="725"/>
      <c r="EU17" s="725"/>
      <c r="EV17" s="725"/>
      <c r="EW17" s="725"/>
      <c r="EX17" s="725"/>
      <c r="EY17" s="725"/>
      <c r="EZ17" s="725"/>
      <c r="FA17" s="725"/>
      <c r="FB17" s="725"/>
      <c r="FC17" s="725"/>
      <c r="FD17" s="725"/>
      <c r="FE17" s="725"/>
      <c r="FF17" s="725"/>
      <c r="FG17" s="725"/>
      <c r="FH17" s="725"/>
      <c r="FI17" s="725"/>
      <c r="FJ17" s="725"/>
      <c r="FK17" s="725"/>
      <c r="FL17" s="725"/>
      <c r="FM17" s="725"/>
      <c r="FN17" s="725"/>
      <c r="FO17" s="725"/>
      <c r="FP17" s="725"/>
      <c r="FQ17" s="725"/>
      <c r="FR17" s="725"/>
      <c r="FS17" s="725"/>
      <c r="FT17" s="725"/>
      <c r="FU17" s="725"/>
      <c r="FV17" s="725"/>
      <c r="FW17" s="725"/>
      <c r="FX17" s="725"/>
      <c r="FY17" s="725"/>
      <c r="FZ17" s="725"/>
      <c r="GA17" s="725"/>
      <c r="GB17" s="725"/>
      <c r="GC17" s="725"/>
      <c r="GD17" s="725"/>
      <c r="GE17" s="725"/>
      <c r="GF17" s="725"/>
      <c r="GG17" s="725"/>
      <c r="GH17" s="725"/>
      <c r="GI17" s="725"/>
      <c r="GJ17" s="725"/>
      <c r="GK17" s="725"/>
      <c r="GL17" s="725"/>
      <c r="GM17" s="725"/>
      <c r="GN17" s="725"/>
      <c r="GO17" s="725"/>
      <c r="GP17" s="725"/>
      <c r="GQ17" s="725"/>
      <c r="GR17" s="725"/>
      <c r="GS17" s="725"/>
      <c r="GT17" s="725"/>
      <c r="GU17" s="725"/>
      <c r="GV17" s="725"/>
      <c r="GW17" s="725"/>
      <c r="GX17" s="725"/>
      <c r="GY17" s="725"/>
      <c r="GZ17" s="725"/>
      <c r="HA17" s="725"/>
      <c r="HB17" s="725"/>
      <c r="HC17" s="725"/>
      <c r="HD17" s="725"/>
      <c r="HE17" s="725"/>
      <c r="HF17" s="725"/>
      <c r="HG17" s="725"/>
      <c r="HH17" s="725"/>
      <c r="HI17" s="725"/>
      <c r="HJ17" s="725"/>
      <c r="HK17" s="725"/>
      <c r="HL17" s="725"/>
      <c r="HM17" s="725"/>
      <c r="HN17" s="725"/>
      <c r="HO17" s="725"/>
      <c r="HP17" s="725"/>
      <c r="HQ17" s="725"/>
      <c r="HR17" s="725"/>
      <c r="HS17" s="725"/>
      <c r="HT17" s="725"/>
      <c r="HU17" s="725"/>
      <c r="HV17" s="725"/>
      <c r="HW17" s="725"/>
      <c r="HX17" s="725"/>
      <c r="HY17" s="725"/>
      <c r="HZ17" s="725"/>
      <c r="IA17" s="725"/>
      <c r="IB17" s="725"/>
      <c r="IC17" s="725"/>
      <c r="ID17" s="725"/>
      <c r="IE17" s="725"/>
      <c r="IF17" s="725"/>
      <c r="IG17" s="725"/>
      <c r="IH17" s="725"/>
      <c r="II17" s="725"/>
      <c r="IJ17" s="725"/>
      <c r="IK17" s="725"/>
      <c r="IL17" s="725"/>
      <c r="IM17" s="725"/>
      <c r="IN17" s="725"/>
      <c r="IO17" s="725"/>
      <c r="IP17" s="725"/>
      <c r="IQ17" s="725"/>
      <c r="IR17" s="725"/>
      <c r="IS17" s="725"/>
      <c r="IT17" s="725"/>
      <c r="IU17" s="725"/>
      <c r="IV17" s="725"/>
      <c r="IW17" s="725"/>
      <c r="IX17" s="725"/>
      <c r="IY17" s="725"/>
      <c r="IZ17" s="725"/>
      <c r="JA17" s="725"/>
      <c r="JB17" s="725"/>
      <c r="JC17" s="725"/>
      <c r="JD17" s="725"/>
      <c r="JE17" s="725"/>
      <c r="JF17" s="725"/>
      <c r="JG17" s="725"/>
      <c r="JH17" s="725"/>
      <c r="JI17" s="725"/>
      <c r="JJ17" s="725"/>
      <c r="JK17" s="725"/>
      <c r="JL17" s="725"/>
      <c r="JM17" s="725"/>
      <c r="JN17" s="725"/>
      <c r="JO17" s="725"/>
      <c r="JP17" s="725"/>
      <c r="JQ17" s="725"/>
      <c r="JR17" s="725"/>
      <c r="JS17" s="725"/>
      <c r="JT17" s="725"/>
      <c r="JU17" s="725"/>
      <c r="JV17" s="725"/>
      <c r="JW17" s="725"/>
      <c r="JX17" s="725"/>
      <c r="JY17" s="725"/>
      <c r="JZ17" s="725"/>
      <c r="KA17" s="725"/>
      <c r="KB17" s="725"/>
      <c r="KC17" s="725"/>
      <c r="KD17" s="725"/>
      <c r="KE17" s="725"/>
      <c r="KF17" s="725"/>
      <c r="KG17" s="725"/>
      <c r="KH17" s="725"/>
      <c r="KI17" s="725"/>
      <c r="KJ17" s="725"/>
      <c r="KK17" s="725"/>
      <c r="KL17" s="725"/>
      <c r="KM17" s="725"/>
      <c r="KN17" s="725"/>
      <c r="KO17" s="725"/>
      <c r="KP17" s="725"/>
      <c r="KQ17" s="725"/>
      <c r="KR17" s="725"/>
      <c r="KS17" s="725"/>
      <c r="KT17" s="725"/>
      <c r="KU17" s="725"/>
      <c r="KV17" s="725"/>
      <c r="KW17" s="725"/>
      <c r="KX17" s="725"/>
      <c r="KY17" s="725"/>
      <c r="KZ17" s="725"/>
      <c r="LA17" s="725"/>
      <c r="LB17" s="725"/>
      <c r="LC17" s="725"/>
      <c r="LD17" s="725"/>
      <c r="LE17" s="725"/>
      <c r="LF17" s="725"/>
      <c r="LG17" s="725"/>
      <c r="LH17" s="725"/>
      <c r="LI17" s="725"/>
      <c r="LJ17" s="725"/>
      <c r="LK17" s="725"/>
      <c r="LL17" s="725"/>
      <c r="LM17" s="725"/>
      <c r="LN17" s="725"/>
      <c r="LO17" s="725"/>
      <c r="LP17" s="725"/>
      <c r="LQ17" s="725"/>
      <c r="LR17" s="725"/>
      <c r="LS17" s="725"/>
      <c r="LT17" s="725"/>
      <c r="LU17" s="725"/>
      <c r="LV17" s="725"/>
      <c r="LW17" s="725"/>
      <c r="LX17" s="725"/>
      <c r="LY17" s="725"/>
      <c r="LZ17" s="725"/>
      <c r="MA17" s="725"/>
      <c r="MB17" s="725"/>
      <c r="MC17" s="725"/>
      <c r="MD17" s="725"/>
      <c r="ME17" s="725"/>
      <c r="MF17" s="725"/>
      <c r="MG17" s="725"/>
      <c r="MH17" s="725"/>
      <c r="MI17" s="725"/>
      <c r="MJ17" s="725"/>
      <c r="MK17" s="725"/>
      <c r="ML17" s="725"/>
      <c r="MM17" s="725"/>
      <c r="MN17" s="725"/>
      <c r="MO17" s="725"/>
      <c r="MP17" s="725"/>
      <c r="MQ17" s="725"/>
      <c r="MR17" s="725"/>
      <c r="MS17" s="725"/>
      <c r="MT17" s="725"/>
      <c r="MU17" s="725"/>
      <c r="MV17" s="725"/>
      <c r="MW17" s="725"/>
      <c r="MX17" s="725"/>
      <c r="MY17" s="725"/>
      <c r="MZ17" s="725"/>
      <c r="NA17" s="725"/>
      <c r="NB17" s="725"/>
      <c r="NC17" s="725"/>
      <c r="ND17" s="725"/>
      <c r="NE17" s="725"/>
      <c r="NF17" s="725"/>
      <c r="NG17" s="725"/>
      <c r="NH17" s="725"/>
      <c r="NI17" s="725"/>
      <c r="NJ17" s="725"/>
      <c r="NK17" s="725"/>
      <c r="NL17" s="725"/>
      <c r="NM17" s="725"/>
      <c r="NN17" s="725"/>
      <c r="NO17" s="725"/>
      <c r="NP17" s="725"/>
      <c r="NQ17" s="725"/>
      <c r="NR17" s="725"/>
      <c r="NS17" s="725"/>
      <c r="NT17" s="725"/>
      <c r="NU17" s="725"/>
      <c r="NV17" s="725"/>
      <c r="NW17" s="725"/>
      <c r="NX17" s="725"/>
      <c r="NY17" s="725"/>
      <c r="NZ17" s="725"/>
      <c r="OA17" s="725"/>
      <c r="OB17" s="725"/>
      <c r="OC17" s="725"/>
      <c r="OD17" s="725"/>
      <c r="OE17" s="725"/>
      <c r="OF17" s="725"/>
      <c r="OG17" s="725"/>
      <c r="OH17" s="725"/>
      <c r="OI17" s="725"/>
      <c r="OJ17" s="725"/>
      <c r="OK17" s="725"/>
      <c r="OL17" s="725"/>
      <c r="OM17" s="725"/>
      <c r="ON17" s="725"/>
      <c r="OO17" s="725"/>
      <c r="OP17" s="725"/>
      <c r="OQ17" s="725"/>
      <c r="OR17" s="725"/>
      <c r="OS17" s="725"/>
      <c r="OT17" s="725"/>
      <c r="OU17" s="725"/>
      <c r="OV17" s="725"/>
      <c r="OW17" s="725"/>
      <c r="OX17" s="725"/>
      <c r="OY17" s="725"/>
      <c r="OZ17" s="725"/>
      <c r="PA17" s="725"/>
      <c r="PB17" s="725"/>
      <c r="PC17" s="725"/>
      <c r="PD17" s="725"/>
      <c r="PE17" s="725"/>
      <c r="PF17" s="725"/>
      <c r="PG17" s="725"/>
      <c r="PH17" s="725"/>
      <c r="PI17" s="725"/>
      <c r="PJ17" s="725"/>
      <c r="PK17" s="725"/>
      <c r="PL17" s="725"/>
      <c r="PM17" s="725"/>
      <c r="PN17" s="725"/>
      <c r="PO17" s="725"/>
      <c r="PP17" s="725"/>
      <c r="PQ17" s="725"/>
      <c r="PR17" s="725"/>
      <c r="PS17" s="725"/>
      <c r="PT17" s="725"/>
      <c r="PU17" s="725"/>
      <c r="PV17" s="725"/>
      <c r="PW17" s="725"/>
      <c r="PX17" s="725"/>
      <c r="PY17" s="725"/>
      <c r="PZ17" s="725"/>
      <c r="QA17" s="725"/>
      <c r="QB17" s="725"/>
      <c r="QC17" s="725"/>
      <c r="QD17" s="725"/>
      <c r="QE17" s="725"/>
      <c r="QF17" s="725"/>
      <c r="QG17" s="725"/>
      <c r="QH17" s="725"/>
      <c r="QI17" s="725"/>
      <c r="QJ17" s="725"/>
      <c r="QK17" s="725"/>
      <c r="QL17" s="725"/>
      <c r="QM17" s="725"/>
      <c r="QN17" s="725"/>
      <c r="QO17" s="725"/>
      <c r="QP17" s="725"/>
      <c r="QQ17" s="725"/>
      <c r="QR17" s="725"/>
      <c r="QS17" s="725"/>
      <c r="QT17" s="725"/>
      <c r="QU17" s="725"/>
      <c r="QV17" s="725"/>
      <c r="QW17" s="725"/>
      <c r="QX17" s="725"/>
      <c r="QY17" s="725"/>
      <c r="QZ17" s="725"/>
      <c r="RA17" s="725"/>
      <c r="RB17" s="725"/>
      <c r="RC17" s="725"/>
      <c r="RD17" s="725"/>
      <c r="RE17" s="725"/>
      <c r="RF17" s="725"/>
      <c r="RG17" s="725"/>
      <c r="RH17" s="725"/>
      <c r="RI17" s="725"/>
      <c r="RJ17" s="725"/>
      <c r="RK17" s="725"/>
      <c r="RL17" s="725"/>
      <c r="RM17" s="725"/>
      <c r="RN17" s="725"/>
      <c r="RO17" s="725"/>
      <c r="RP17" s="725"/>
      <c r="RQ17" s="725"/>
      <c r="RR17" s="725"/>
      <c r="RS17" s="725"/>
      <c r="RT17" s="725"/>
      <c r="RU17" s="725"/>
      <c r="RV17" s="725"/>
      <c r="RW17" s="725"/>
      <c r="RX17" s="725"/>
      <c r="RY17" s="725"/>
      <c r="RZ17" s="725"/>
      <c r="SA17" s="725"/>
      <c r="SB17" s="725"/>
      <c r="SC17" s="725"/>
      <c r="SD17" s="725"/>
      <c r="SE17" s="725"/>
      <c r="SF17" s="725"/>
      <c r="SG17" s="725"/>
      <c r="SH17" s="725"/>
      <c r="SI17" s="725"/>
      <c r="SJ17" s="725"/>
      <c r="SK17" s="725"/>
      <c r="SL17" s="725"/>
      <c r="SM17" s="725"/>
      <c r="SN17" s="725"/>
      <c r="SO17" s="725"/>
      <c r="SP17" s="725"/>
      <c r="SQ17" s="725"/>
      <c r="SR17" s="725"/>
      <c r="SS17" s="725"/>
      <c r="ST17" s="725"/>
      <c r="SU17" s="725"/>
      <c r="SV17" s="725"/>
      <c r="SW17" s="725"/>
      <c r="SX17" s="725"/>
      <c r="SY17" s="725"/>
      <c r="SZ17" s="725"/>
      <c r="TA17" s="725"/>
      <c r="TB17" s="725"/>
      <c r="TC17" s="725"/>
      <c r="TD17" s="725"/>
      <c r="TE17" s="725"/>
      <c r="TF17" s="725"/>
      <c r="TG17" s="725"/>
      <c r="TH17" s="725"/>
      <c r="TI17" s="725"/>
      <c r="TJ17" s="725"/>
      <c r="TK17" s="725"/>
      <c r="TL17" s="725"/>
      <c r="TM17" s="725"/>
      <c r="TN17" s="725"/>
      <c r="TO17" s="725"/>
      <c r="TP17" s="725"/>
      <c r="TQ17" s="725"/>
      <c r="TR17" s="725"/>
      <c r="TS17" s="725"/>
      <c r="TT17" s="725"/>
      <c r="TU17" s="725"/>
      <c r="TV17" s="725"/>
      <c r="TW17" s="725"/>
      <c r="TX17" s="725"/>
      <c r="TY17" s="725"/>
      <c r="TZ17" s="725"/>
      <c r="UA17" s="725"/>
      <c r="UB17" s="725"/>
      <c r="UC17" s="725"/>
      <c r="UD17" s="725"/>
      <c r="UE17" s="725"/>
      <c r="UF17" s="725"/>
      <c r="UG17" s="725"/>
      <c r="UH17" s="725"/>
      <c r="UI17" s="725"/>
      <c r="UJ17" s="725"/>
      <c r="UK17" s="725"/>
      <c r="UL17" s="725"/>
      <c r="UM17" s="725"/>
      <c r="UN17" s="725"/>
      <c r="UO17" s="725"/>
      <c r="UP17" s="725"/>
      <c r="UQ17" s="725"/>
      <c r="UR17" s="725"/>
      <c r="US17" s="725"/>
      <c r="UT17" s="725"/>
      <c r="UU17" s="725"/>
      <c r="UV17" s="725"/>
      <c r="UW17" s="725"/>
      <c r="UX17" s="725"/>
      <c r="UY17" s="725"/>
      <c r="UZ17" s="725"/>
      <c r="VA17" s="725"/>
      <c r="VB17" s="725"/>
      <c r="VC17" s="725"/>
      <c r="VD17" s="725"/>
      <c r="VE17" s="725"/>
      <c r="VF17" s="725"/>
      <c r="VG17" s="725"/>
      <c r="VH17" s="725"/>
      <c r="VI17" s="725"/>
      <c r="VJ17" s="725"/>
      <c r="VK17" s="725"/>
      <c r="VL17" s="725"/>
      <c r="VM17" s="725"/>
      <c r="VN17" s="725"/>
      <c r="VO17" s="725"/>
      <c r="VP17" s="725"/>
      <c r="VQ17" s="725"/>
      <c r="VR17" s="725"/>
      <c r="VS17" s="725"/>
      <c r="VT17" s="725"/>
      <c r="VU17" s="725"/>
      <c r="VV17" s="725"/>
      <c r="VW17" s="725"/>
      <c r="VX17" s="725"/>
      <c r="VY17" s="725"/>
      <c r="VZ17" s="725"/>
      <c r="WA17" s="725"/>
      <c r="WB17" s="725"/>
      <c r="WC17" s="725"/>
      <c r="WD17" s="725"/>
      <c r="WE17" s="725"/>
      <c r="WF17" s="725"/>
      <c r="WG17" s="725"/>
      <c r="WH17" s="725"/>
      <c r="WI17" s="725"/>
      <c r="WJ17" s="725"/>
      <c r="WK17" s="725"/>
      <c r="WL17" s="725"/>
      <c r="WM17" s="725"/>
      <c r="WN17" s="725"/>
      <c r="WO17" s="725"/>
      <c r="WP17" s="725"/>
      <c r="WQ17" s="725"/>
      <c r="WR17" s="725"/>
      <c r="WS17" s="725"/>
      <c r="WT17" s="725"/>
      <c r="WU17" s="725"/>
      <c r="WV17" s="725"/>
      <c r="WW17" s="725"/>
      <c r="WX17" s="725"/>
      <c r="WY17" s="725"/>
      <c r="WZ17" s="725"/>
      <c r="XA17" s="725"/>
      <c r="XB17" s="725"/>
      <c r="XC17" s="725"/>
      <c r="XD17" s="725"/>
      <c r="XE17" s="725"/>
      <c r="XF17" s="725"/>
      <c r="XG17" s="725"/>
      <c r="XH17" s="725"/>
      <c r="XI17" s="725"/>
      <c r="XJ17" s="725"/>
      <c r="XK17" s="725"/>
      <c r="XL17" s="725"/>
      <c r="XM17" s="725"/>
      <c r="XN17" s="725"/>
      <c r="XO17" s="725"/>
      <c r="XP17" s="725"/>
      <c r="XQ17" s="725"/>
      <c r="XR17" s="725"/>
      <c r="XS17" s="725"/>
      <c r="XT17" s="725"/>
      <c r="XU17" s="725"/>
      <c r="XV17" s="725"/>
      <c r="XW17" s="725"/>
      <c r="XX17" s="725"/>
      <c r="XY17" s="725"/>
      <c r="XZ17" s="725"/>
      <c r="YA17" s="725"/>
      <c r="YB17" s="725"/>
      <c r="YC17" s="725"/>
      <c r="YD17" s="725"/>
      <c r="YE17" s="725"/>
      <c r="YF17" s="725"/>
      <c r="YG17" s="725"/>
      <c r="YH17" s="725"/>
      <c r="YI17" s="725"/>
      <c r="YJ17" s="725"/>
      <c r="YK17" s="725"/>
      <c r="YL17" s="725"/>
      <c r="YM17" s="725"/>
      <c r="YN17" s="725"/>
      <c r="YO17" s="725"/>
      <c r="YP17" s="725"/>
      <c r="YQ17" s="725"/>
      <c r="YR17" s="725"/>
      <c r="YS17" s="725"/>
      <c r="YT17" s="725"/>
      <c r="YU17" s="725"/>
      <c r="YV17" s="725"/>
      <c r="YW17" s="725"/>
      <c r="YX17" s="725"/>
      <c r="YY17" s="725"/>
      <c r="YZ17" s="725"/>
      <c r="ZA17" s="725"/>
      <c r="ZB17" s="725"/>
      <c r="ZC17" s="725"/>
      <c r="ZD17" s="725"/>
      <c r="ZE17" s="725"/>
      <c r="ZF17" s="725"/>
      <c r="ZG17" s="725"/>
      <c r="ZH17" s="725"/>
      <c r="ZI17" s="725"/>
      <c r="ZJ17" s="725"/>
      <c r="ZK17" s="725"/>
      <c r="ZL17" s="725"/>
      <c r="ZM17" s="725"/>
      <c r="ZN17" s="725"/>
      <c r="ZO17" s="725"/>
      <c r="ZP17" s="725"/>
      <c r="ZQ17" s="725"/>
      <c r="ZR17" s="725"/>
      <c r="ZS17" s="725"/>
      <c r="ZT17" s="725"/>
      <c r="ZU17" s="725"/>
      <c r="ZV17" s="725"/>
      <c r="ZW17" s="725"/>
      <c r="ZX17" s="725"/>
      <c r="ZY17" s="725"/>
      <c r="ZZ17" s="725"/>
      <c r="AAA17" s="725"/>
      <c r="AAB17" s="725"/>
      <c r="AAC17" s="725"/>
      <c r="AAD17" s="725"/>
      <c r="AAE17" s="725"/>
      <c r="AAF17" s="725"/>
      <c r="AAG17" s="725"/>
      <c r="AAH17" s="725"/>
      <c r="AAI17" s="725"/>
      <c r="AAJ17" s="725"/>
      <c r="AAK17" s="725"/>
      <c r="AAL17" s="725"/>
      <c r="AAM17" s="725"/>
      <c r="AAN17" s="725"/>
      <c r="AAO17" s="725"/>
      <c r="AAP17" s="725"/>
      <c r="AAQ17" s="725"/>
      <c r="AAR17" s="725"/>
      <c r="AAS17" s="725"/>
      <c r="AAT17" s="725"/>
      <c r="AAU17" s="725"/>
      <c r="AAV17" s="725"/>
      <c r="AAW17" s="725"/>
      <c r="AAX17" s="725"/>
      <c r="AAY17" s="725"/>
      <c r="AAZ17" s="725"/>
      <c r="ABA17" s="725"/>
      <c r="ABB17" s="725"/>
      <c r="ABC17" s="725"/>
      <c r="ABD17" s="725"/>
      <c r="ABE17" s="725"/>
      <c r="ABF17" s="725"/>
      <c r="ABG17" s="725"/>
      <c r="ABH17" s="725"/>
      <c r="ABI17" s="725"/>
      <c r="ABJ17" s="725"/>
      <c r="ABK17" s="725"/>
      <c r="ABL17" s="725"/>
      <c r="ABM17" s="725"/>
      <c r="ABN17" s="725"/>
      <c r="ABO17" s="725"/>
      <c r="ABP17" s="725"/>
      <c r="ABQ17" s="725"/>
      <c r="ABR17" s="725"/>
      <c r="ABS17" s="725"/>
      <c r="ABT17" s="725"/>
      <c r="ABU17" s="725"/>
      <c r="ABV17" s="725"/>
      <c r="ABW17" s="725"/>
      <c r="ABX17" s="725"/>
      <c r="ABY17" s="725"/>
      <c r="ABZ17" s="725"/>
      <c r="ACA17" s="725"/>
      <c r="ACB17" s="725"/>
      <c r="ACC17" s="725"/>
      <c r="ACD17" s="725"/>
      <c r="ACE17" s="725"/>
      <c r="ACF17" s="725"/>
      <c r="ACG17" s="725"/>
      <c r="ACH17" s="725"/>
      <c r="ACI17" s="725"/>
      <c r="ACJ17" s="725"/>
      <c r="ACK17" s="725"/>
      <c r="ACL17" s="725"/>
      <c r="ACM17" s="725"/>
      <c r="ACN17" s="725"/>
      <c r="ACO17" s="725"/>
      <c r="ACP17" s="725"/>
      <c r="ACQ17" s="725"/>
      <c r="ACR17" s="725"/>
      <c r="ACS17" s="725"/>
      <c r="ACT17" s="725"/>
      <c r="ACU17" s="725"/>
      <c r="ACV17" s="725"/>
      <c r="ACW17" s="725"/>
      <c r="ACX17" s="725"/>
      <c r="ACY17" s="725"/>
      <c r="ACZ17" s="725"/>
      <c r="ADA17" s="725"/>
      <c r="ADB17" s="725"/>
      <c r="ADC17" s="725"/>
      <c r="ADD17" s="725"/>
      <c r="ADE17" s="725"/>
      <c r="ADF17" s="725"/>
      <c r="ADG17" s="725"/>
      <c r="ADH17" s="725"/>
      <c r="ADI17" s="725"/>
      <c r="ADJ17" s="725"/>
      <c r="ADK17" s="725"/>
      <c r="ADL17" s="725"/>
      <c r="ADM17" s="725"/>
      <c r="ADN17" s="725"/>
      <c r="ADO17" s="725"/>
      <c r="ADP17" s="725"/>
      <c r="ADQ17" s="725"/>
      <c r="ADR17" s="725"/>
      <c r="ADS17" s="725"/>
      <c r="ADT17" s="725"/>
      <c r="ADU17" s="725"/>
      <c r="ADV17" s="725"/>
      <c r="ADW17" s="725"/>
      <c r="ADX17" s="725"/>
      <c r="ADY17" s="725"/>
      <c r="ADZ17" s="725"/>
      <c r="AEA17" s="725"/>
      <c r="AEB17" s="725"/>
      <c r="AEC17" s="725"/>
      <c r="AED17" s="725"/>
      <c r="AEE17" s="725"/>
      <c r="AEF17" s="725"/>
      <c r="AEG17" s="725"/>
      <c r="AEH17" s="725"/>
      <c r="AEI17" s="725"/>
      <c r="AEJ17" s="725"/>
      <c r="AEK17" s="725"/>
      <c r="AEL17" s="725"/>
      <c r="AEM17" s="725"/>
      <c r="AEN17" s="725"/>
      <c r="AEO17" s="725"/>
      <c r="AEP17" s="725"/>
      <c r="AEQ17" s="725"/>
      <c r="AER17" s="725"/>
      <c r="AES17" s="725"/>
      <c r="AET17" s="725"/>
      <c r="AEU17" s="725"/>
      <c r="AEV17" s="725"/>
      <c r="AEW17" s="725"/>
      <c r="AEX17" s="725"/>
      <c r="AEY17" s="725"/>
      <c r="AEZ17" s="725"/>
      <c r="AFA17" s="725"/>
      <c r="AFB17" s="725"/>
      <c r="AFC17" s="725"/>
      <c r="AFD17" s="725"/>
      <c r="AFE17" s="725"/>
      <c r="AFF17" s="725"/>
      <c r="AFG17" s="725"/>
      <c r="AFH17" s="725"/>
      <c r="AFI17" s="725"/>
      <c r="AFJ17" s="725"/>
      <c r="AFK17" s="725"/>
      <c r="AFL17" s="725"/>
      <c r="AFM17" s="725"/>
      <c r="AFN17" s="725"/>
      <c r="AFO17" s="725"/>
      <c r="AFP17" s="725"/>
      <c r="AFQ17" s="725"/>
      <c r="AFR17" s="725"/>
      <c r="AFS17" s="725"/>
      <c r="AFT17" s="725"/>
      <c r="AFU17" s="725"/>
      <c r="AFV17" s="725"/>
      <c r="AFW17" s="725"/>
      <c r="AFX17" s="725"/>
      <c r="AFY17" s="725"/>
      <c r="AFZ17" s="725"/>
      <c r="AGA17" s="725"/>
      <c r="AGB17" s="725"/>
      <c r="AGC17" s="725"/>
      <c r="AGD17" s="725"/>
      <c r="AGE17" s="725"/>
      <c r="AGF17" s="725"/>
      <c r="AGG17" s="725"/>
      <c r="AGH17" s="725"/>
      <c r="AGI17" s="725"/>
      <c r="AGJ17" s="725"/>
      <c r="AGK17" s="725"/>
      <c r="AGL17" s="725"/>
      <c r="AGM17" s="725"/>
      <c r="AGN17" s="725"/>
      <c r="AGO17" s="725"/>
      <c r="AGP17" s="725"/>
      <c r="AGQ17" s="725"/>
      <c r="AGR17" s="725"/>
      <c r="AGS17" s="725"/>
      <c r="AGT17" s="725"/>
      <c r="AGU17" s="725"/>
      <c r="AGV17" s="725"/>
      <c r="AGW17" s="725"/>
      <c r="AGX17" s="725"/>
      <c r="AGY17" s="725"/>
      <c r="AGZ17" s="725"/>
      <c r="AHA17" s="725"/>
      <c r="AHB17" s="725"/>
      <c r="AHC17" s="725"/>
      <c r="AHD17" s="725"/>
      <c r="AHE17" s="725"/>
      <c r="AHF17" s="725"/>
      <c r="AHG17" s="725"/>
      <c r="AHH17" s="725"/>
      <c r="AHI17" s="725"/>
      <c r="AHJ17" s="725"/>
      <c r="AHK17" s="725"/>
      <c r="AHL17" s="725"/>
      <c r="AHM17" s="725"/>
      <c r="AHN17" s="725"/>
      <c r="AHO17" s="725"/>
      <c r="AHP17" s="725"/>
      <c r="AHQ17" s="725"/>
      <c r="AHR17" s="725"/>
      <c r="AHS17" s="725"/>
      <c r="AHT17" s="725"/>
      <c r="AHU17" s="725"/>
      <c r="AHV17" s="725"/>
      <c r="AHW17" s="725"/>
      <c r="AHX17" s="725"/>
      <c r="AHY17" s="725"/>
      <c r="AHZ17" s="725"/>
      <c r="AIA17" s="725"/>
      <c r="AIB17" s="725"/>
      <c r="AIC17" s="725"/>
      <c r="AID17" s="725"/>
      <c r="AIE17" s="725"/>
      <c r="AIF17" s="725"/>
      <c r="AIG17" s="725"/>
      <c r="AIH17" s="725"/>
      <c r="AII17" s="725"/>
      <c r="AIJ17" s="725"/>
      <c r="AIK17" s="725"/>
      <c r="AIL17" s="725"/>
      <c r="AIM17" s="725"/>
      <c r="AIN17" s="725"/>
      <c r="AIO17" s="725"/>
      <c r="AIP17" s="725"/>
      <c r="AIQ17" s="725"/>
      <c r="AIR17" s="725"/>
      <c r="AIS17" s="725"/>
      <c r="AIT17" s="725"/>
      <c r="AIU17" s="725"/>
      <c r="AIV17" s="725"/>
      <c r="AIW17" s="725"/>
      <c r="AIX17" s="725"/>
      <c r="AIY17" s="725"/>
      <c r="AIZ17" s="725"/>
      <c r="AJA17" s="725"/>
      <c r="AJB17" s="725"/>
      <c r="AJC17" s="725"/>
      <c r="AJD17" s="725"/>
      <c r="AJE17" s="725"/>
      <c r="AJF17" s="725"/>
      <c r="AJG17" s="725"/>
      <c r="AJH17" s="725"/>
      <c r="AJI17" s="725"/>
      <c r="AJJ17" s="725"/>
      <c r="AJK17" s="725"/>
      <c r="AJL17" s="725"/>
      <c r="AJM17" s="725"/>
      <c r="AJN17" s="725"/>
      <c r="AJO17" s="725"/>
      <c r="AJP17" s="725"/>
      <c r="AJQ17" s="725"/>
      <c r="AJR17" s="725"/>
      <c r="AJS17" s="725"/>
      <c r="AJT17" s="725"/>
      <c r="AJU17" s="725"/>
      <c r="AJV17" s="725"/>
      <c r="AJW17" s="725"/>
      <c r="AJX17" s="725"/>
      <c r="AJY17" s="725"/>
      <c r="AJZ17" s="725"/>
      <c r="AKA17" s="725"/>
      <c r="AKB17" s="725"/>
      <c r="AKC17" s="725"/>
      <c r="AKD17" s="725"/>
      <c r="AKE17" s="725"/>
      <c r="AKF17" s="725"/>
      <c r="AKG17" s="725"/>
      <c r="AKH17" s="725"/>
      <c r="AKI17" s="725"/>
      <c r="AKJ17" s="725"/>
      <c r="AKK17" s="725"/>
      <c r="AKL17" s="725"/>
      <c r="AKM17" s="725"/>
      <c r="AKN17" s="725"/>
      <c r="AKO17" s="725"/>
      <c r="AKP17" s="725"/>
      <c r="AKQ17" s="725"/>
      <c r="AKR17" s="725"/>
      <c r="AKS17" s="725"/>
      <c r="AKT17" s="725"/>
      <c r="AKU17" s="725"/>
      <c r="AKV17" s="725"/>
      <c r="AKW17" s="725"/>
      <c r="AKX17" s="725"/>
      <c r="AKY17" s="725"/>
      <c r="AKZ17" s="725"/>
      <c r="ALA17" s="725"/>
      <c r="ALB17" s="725"/>
      <c r="ALC17" s="725"/>
      <c r="ALD17" s="725"/>
      <c r="ALE17" s="725"/>
      <c r="ALF17" s="725"/>
      <c r="ALG17" s="725"/>
      <c r="ALH17" s="725"/>
      <c r="ALI17" s="725"/>
      <c r="ALJ17" s="725"/>
      <c r="ALK17" s="725"/>
      <c r="ALL17" s="725"/>
      <c r="ALM17" s="725"/>
      <c r="ALN17" s="725"/>
      <c r="ALO17" s="725"/>
      <c r="ALP17" s="725"/>
      <c r="ALQ17" s="725"/>
      <c r="ALR17" s="725"/>
      <c r="ALS17" s="725"/>
      <c r="ALT17" s="725"/>
      <c r="ALU17" s="725"/>
      <c r="ALV17" s="725"/>
      <c r="ALW17" s="725"/>
      <c r="ALX17" s="725"/>
      <c r="ALY17" s="725"/>
      <c r="ALZ17" s="725"/>
      <c r="AMA17" s="725"/>
      <c r="AMB17" s="725"/>
      <c r="AMC17" s="725"/>
      <c r="AMD17" s="725"/>
      <c r="AME17" s="725"/>
      <c r="AMF17" s="725"/>
      <c r="AMG17" s="725"/>
      <c r="AMH17" s="725"/>
      <c r="AMI17" s="725"/>
      <c r="AMJ17" s="725"/>
      <c r="AMK17" s="725"/>
    </row>
    <row r="18" spans="1:1025" ht="31.5" thickBot="1">
      <c r="A18" s="2096" t="str">
        <f>A1</f>
        <v>Cross-land Construction Company</v>
      </c>
      <c r="B18" s="2096"/>
      <c r="C18" s="2096"/>
      <c r="D18" s="2096"/>
      <c r="E18" s="2096"/>
      <c r="F18" s="2096"/>
      <c r="G18" s="2096"/>
      <c r="H18" s="2096"/>
      <c r="I18" s="326"/>
      <c r="J18" s="589">
        <f>'[11]Spare  '!$F$305</f>
        <v>72661</v>
      </c>
      <c r="K18" s="327"/>
      <c r="L18" s="327"/>
      <c r="M18" s="327"/>
      <c r="N18" s="327"/>
      <c r="O18" s="327"/>
      <c r="P18" s="295"/>
      <c r="R18" s="257"/>
      <c r="S18" s="296"/>
      <c r="T18" s="297"/>
      <c r="U18" s="321"/>
      <c r="V18" s="328" t="s">
        <v>326</v>
      </c>
      <c r="W18" s="329">
        <v>46.090299999999999</v>
      </c>
      <c r="X18" s="284">
        <v>7</v>
      </c>
      <c r="Y18" s="271">
        <f t="shared" si="1"/>
        <v>322.63209999999998</v>
      </c>
      <c r="Z18" s="272"/>
      <c r="AA18" s="273"/>
      <c r="AB18" s="260"/>
      <c r="AC18" s="300"/>
      <c r="AD18" s="301"/>
      <c r="AE18" s="301"/>
      <c r="AF18" s="301"/>
      <c r="AG18" s="301"/>
      <c r="AH18" s="301"/>
      <c r="AI18" s="301"/>
      <c r="AJ18" s="302">
        <f>AI18*9.55</f>
        <v>0</v>
      </c>
      <c r="AK18" s="303"/>
      <c r="AL18" s="302"/>
      <c r="AM18" s="289"/>
      <c r="AN18" s="330"/>
      <c r="AO18" s="260"/>
    </row>
    <row r="19" spans="1:1025" ht="30.75">
      <c r="A19" s="2097" t="str">
        <f>A2</f>
        <v>Project: Haro sebu-Lelo-Qaqe</v>
      </c>
      <c r="B19" s="2097"/>
      <c r="C19" s="2097"/>
      <c r="D19" s="2097"/>
      <c r="E19" s="2097"/>
      <c r="F19" s="2097"/>
      <c r="G19" s="2097"/>
      <c r="H19" s="2097"/>
      <c r="I19" s="331">
        <f>B15+C15</f>
        <v>15906</v>
      </c>
      <c r="J19" s="332"/>
      <c r="K19" s="332"/>
      <c r="L19" s="332"/>
      <c r="M19" s="332"/>
      <c r="N19" s="333"/>
      <c r="O19" s="333"/>
      <c r="P19" s="295"/>
      <c r="R19" s="257"/>
      <c r="S19" s="296"/>
      <c r="T19" s="297"/>
      <c r="U19" s="321"/>
      <c r="V19" s="283" t="s">
        <v>327</v>
      </c>
      <c r="W19" s="284">
        <v>26.265000000000001</v>
      </c>
      <c r="X19" s="284"/>
      <c r="Y19" s="271">
        <f t="shared" si="1"/>
        <v>0</v>
      </c>
      <c r="Z19" s="272"/>
      <c r="AA19" s="273"/>
      <c r="AB19" s="260"/>
      <c r="AC19" s="300"/>
      <c r="AD19" s="301"/>
      <c r="AE19" s="301"/>
      <c r="AF19" s="301"/>
      <c r="AG19" s="301"/>
      <c r="AH19" s="301"/>
      <c r="AI19" s="301"/>
      <c r="AJ19" s="302">
        <f>AI19*9.55</f>
        <v>0</v>
      </c>
      <c r="AK19" s="303"/>
      <c r="AL19" s="302"/>
      <c r="AM19" s="289"/>
      <c r="AN19" s="260"/>
      <c r="AO19" s="260"/>
    </row>
    <row r="20" spans="1:1025" ht="30.75">
      <c r="A20" s="331"/>
      <c r="B20" s="331"/>
      <c r="C20" s="331"/>
      <c r="D20" s="331"/>
      <c r="E20" s="331"/>
      <c r="F20" s="331"/>
      <c r="G20" s="331"/>
      <c r="H20" s="331"/>
      <c r="I20" s="331">
        <f>B15+C15</f>
        <v>15906</v>
      </c>
      <c r="J20" s="332">
        <f>18.84/0.395</f>
        <v>47.696202531645568</v>
      </c>
      <c r="K20" s="332"/>
      <c r="L20" s="332"/>
      <c r="M20" s="332"/>
      <c r="N20" s="333"/>
      <c r="O20" s="333"/>
      <c r="P20" s="295">
        <f>5297-2760-65</f>
        <v>2472</v>
      </c>
      <c r="R20" s="257"/>
      <c r="S20" s="296"/>
      <c r="T20" s="297"/>
      <c r="U20" s="321"/>
      <c r="V20" s="283" t="s">
        <v>328</v>
      </c>
      <c r="W20" s="284">
        <v>24.335000000000001</v>
      </c>
      <c r="X20" s="284"/>
      <c r="Y20" s="271">
        <f t="shared" si="1"/>
        <v>0</v>
      </c>
      <c r="Z20" s="272"/>
      <c r="AA20" s="273"/>
      <c r="AB20" s="260"/>
      <c r="AC20" s="300"/>
      <c r="AD20" s="301"/>
      <c r="AE20" s="301"/>
      <c r="AF20" s="301"/>
      <c r="AG20" s="301"/>
      <c r="AH20" s="301"/>
      <c r="AI20" s="301"/>
      <c r="AJ20" s="302"/>
      <c r="AK20" s="303"/>
      <c r="AL20" s="302"/>
      <c r="AM20" s="289"/>
      <c r="AN20" s="260"/>
      <c r="AO20" s="260"/>
    </row>
    <row r="21" spans="1:1025" ht="36">
      <c r="A21" s="2072" t="s">
        <v>329</v>
      </c>
      <c r="B21" s="2072"/>
      <c r="C21" s="2072"/>
      <c r="D21" s="2072"/>
      <c r="E21" s="2072"/>
      <c r="F21" s="2072"/>
      <c r="G21" s="2072"/>
      <c r="H21" s="2072"/>
      <c r="I21" s="334"/>
      <c r="J21" s="897">
        <f>42.68/0.395</f>
        <v>108.0506329113924</v>
      </c>
      <c r="K21" s="272"/>
      <c r="L21" s="272"/>
      <c r="M21" s="272"/>
      <c r="P21" s="295"/>
      <c r="R21" s="257"/>
      <c r="S21" s="296"/>
      <c r="T21" s="297"/>
      <c r="U21" s="321"/>
      <c r="V21" s="283" t="s">
        <v>330</v>
      </c>
      <c r="W21" s="284">
        <v>24.335000000000001</v>
      </c>
      <c r="X21" s="284"/>
      <c r="Y21" s="271">
        <f t="shared" si="1"/>
        <v>0</v>
      </c>
      <c r="Z21" s="272"/>
      <c r="AA21" s="273"/>
      <c r="AB21" s="260"/>
      <c r="AC21" s="335" t="s">
        <v>136</v>
      </c>
      <c r="AD21" s="336">
        <v>1</v>
      </c>
      <c r="AE21" s="336">
        <v>8</v>
      </c>
      <c r="AF21" s="336">
        <v>6</v>
      </c>
      <c r="AG21" s="336">
        <f t="shared" ref="AG21:AG26" si="2">AD21*AE21*AF21</f>
        <v>48</v>
      </c>
      <c r="AH21" s="336">
        <v>15</v>
      </c>
      <c r="AI21" s="336">
        <f t="shared" ref="AI21:AI26" si="3">AG21*AH21</f>
        <v>720</v>
      </c>
      <c r="AJ21" s="302">
        <f t="shared" ref="AJ21:AJ26" si="4">AI21*9.55</f>
        <v>6876.0000000000009</v>
      </c>
      <c r="AK21" s="337">
        <v>5</v>
      </c>
      <c r="AL21" s="338">
        <f t="shared" ref="AL21:AL26" si="5">AG21*AK21</f>
        <v>240</v>
      </c>
      <c r="AM21" s="289"/>
      <c r="AN21" s="260"/>
      <c r="AO21" s="260"/>
    </row>
    <row r="22" spans="1:1025" ht="37.5">
      <c r="B22" s="339"/>
      <c r="C22" s="340"/>
      <c r="D22" s="340"/>
      <c r="E22" s="339"/>
      <c r="F22" s="339"/>
      <c r="G22" s="2073" t="str">
        <f>'Weekly Machinery Ex'!P3</f>
        <v>Week 32  ((23-29)-08-07)</v>
      </c>
      <c r="H22" s="2073"/>
      <c r="I22" s="334"/>
      <c r="J22" s="341">
        <f>37.45/0.395</f>
        <v>94.810126582278485</v>
      </c>
      <c r="K22" s="341"/>
      <c r="L22" s="341"/>
      <c r="M22" s="341"/>
      <c r="N22" s="2023"/>
      <c r="O22" s="2023"/>
      <c r="P22" s="295"/>
      <c r="R22" s="256" t="s">
        <v>331</v>
      </c>
      <c r="S22" s="296">
        <v>608.70000000000005</v>
      </c>
      <c r="T22" s="297"/>
      <c r="U22" s="321">
        <f>+S22*T22</f>
        <v>0</v>
      </c>
      <c r="V22" s="283" t="s">
        <v>332</v>
      </c>
      <c r="W22" s="284">
        <v>10.5</v>
      </c>
      <c r="X22" s="284"/>
      <c r="Y22" s="271">
        <f t="shared" si="1"/>
        <v>0</v>
      </c>
      <c r="Z22" s="272"/>
      <c r="AA22" s="273"/>
      <c r="AB22" s="260"/>
      <c r="AC22" s="300" t="s">
        <v>333</v>
      </c>
      <c r="AD22" s="301">
        <v>12</v>
      </c>
      <c r="AE22" s="301">
        <v>8</v>
      </c>
      <c r="AF22" s="301">
        <v>6</v>
      </c>
      <c r="AG22" s="301">
        <f t="shared" si="2"/>
        <v>576</v>
      </c>
      <c r="AH22" s="301">
        <v>10</v>
      </c>
      <c r="AI22" s="301">
        <f t="shared" si="3"/>
        <v>5760</v>
      </c>
      <c r="AJ22" s="302">
        <f t="shared" si="4"/>
        <v>55008.000000000007</v>
      </c>
      <c r="AK22" s="303">
        <f>20000/30/10</f>
        <v>66.666666666666657</v>
      </c>
      <c r="AL22" s="302">
        <f t="shared" si="5"/>
        <v>38399.999999999993</v>
      </c>
      <c r="AM22" s="289"/>
      <c r="AN22" s="260"/>
      <c r="AO22" s="260"/>
    </row>
    <row r="23" spans="1:1025" ht="26.25">
      <c r="A23" s="803" t="s">
        <v>334</v>
      </c>
      <c r="B23" s="2098" t="s">
        <v>227</v>
      </c>
      <c r="C23" s="2074" t="s">
        <v>335</v>
      </c>
      <c r="D23" s="2074"/>
      <c r="E23" s="2056" t="s">
        <v>227</v>
      </c>
      <c r="F23" s="2056"/>
      <c r="G23" s="2057" t="s">
        <v>336</v>
      </c>
      <c r="H23" s="2058"/>
      <c r="I23" s="342"/>
      <c r="J23" s="2068">
        <f>I24-B15</f>
        <v>0</v>
      </c>
      <c r="K23" s="2023"/>
      <c r="L23" s="2023"/>
      <c r="M23" s="2023"/>
      <c r="N23" s="2054"/>
      <c r="O23" s="2054"/>
      <c r="P23" s="295"/>
      <c r="R23" s="256" t="s">
        <v>337</v>
      </c>
      <c r="S23" s="296">
        <v>600</v>
      </c>
      <c r="T23" s="297"/>
      <c r="U23" s="321">
        <f>+S23*T23</f>
        <v>0</v>
      </c>
      <c r="V23" s="283" t="s">
        <v>338</v>
      </c>
      <c r="W23" s="284">
        <f>(27.18+39.63)/2</f>
        <v>33.405000000000001</v>
      </c>
      <c r="X23" s="284"/>
      <c r="Y23" s="271">
        <f t="shared" si="1"/>
        <v>0</v>
      </c>
      <c r="Z23" s="272"/>
      <c r="AA23" s="273"/>
      <c r="AB23" s="260"/>
      <c r="AC23" s="300" t="s">
        <v>157</v>
      </c>
      <c r="AD23" s="301">
        <v>7</v>
      </c>
      <c r="AE23" s="301">
        <v>8</v>
      </c>
      <c r="AF23" s="301">
        <v>6</v>
      </c>
      <c r="AG23" s="301">
        <f t="shared" si="2"/>
        <v>336</v>
      </c>
      <c r="AH23" s="301">
        <v>3</v>
      </c>
      <c r="AI23" s="301">
        <f t="shared" si="3"/>
        <v>1008</v>
      </c>
      <c r="AJ23" s="302">
        <f t="shared" si="4"/>
        <v>9626.4000000000015</v>
      </c>
      <c r="AK23" s="303">
        <v>50</v>
      </c>
      <c r="AL23" s="302">
        <f t="shared" si="5"/>
        <v>16800</v>
      </c>
      <c r="AM23" s="289"/>
      <c r="AN23" s="260"/>
      <c r="AO23" s="260"/>
    </row>
    <row r="24" spans="1:1025" ht="26.25">
      <c r="A24" s="804"/>
      <c r="B24" s="2098"/>
      <c r="C24" s="805" t="s">
        <v>339</v>
      </c>
      <c r="D24" s="805" t="s">
        <v>340</v>
      </c>
      <c r="E24" s="2056"/>
      <c r="F24" s="2056"/>
      <c r="G24" s="806" t="s">
        <v>339</v>
      </c>
      <c r="H24" s="807" t="s">
        <v>340</v>
      </c>
      <c r="I24" s="587">
        <f>SUM(B7:B13)</f>
        <v>11764</v>
      </c>
      <c r="J24" s="588">
        <f>I25-C15</f>
        <v>0</v>
      </c>
      <c r="K24" s="343"/>
      <c r="L24" s="2023"/>
      <c r="M24" s="2023"/>
      <c r="N24" s="2069"/>
      <c r="O24" s="2069"/>
      <c r="P24" s="295"/>
      <c r="R24" s="256" t="s">
        <v>341</v>
      </c>
      <c r="S24" s="296">
        <v>573.29999999999995</v>
      </c>
      <c r="T24" s="297"/>
      <c r="U24" s="321">
        <f>+T24*S24</f>
        <v>0</v>
      </c>
      <c r="V24" s="283" t="s">
        <v>342</v>
      </c>
      <c r="W24" s="284">
        <v>41.14</v>
      </c>
      <c r="X24" s="284"/>
      <c r="Y24" s="271">
        <f t="shared" si="1"/>
        <v>0</v>
      </c>
      <c r="Z24" s="272"/>
      <c r="AA24" s="273"/>
      <c r="AB24" s="260"/>
      <c r="AC24" s="300" t="s">
        <v>343</v>
      </c>
      <c r="AD24" s="301">
        <v>3</v>
      </c>
      <c r="AE24" s="301">
        <v>8</v>
      </c>
      <c r="AF24" s="301">
        <v>6</v>
      </c>
      <c r="AG24" s="301">
        <f t="shared" si="2"/>
        <v>144</v>
      </c>
      <c r="AH24" s="301">
        <v>10</v>
      </c>
      <c r="AI24" s="301">
        <f t="shared" si="3"/>
        <v>1440</v>
      </c>
      <c r="AJ24" s="302">
        <f t="shared" si="4"/>
        <v>13752.000000000002</v>
      </c>
      <c r="AK24" s="303">
        <v>80</v>
      </c>
      <c r="AL24" s="302">
        <f t="shared" si="5"/>
        <v>11520</v>
      </c>
      <c r="AM24" s="289"/>
      <c r="AN24" s="260"/>
      <c r="AO24" s="260"/>
    </row>
    <row r="25" spans="1:1025" ht="36" customHeight="1">
      <c r="A25" s="345"/>
      <c r="B25" s="346" t="s">
        <v>297</v>
      </c>
      <c r="C25" s="347">
        <f>C26+C36</f>
        <v>283309.87410000002</v>
      </c>
      <c r="D25" s="348">
        <f>D26+D36</f>
        <v>278215.96999999997</v>
      </c>
      <c r="E25" s="2059" t="s">
        <v>344</v>
      </c>
      <c r="F25" s="2059"/>
      <c r="G25" s="349">
        <f>'Weekly Progress Report'!N9</f>
        <v>2750</v>
      </c>
      <c r="H25" s="350">
        <f>'Weekly Progress Report'!P9</f>
        <v>2750</v>
      </c>
      <c r="I25" s="351">
        <f>SUM(C7:C13)</f>
        <v>4142</v>
      </c>
      <c r="J25" s="352">
        <v>244705.08</v>
      </c>
      <c r="K25" s="353">
        <f>+D25-J25</f>
        <v>33510.889999999985</v>
      </c>
      <c r="L25" s="354">
        <v>334180</v>
      </c>
      <c r="M25" s="354">
        <f>+H25-L25</f>
        <v>-331430</v>
      </c>
      <c r="N25" s="2054"/>
      <c r="O25" s="2054"/>
      <c r="P25" s="295"/>
      <c r="R25" s="256" t="s">
        <v>345</v>
      </c>
      <c r="S25" s="296">
        <v>1100</v>
      </c>
      <c r="T25" s="355"/>
      <c r="U25" s="356">
        <f>+S25*T25</f>
        <v>0</v>
      </c>
      <c r="V25" s="357" t="s">
        <v>346</v>
      </c>
      <c r="W25" s="284">
        <v>24.335000000000001</v>
      </c>
      <c r="X25" s="312"/>
      <c r="Y25" s="271">
        <f t="shared" si="1"/>
        <v>0</v>
      </c>
      <c r="Z25" s="272"/>
      <c r="AA25" s="273"/>
      <c r="AB25" s="260"/>
      <c r="AC25" s="300" t="s">
        <v>347</v>
      </c>
      <c r="AD25" s="336">
        <v>7</v>
      </c>
      <c r="AE25" s="336">
        <v>8</v>
      </c>
      <c r="AF25" s="336">
        <v>6</v>
      </c>
      <c r="AG25" s="336">
        <f t="shared" si="2"/>
        <v>336</v>
      </c>
      <c r="AH25" s="336">
        <v>5</v>
      </c>
      <c r="AI25" s="336">
        <f t="shared" si="3"/>
        <v>1680</v>
      </c>
      <c r="AJ25" s="302">
        <f t="shared" si="4"/>
        <v>16044.000000000002</v>
      </c>
      <c r="AK25" s="337">
        <v>2</v>
      </c>
      <c r="AL25" s="338">
        <f t="shared" si="5"/>
        <v>672</v>
      </c>
      <c r="AM25" s="289"/>
      <c r="AN25" s="260"/>
      <c r="AO25" s="260"/>
    </row>
    <row r="26" spans="1:1025" ht="29.25" customHeight="1">
      <c r="A26" s="358">
        <v>2.1</v>
      </c>
      <c r="B26" s="421" t="s">
        <v>348</v>
      </c>
      <c r="C26" s="360">
        <f>SUM(C29:C35)</f>
        <v>177601.02179999999</v>
      </c>
      <c r="D26" s="361">
        <f>D29+D30+D31+D32+D33+D34+D35</f>
        <v>174942.07999999999</v>
      </c>
      <c r="E26" s="2060" t="s">
        <v>349</v>
      </c>
      <c r="F26" s="2060"/>
      <c r="G26" s="362">
        <f>'Weekly Progress Report'!N10</f>
        <v>0</v>
      </c>
      <c r="H26" s="363">
        <f>'Weekly Progress Report'!P10</f>
        <v>0</v>
      </c>
      <c r="I26" s="364"/>
      <c r="J26" s="365">
        <v>197309.73</v>
      </c>
      <c r="K26" s="366"/>
      <c r="L26" s="365">
        <v>55200</v>
      </c>
      <c r="M26" s="354">
        <f>+H26-L26</f>
        <v>-55200</v>
      </c>
      <c r="N26" s="367">
        <f>SUM(M25:M26)</f>
        <v>-386630</v>
      </c>
      <c r="O26" s="368"/>
      <c r="P26" s="295"/>
      <c r="R26" s="256" t="s">
        <v>350</v>
      </c>
      <c r="S26" s="369">
        <v>74.09</v>
      </c>
      <c r="T26" s="355"/>
      <c r="U26" s="321">
        <f>+S26*T26</f>
        <v>0</v>
      </c>
      <c r="V26" s="283" t="s">
        <v>351</v>
      </c>
      <c r="W26" s="284">
        <v>41.387</v>
      </c>
      <c r="X26" s="312">
        <v>35</v>
      </c>
      <c r="Y26" s="271">
        <f t="shared" si="1"/>
        <v>1448.5450000000001</v>
      </c>
      <c r="Z26" s="272"/>
      <c r="AA26" s="273"/>
      <c r="AB26" s="260"/>
      <c r="AC26" s="370" t="s">
        <v>133</v>
      </c>
      <c r="AD26" s="301">
        <v>3</v>
      </c>
      <c r="AE26" s="301">
        <v>8</v>
      </c>
      <c r="AF26" s="301">
        <v>6</v>
      </c>
      <c r="AG26" s="301">
        <f t="shared" si="2"/>
        <v>144</v>
      </c>
      <c r="AH26" s="301">
        <v>2</v>
      </c>
      <c r="AI26" s="301">
        <f t="shared" si="3"/>
        <v>288</v>
      </c>
      <c r="AJ26" s="302">
        <f t="shared" si="4"/>
        <v>2750.4</v>
      </c>
      <c r="AK26" s="303">
        <v>20</v>
      </c>
      <c r="AL26" s="302">
        <f t="shared" si="5"/>
        <v>2880</v>
      </c>
      <c r="AM26" s="289"/>
      <c r="AN26" s="260"/>
      <c r="AO26" s="260"/>
    </row>
    <row r="27" spans="1:1025" ht="29.25" customHeight="1">
      <c r="A27" s="358"/>
      <c r="B27" s="359"/>
      <c r="C27" s="360"/>
      <c r="D27" s="361"/>
      <c r="E27" s="2042"/>
      <c r="F27" s="2042"/>
      <c r="G27" s="362"/>
      <c r="H27" s="363"/>
      <c r="I27" s="364"/>
      <c r="J27" s="365"/>
      <c r="K27" s="366"/>
      <c r="L27" s="365"/>
      <c r="M27" s="354"/>
      <c r="N27" s="367"/>
      <c r="O27" s="368"/>
      <c r="P27" s="295"/>
      <c r="R27" s="256"/>
      <c r="S27" s="369"/>
      <c r="T27" s="355"/>
      <c r="U27" s="321"/>
      <c r="V27" s="283" t="s">
        <v>352</v>
      </c>
      <c r="W27" s="284">
        <v>41.06</v>
      </c>
      <c r="X27" s="312"/>
      <c r="Y27" s="271">
        <f>X27*W27</f>
        <v>0</v>
      </c>
      <c r="Z27" s="272"/>
      <c r="AA27" s="273"/>
      <c r="AB27" s="260"/>
      <c r="AC27" s="370"/>
      <c r="AD27" s="301"/>
      <c r="AE27" s="301"/>
      <c r="AF27" s="301"/>
      <c r="AG27" s="301"/>
      <c r="AH27" s="301"/>
      <c r="AI27" s="301"/>
      <c r="AJ27" s="302"/>
      <c r="AK27" s="303"/>
      <c r="AL27" s="302"/>
      <c r="AM27" s="289"/>
      <c r="AN27" s="260"/>
      <c r="AO27" s="260"/>
    </row>
    <row r="28" spans="1:1025" ht="29.25" customHeight="1">
      <c r="A28" s="358"/>
      <c r="B28" s="375" t="s">
        <v>354</v>
      </c>
      <c r="C28" s="360"/>
      <c r="D28" s="361"/>
      <c r="E28" s="372"/>
      <c r="F28" s="373"/>
      <c r="G28" s="362"/>
      <c r="H28" s="363"/>
      <c r="I28" s="364">
        <f>C38*4</f>
        <v>152227.614</v>
      </c>
      <c r="J28" s="365"/>
      <c r="K28" s="366"/>
      <c r="L28" s="365"/>
      <c r="M28" s="354"/>
      <c r="N28" s="367"/>
      <c r="O28" s="368"/>
      <c r="P28" s="295"/>
      <c r="R28" s="256"/>
      <c r="S28" s="369"/>
      <c r="T28" s="355"/>
      <c r="U28" s="321"/>
      <c r="V28" s="283">
        <v>454</v>
      </c>
      <c r="W28" s="284">
        <v>60.45</v>
      </c>
      <c r="X28" s="312"/>
      <c r="Y28" s="271">
        <f>W28*X28</f>
        <v>0</v>
      </c>
      <c r="Z28" s="272"/>
      <c r="AA28" s="273"/>
      <c r="AB28" s="260"/>
      <c r="AC28" s="370"/>
      <c r="AD28" s="301"/>
      <c r="AE28" s="301"/>
      <c r="AF28" s="301"/>
      <c r="AG28" s="301"/>
      <c r="AH28" s="301"/>
      <c r="AI28" s="301"/>
      <c r="AJ28" s="302"/>
      <c r="AK28" s="303"/>
      <c r="AL28" s="302"/>
      <c r="AM28" s="289"/>
      <c r="AN28" s="260"/>
      <c r="AO28" s="260"/>
    </row>
    <row r="29" spans="1:1025" ht="34.5" customHeight="1">
      <c r="A29" s="374" t="s">
        <v>353</v>
      </c>
      <c r="B29" s="375" t="s">
        <v>354</v>
      </c>
      <c r="C29" s="376">
        <f>D29*1.01</f>
        <v>75234.879799999995</v>
      </c>
      <c r="D29" s="903">
        <v>74489.98</v>
      </c>
      <c r="E29" s="2051" t="s">
        <v>355</v>
      </c>
      <c r="F29" s="2051"/>
      <c r="G29" s="362">
        <f>'Weekly Progress Report'!N40+'Weekly Progress Report'!M70</f>
        <v>83599.743467276363</v>
      </c>
      <c r="H29" s="379">
        <f>'Weekly Progress Report'!P40+'Weekly Progress Report'!P169</f>
        <v>53558.923880945076</v>
      </c>
      <c r="I29" s="364">
        <f>I28/7</f>
        <v>21746.802</v>
      </c>
      <c r="J29" s="365">
        <v>71850</v>
      </c>
      <c r="K29" s="366"/>
      <c r="L29" s="365">
        <v>0</v>
      </c>
      <c r="M29" s="354">
        <f t="shared" ref="M29:M34" si="6">+H29-L29</f>
        <v>53558.923880945076</v>
      </c>
      <c r="N29" s="2054"/>
      <c r="O29" s="2054"/>
      <c r="P29" s="295"/>
      <c r="R29" s="256" t="s">
        <v>350</v>
      </c>
      <c r="S29" s="296">
        <v>48.7</v>
      </c>
      <c r="T29" s="355"/>
      <c r="U29" s="321">
        <f>+S29*T29</f>
        <v>0</v>
      </c>
      <c r="V29" s="357" t="s">
        <v>356</v>
      </c>
      <c r="W29" s="284">
        <v>16.670000000000002</v>
      </c>
      <c r="X29" s="312"/>
      <c r="Y29" s="271">
        <f>W29*X29</f>
        <v>0</v>
      </c>
      <c r="Z29" s="272"/>
      <c r="AA29" s="273"/>
      <c r="AB29" s="260"/>
      <c r="AC29" s="300" t="s">
        <v>200</v>
      </c>
      <c r="AD29" s="301">
        <v>3</v>
      </c>
      <c r="AE29" s="301">
        <v>8</v>
      </c>
      <c r="AF29" s="301">
        <v>6</v>
      </c>
      <c r="AG29" s="301">
        <f>AD29*AE29*AF29</f>
        <v>144</v>
      </c>
      <c r="AH29" s="301">
        <v>10</v>
      </c>
      <c r="AI29" s="301">
        <f>AG29*AH29</f>
        <v>1440</v>
      </c>
      <c r="AJ29" s="302">
        <f>AI29*9.55</f>
        <v>13752.000000000002</v>
      </c>
      <c r="AK29" s="303">
        <v>120</v>
      </c>
      <c r="AL29" s="302">
        <f>AG29*AK29</f>
        <v>17280</v>
      </c>
      <c r="AM29" s="289"/>
      <c r="AN29" s="260"/>
      <c r="AO29" s="260"/>
    </row>
    <row r="30" spans="1:1025" ht="31.5" customHeight="1">
      <c r="A30" s="374" t="s">
        <v>357</v>
      </c>
      <c r="B30" s="375" t="s">
        <v>358</v>
      </c>
      <c r="C30" s="376">
        <f>D30</f>
        <v>4750</v>
      </c>
      <c r="D30" s="903">
        <v>4750</v>
      </c>
      <c r="E30" s="2051" t="s">
        <v>359</v>
      </c>
      <c r="F30" s="2051"/>
      <c r="G30" s="362">
        <f>'Weekly Progress Report'!N23-'Weekly Progress Report'!N9-'Weekly Progress Report'!N10</f>
        <v>2085997.1080000002</v>
      </c>
      <c r="H30" s="379">
        <f>'Weekly Progress Report'!P23-'Weekly Progress Report'!P9-'Weekly Progress Report'!P10</f>
        <v>1296414.28</v>
      </c>
      <c r="I30" s="364"/>
      <c r="J30" s="365">
        <v>5500</v>
      </c>
      <c r="K30" s="366"/>
      <c r="L30" s="365">
        <v>815951.25359226298</v>
      </c>
      <c r="M30" s="354">
        <f t="shared" si="6"/>
        <v>480463.02640773705</v>
      </c>
      <c r="N30" s="380">
        <f>SUM(M30:M36)</f>
        <v>-469236.45306198113</v>
      </c>
      <c r="O30" s="381"/>
      <c r="P30" s="295"/>
      <c r="R30" s="257"/>
      <c r="S30" s="304" t="s">
        <v>118</v>
      </c>
      <c r="T30" s="382"/>
      <c r="U30" s="383">
        <f>SUM(U11:U29)</f>
        <v>0</v>
      </c>
      <c r="V30" s="384"/>
      <c r="W30" s="385"/>
      <c r="X30" s="385"/>
      <c r="Y30" s="383">
        <f>SUM(Y2:Y29)</f>
        <v>3599.8121000000001</v>
      </c>
      <c r="Z30" s="250"/>
      <c r="AA30" s="365"/>
      <c r="AB30" s="260"/>
      <c r="AC30" s="386"/>
      <c r="AD30" s="387"/>
      <c r="AE30" s="387"/>
      <c r="AF30" s="387"/>
      <c r="AG30" s="387"/>
      <c r="AH30" s="387"/>
      <c r="AI30" s="387"/>
      <c r="AJ30" s="388"/>
      <c r="AK30" s="389"/>
      <c r="AL30" s="388"/>
      <c r="AM30" s="289"/>
      <c r="AN30" s="260"/>
      <c r="AO30" s="260"/>
    </row>
    <row r="31" spans="1:1025" ht="62.45" customHeight="1">
      <c r="A31" s="374" t="s">
        <v>360</v>
      </c>
      <c r="B31" s="375" t="s">
        <v>361</v>
      </c>
      <c r="C31" s="376">
        <f t="shared" ref="C31:C33" si="7">D31*1.03</f>
        <v>0</v>
      </c>
      <c r="D31" s="903"/>
      <c r="E31" s="2071" t="s">
        <v>362</v>
      </c>
      <c r="F31" s="2071"/>
      <c r="G31" s="390">
        <f>'Weekly Progress Report'!N26</f>
        <v>0</v>
      </c>
      <c r="H31" s="379">
        <f>'Weekly Progress Report'!P26</f>
        <v>0</v>
      </c>
      <c r="I31" s="364"/>
      <c r="J31" s="365">
        <v>27815</v>
      </c>
      <c r="K31" s="366"/>
      <c r="L31" s="365">
        <v>0</v>
      </c>
      <c r="M31" s="354">
        <f t="shared" si="6"/>
        <v>0</v>
      </c>
      <c r="N31" s="2054"/>
      <c r="O31" s="2054"/>
      <c r="P31" s="344"/>
      <c r="R31" s="257"/>
      <c r="S31" s="257"/>
      <c r="T31" s="257"/>
      <c r="U31" s="257"/>
      <c r="V31" s="391"/>
      <c r="W31" s="391"/>
      <c r="X31" s="391"/>
      <c r="Y31" s="365"/>
      <c r="Z31" s="250"/>
      <c r="AA31" s="365"/>
      <c r="AB31" s="260"/>
      <c r="AC31" s="386"/>
      <c r="AD31" s="387"/>
      <c r="AE31" s="387"/>
      <c r="AF31" s="387"/>
      <c r="AG31" s="387"/>
      <c r="AH31" s="387"/>
      <c r="AI31" s="387"/>
      <c r="AJ31" s="388"/>
      <c r="AK31" s="389"/>
      <c r="AL31" s="388"/>
      <c r="AM31" s="289"/>
      <c r="AN31" s="260"/>
      <c r="AO31" s="260"/>
    </row>
    <row r="32" spans="1:1025" ht="26.25" customHeight="1">
      <c r="A32" s="374" t="s">
        <v>117</v>
      </c>
      <c r="B32" s="375" t="s">
        <v>363</v>
      </c>
      <c r="C32" s="376">
        <f>D32*1.02</f>
        <v>53503.08</v>
      </c>
      <c r="D32" s="903">
        <v>52454</v>
      </c>
      <c r="E32" s="2051" t="s">
        <v>364</v>
      </c>
      <c r="F32" s="2051"/>
      <c r="G32" s="400">
        <f>'Weekly Progress Report'!N56</f>
        <v>194757.30949888448</v>
      </c>
      <c r="H32" s="379">
        <f>'Weekly Progress Report'!P56+'Weekly Progress Report'!P170+'Weekly Progress Report'!P171</f>
        <v>180434.90949888449</v>
      </c>
      <c r="I32" s="364"/>
      <c r="J32" s="365">
        <v>1250</v>
      </c>
      <c r="K32" s="366"/>
      <c r="L32" s="365">
        <v>0</v>
      </c>
      <c r="M32" s="354">
        <f t="shared" si="6"/>
        <v>180434.90949888449</v>
      </c>
      <c r="N32" s="295"/>
      <c r="O32" s="295"/>
      <c r="P32" s="344"/>
      <c r="Y32" s="250"/>
      <c r="Z32" s="250"/>
      <c r="AA32" s="365"/>
      <c r="AB32" s="260"/>
      <c r="AC32" s="386"/>
      <c r="AD32" s="387"/>
      <c r="AE32" s="387"/>
      <c r="AF32" s="387"/>
      <c r="AG32" s="387"/>
      <c r="AH32" s="387"/>
      <c r="AI32" s="387"/>
      <c r="AJ32" s="388">
        <f>AI32*11.3</f>
        <v>0</v>
      </c>
      <c r="AK32" s="389"/>
      <c r="AL32" s="388"/>
      <c r="AM32" s="289"/>
      <c r="AN32" s="260"/>
      <c r="AO32" s="260"/>
    </row>
    <row r="33" spans="1:42" ht="28.5" customHeight="1">
      <c r="A33" s="374" t="s">
        <v>365</v>
      </c>
      <c r="B33" s="375" t="s">
        <v>366</v>
      </c>
      <c r="C33" s="376">
        <f t="shared" si="7"/>
        <v>0</v>
      </c>
      <c r="D33" s="903"/>
      <c r="E33" s="2051" t="s">
        <v>367</v>
      </c>
      <c r="F33" s="2051"/>
      <c r="G33" s="393">
        <f>'Weekly Progress Report'!N61</f>
        <v>0</v>
      </c>
      <c r="H33" s="379">
        <f>'Weekly Progress Report'!P61</f>
        <v>0</v>
      </c>
      <c r="I33" s="364"/>
      <c r="J33" s="394">
        <v>52625</v>
      </c>
      <c r="K33" s="395"/>
      <c r="L33" s="365">
        <v>0</v>
      </c>
      <c r="M33" s="354">
        <f t="shared" si="6"/>
        <v>0</v>
      </c>
      <c r="N33" s="2054"/>
      <c r="O33" s="2054"/>
      <c r="P33" s="396"/>
      <c r="T33" s="397"/>
      <c r="U33" s="397"/>
      <c r="V33" s="2061" t="s">
        <v>368</v>
      </c>
      <c r="W33" s="2061"/>
      <c r="X33" s="2061"/>
      <c r="Y33" s="2061"/>
      <c r="Z33" s="398"/>
      <c r="AA33" s="399"/>
      <c r="AB33" s="260"/>
      <c r="AC33" s="386"/>
      <c r="AD33" s="387"/>
      <c r="AE33" s="387"/>
      <c r="AF33" s="387"/>
      <c r="AG33" s="387"/>
      <c r="AH33" s="387"/>
      <c r="AI33" s="387"/>
      <c r="AJ33" s="388"/>
      <c r="AK33" s="389"/>
      <c r="AL33" s="388"/>
      <c r="AM33" s="289"/>
      <c r="AN33" s="260"/>
      <c r="AO33" s="260"/>
    </row>
    <row r="34" spans="1:42" ht="27" customHeight="1">
      <c r="A34" s="374" t="s">
        <v>369</v>
      </c>
      <c r="B34" s="375" t="s">
        <v>370</v>
      </c>
      <c r="C34" s="376">
        <f>D34*1.02</f>
        <v>35755.284</v>
      </c>
      <c r="D34" s="902">
        <v>35054.199999999997</v>
      </c>
      <c r="E34" s="2051" t="s">
        <v>371</v>
      </c>
      <c r="F34" s="2051"/>
      <c r="G34" s="400">
        <f>'Weekly Progress Report'!N119</f>
        <v>58127.115441959868</v>
      </c>
      <c r="H34" s="379">
        <f>'Weekly Progress Report'!P119</f>
        <v>52883.197705874132</v>
      </c>
      <c r="I34" s="364"/>
      <c r="J34" s="394">
        <v>38269.730000000003</v>
      </c>
      <c r="K34" s="395"/>
      <c r="L34" s="365">
        <v>705549.25790867803</v>
      </c>
      <c r="M34" s="354">
        <f t="shared" si="6"/>
        <v>-652666.06020280393</v>
      </c>
      <c r="N34" s="295"/>
      <c r="O34" s="295"/>
      <c r="P34" s="396"/>
      <c r="T34" s="397"/>
      <c r="U34" s="397"/>
      <c r="V34" s="401" t="s">
        <v>283</v>
      </c>
      <c r="W34" s="402">
        <v>32.002499999999998</v>
      </c>
      <c r="X34" s="402"/>
      <c r="Y34" s="403">
        <f>W34*X34</f>
        <v>0</v>
      </c>
      <c r="Z34" s="398"/>
      <c r="AA34" s="399"/>
      <c r="AB34" s="260"/>
      <c r="AC34" s="386"/>
      <c r="AD34" s="387"/>
      <c r="AE34" s="387"/>
      <c r="AF34" s="387"/>
      <c r="AG34" s="387"/>
      <c r="AH34" s="387"/>
      <c r="AI34" s="387"/>
      <c r="AJ34" s="388"/>
      <c r="AK34" s="389"/>
      <c r="AL34" s="388"/>
      <c r="AM34" s="289"/>
      <c r="AN34" s="260"/>
      <c r="AO34" s="260"/>
    </row>
    <row r="35" spans="1:42" ht="27" customHeight="1">
      <c r="A35" s="374" t="s">
        <v>785</v>
      </c>
      <c r="B35" s="375" t="s">
        <v>784</v>
      </c>
      <c r="C35" s="376">
        <f>D35*1.02</f>
        <v>8357.7780000000002</v>
      </c>
      <c r="D35" s="903">
        <v>8193.9</v>
      </c>
      <c r="E35" s="404"/>
      <c r="F35" s="378"/>
      <c r="G35" s="400"/>
      <c r="H35" s="379"/>
      <c r="I35" s="364"/>
      <c r="J35" s="394"/>
      <c r="K35" s="395"/>
      <c r="L35" s="365"/>
      <c r="M35" s="354"/>
      <c r="N35" s="295"/>
      <c r="O35" s="295"/>
      <c r="P35" s="396"/>
      <c r="T35" s="397"/>
      <c r="U35" s="397"/>
      <c r="V35" s="405"/>
      <c r="W35" s="406"/>
      <c r="X35" s="406"/>
      <c r="Y35" s="407"/>
      <c r="Z35" s="398"/>
      <c r="AA35" s="399"/>
      <c r="AB35" s="260"/>
      <c r="AC35" s="386"/>
      <c r="AD35" s="387"/>
      <c r="AE35" s="387"/>
      <c r="AF35" s="387"/>
      <c r="AG35" s="387"/>
      <c r="AH35" s="387"/>
      <c r="AI35" s="387"/>
      <c r="AJ35" s="388"/>
      <c r="AK35" s="389"/>
      <c r="AL35" s="388"/>
      <c r="AM35" s="289"/>
      <c r="AN35" s="260"/>
      <c r="AO35" s="260"/>
    </row>
    <row r="36" spans="1:42" ht="38.25" customHeight="1">
      <c r="A36" s="374" t="s">
        <v>372</v>
      </c>
      <c r="B36" s="421" t="s">
        <v>373</v>
      </c>
      <c r="C36" s="408">
        <f>SUM(C37:C38)</f>
        <v>105708.8523</v>
      </c>
      <c r="D36" s="904">
        <f>D37+D38</f>
        <v>103273.89</v>
      </c>
      <c r="E36" s="2051" t="s">
        <v>374</v>
      </c>
      <c r="F36" s="2051"/>
      <c r="G36" s="400">
        <f>'Weekly Progress Report'!N167</f>
        <v>89077.91944193824</v>
      </c>
      <c r="H36" s="379">
        <f>'Weekly Progress Report'!P167</f>
        <v>83079.401441938244</v>
      </c>
      <c r="I36" s="364"/>
      <c r="J36" s="394">
        <v>47395.35</v>
      </c>
      <c r="K36" s="353"/>
      <c r="L36" s="365">
        <v>560547.73020773695</v>
      </c>
      <c r="M36" s="354">
        <f>+H36-L36</f>
        <v>-477468.32876579871</v>
      </c>
      <c r="N36" s="295"/>
      <c r="O36" s="295"/>
      <c r="P36" s="396"/>
      <c r="T36" s="397"/>
      <c r="U36" s="397"/>
      <c r="V36" s="328" t="s">
        <v>289</v>
      </c>
      <c r="W36" s="410">
        <v>1453.2</v>
      </c>
      <c r="X36" s="410"/>
      <c r="Y36" s="411">
        <f t="shared" ref="Y36:Y43" si="8">W36*X36</f>
        <v>0</v>
      </c>
      <c r="Z36" s="398"/>
      <c r="AA36" s="399"/>
      <c r="AB36" s="260"/>
      <c r="AC36" s="386"/>
      <c r="AD36" s="387"/>
      <c r="AE36" s="387"/>
      <c r="AF36" s="387"/>
      <c r="AG36" s="387"/>
      <c r="AH36" s="387"/>
      <c r="AI36" s="387"/>
      <c r="AJ36" s="388"/>
      <c r="AK36" s="389"/>
      <c r="AL36" s="388"/>
      <c r="AM36" s="289"/>
      <c r="AN36" s="260"/>
      <c r="AO36" s="260"/>
    </row>
    <row r="37" spans="1:42" ht="26.25" customHeight="1">
      <c r="A37" s="374" t="s">
        <v>353</v>
      </c>
      <c r="B37" s="375" t="s">
        <v>354</v>
      </c>
      <c r="C37" s="376">
        <f>D37*1.02</f>
        <v>67651.948799999998</v>
      </c>
      <c r="D37" s="903">
        <v>66325.440000000002</v>
      </c>
      <c r="E37" s="2051"/>
      <c r="F37" s="2051"/>
      <c r="G37" s="393"/>
      <c r="H37" s="412"/>
      <c r="I37" s="395"/>
      <c r="J37" s="394">
        <v>28320</v>
      </c>
      <c r="K37" s="395"/>
      <c r="L37" s="413"/>
      <c r="M37" s="354">
        <f>SUM(M25:M36)</f>
        <v>-802307.52918103605</v>
      </c>
      <c r="N37" s="295"/>
      <c r="O37" s="295"/>
      <c r="P37" s="396"/>
      <c r="T37" s="397"/>
      <c r="U37" s="397"/>
      <c r="V37" s="328" t="s">
        <v>291</v>
      </c>
      <c r="W37" s="410">
        <v>23.855</v>
      </c>
      <c r="X37" s="410"/>
      <c r="Y37" s="411">
        <f t="shared" si="8"/>
        <v>0</v>
      </c>
      <c r="Z37" s="398"/>
      <c r="AA37" s="399"/>
      <c r="AB37" s="260"/>
      <c r="AC37" s="386"/>
      <c r="AD37" s="387"/>
      <c r="AE37" s="387"/>
      <c r="AF37" s="387"/>
      <c r="AG37" s="387"/>
      <c r="AH37" s="387"/>
      <c r="AI37" s="387"/>
      <c r="AJ37" s="388"/>
      <c r="AK37" s="389"/>
      <c r="AL37" s="388"/>
      <c r="AM37" s="289"/>
      <c r="AN37" s="260"/>
      <c r="AO37" s="260"/>
    </row>
    <row r="38" spans="1:42" ht="27.75" customHeight="1">
      <c r="A38" s="374" t="s">
        <v>369</v>
      </c>
      <c r="B38" s="375" t="s">
        <v>370</v>
      </c>
      <c r="C38" s="376">
        <f>D38*1.03</f>
        <v>38056.9035</v>
      </c>
      <c r="D38" s="377">
        <v>36948.449999999997</v>
      </c>
      <c r="E38" s="2043"/>
      <c r="F38" s="2043"/>
      <c r="G38" s="393"/>
      <c r="H38" s="414"/>
      <c r="I38" s="415"/>
      <c r="J38" s="394">
        <v>19075.349999999999</v>
      </c>
      <c r="K38" s="395"/>
      <c r="L38" s="413"/>
      <c r="M38" s="416"/>
      <c r="N38" s="295"/>
      <c r="O38" s="295"/>
      <c r="P38" s="396"/>
      <c r="T38" s="397"/>
      <c r="U38" s="397"/>
      <c r="V38" s="328" t="s">
        <v>313</v>
      </c>
      <c r="W38" s="410">
        <v>69.784999999999997</v>
      </c>
      <c r="X38" s="410"/>
      <c r="Y38" s="411">
        <f t="shared" si="8"/>
        <v>0</v>
      </c>
      <c r="Z38" s="398"/>
      <c r="AA38" s="399"/>
      <c r="AB38" s="260"/>
      <c r="AC38" s="386"/>
      <c r="AD38" s="387"/>
      <c r="AE38" s="387"/>
      <c r="AF38" s="387"/>
      <c r="AG38" s="387"/>
      <c r="AH38" s="387"/>
      <c r="AI38" s="387"/>
      <c r="AJ38" s="388"/>
      <c r="AK38" s="389"/>
      <c r="AL38" s="388"/>
      <c r="AM38" s="289"/>
      <c r="AN38" s="260"/>
      <c r="AO38" s="260"/>
    </row>
    <row r="39" spans="1:42" ht="33" customHeight="1">
      <c r="A39" s="374">
        <v>2.2000000000000002</v>
      </c>
      <c r="B39" s="421" t="s">
        <v>298</v>
      </c>
      <c r="C39" s="417">
        <f>C40+C46</f>
        <v>1024107.966</v>
      </c>
      <c r="D39" s="418">
        <f>D40+D46</f>
        <v>713074.91200000001</v>
      </c>
      <c r="E39" s="2043"/>
      <c r="F39" s="2043"/>
      <c r="G39" s="419"/>
      <c r="H39" s="420"/>
      <c r="I39" s="353"/>
      <c r="J39" s="352">
        <v>835061.50166666706</v>
      </c>
      <c r="K39" s="353">
        <f>+D39-J39</f>
        <v>-121986.58966666705</v>
      </c>
      <c r="L39" s="413"/>
      <c r="M39" s="416"/>
      <c r="N39" s="295"/>
      <c r="O39" s="295"/>
      <c r="P39" s="396"/>
      <c r="T39" s="397"/>
      <c r="U39" s="397"/>
      <c r="V39" s="328" t="s">
        <v>315</v>
      </c>
      <c r="W39" s="410">
        <v>28.26</v>
      </c>
      <c r="X39" s="410"/>
      <c r="Y39" s="411">
        <f t="shared" si="8"/>
        <v>0</v>
      </c>
      <c r="Z39" s="398"/>
      <c r="AA39" s="399"/>
      <c r="AB39" s="260"/>
      <c r="AC39" s="300"/>
      <c r="AD39" s="336"/>
      <c r="AE39" s="336"/>
      <c r="AF39" s="336"/>
      <c r="AG39" s="336"/>
      <c r="AH39" s="336"/>
      <c r="AI39" s="336"/>
      <c r="AJ39" s="338"/>
      <c r="AK39" s="337"/>
      <c r="AL39" s="338"/>
      <c r="AM39" s="289"/>
      <c r="AN39" s="260"/>
      <c r="AO39" s="260"/>
    </row>
    <row r="40" spans="1:42" ht="35.25" customHeight="1">
      <c r="A40" s="374" t="s">
        <v>375</v>
      </c>
      <c r="B40" s="421" t="s">
        <v>301</v>
      </c>
      <c r="C40" s="421">
        <f>SUM(C41:C45)</f>
        <v>712345.75</v>
      </c>
      <c r="D40" s="422">
        <f>SUM(D41:D45)</f>
        <v>434504.69999999995</v>
      </c>
      <c r="E40" s="2043"/>
      <c r="F40" s="2043"/>
      <c r="G40" s="393"/>
      <c r="H40" s="414"/>
      <c r="I40" s="415"/>
      <c r="J40" s="394">
        <v>516890.05499999999</v>
      </c>
      <c r="K40" s="353">
        <f>+D40-J40</f>
        <v>-82385.35500000004</v>
      </c>
      <c r="L40" s="413"/>
      <c r="M40" s="416"/>
      <c r="N40" s="295"/>
      <c r="O40" s="295"/>
      <c r="P40" s="396"/>
      <c r="T40" s="397"/>
      <c r="U40" s="397"/>
      <c r="V40" s="328" t="s">
        <v>317</v>
      </c>
      <c r="W40" s="410">
        <v>13.17</v>
      </c>
      <c r="X40" s="410"/>
      <c r="Y40" s="411">
        <f t="shared" si="8"/>
        <v>0</v>
      </c>
      <c r="Z40" s="398"/>
      <c r="AA40" s="399"/>
      <c r="AB40" s="260"/>
      <c r="AC40" s="386"/>
      <c r="AD40" s="387"/>
      <c r="AE40" s="387"/>
      <c r="AF40" s="387"/>
      <c r="AG40" s="387"/>
      <c r="AH40" s="387"/>
      <c r="AI40" s="387"/>
      <c r="AJ40" s="388"/>
      <c r="AK40" s="389"/>
      <c r="AL40" s="388"/>
      <c r="AM40" s="289"/>
      <c r="AN40" s="260"/>
      <c r="AO40" s="260"/>
    </row>
    <row r="41" spans="1:42" ht="29.25" customHeight="1">
      <c r="A41" s="374" t="s">
        <v>353</v>
      </c>
      <c r="B41" s="375" t="s">
        <v>376</v>
      </c>
      <c r="C41" s="376">
        <f>'Weekly Machinery Ex'!J11+'Weekly Machinery Ex'!J15+'Weekly Machinery Ex'!J19+'Weekly Machinery Ex'!J25+'Weekly Machinery Ex'!J29+'Weekly Machinery Ex'!J39+'Weekly Machinery Ex'!J56</f>
        <v>645773.75</v>
      </c>
      <c r="D41" s="423">
        <f>'Weekly Machinery Ex'!K11+'Weekly Machinery Ex'!K15+'Weekly Machinery Ex'!K19+'Weekly Machinery Ex'!K25+'Weekly Machinery Ex'!K29+'Weekly Machinery Ex'!K39+'Weekly Machinery Ex'!K56</f>
        <v>392157.69999999995</v>
      </c>
      <c r="E41" s="2043"/>
      <c r="F41" s="2043"/>
      <c r="G41" s="393"/>
      <c r="H41" s="414"/>
      <c r="I41" s="415"/>
      <c r="J41" s="394">
        <v>433233.255</v>
      </c>
      <c r="K41" s="395"/>
      <c r="L41" s="413"/>
      <c r="M41" s="416"/>
      <c r="N41" s="295"/>
      <c r="O41" s="295"/>
      <c r="P41" s="396"/>
      <c r="T41" s="397"/>
      <c r="U41" s="397"/>
      <c r="V41" s="328" t="s">
        <v>319</v>
      </c>
      <c r="W41" s="410">
        <v>20.3</v>
      </c>
      <c r="X41" s="410"/>
      <c r="Y41" s="411">
        <f t="shared" si="8"/>
        <v>0</v>
      </c>
      <c r="Z41" s="398"/>
      <c r="AA41" s="399"/>
      <c r="AB41" s="260"/>
      <c r="AC41" s="386"/>
      <c r="AD41" s="387"/>
      <c r="AE41" s="387"/>
      <c r="AF41" s="387"/>
      <c r="AG41" s="387"/>
      <c r="AH41" s="387"/>
      <c r="AI41" s="387"/>
      <c r="AJ41" s="388"/>
      <c r="AK41" s="389"/>
      <c r="AL41" s="388"/>
      <c r="AM41" s="289"/>
      <c r="AN41" s="260"/>
      <c r="AO41" s="260"/>
    </row>
    <row r="42" spans="1:42" ht="30" customHeight="1">
      <c r="A42" s="374" t="s">
        <v>357</v>
      </c>
      <c r="B42" s="375" t="s">
        <v>377</v>
      </c>
      <c r="C42" s="376">
        <f>'Weekly Machinery Ex'!J61+'Weekly Machinery Ex'!J62+'Weekly Machinery Ex'!J66+'Weekly Machinery Ex'!J67+'Weekly Machinery Ex'!J68</f>
        <v>29682</v>
      </c>
      <c r="D42" s="423">
        <f>'Weekly Machinery Ex'!K61+'Weekly Machinery Ex'!K62+'Weekly Machinery Ex'!K66+'Weekly Machinery Ex'!K67+'Weekly Machinery Ex'!K68</f>
        <v>18547</v>
      </c>
      <c r="E42" s="2043"/>
      <c r="F42" s="2043"/>
      <c r="G42" s="393"/>
      <c r="H42" s="414"/>
      <c r="I42" s="415"/>
      <c r="J42" s="394">
        <v>55746</v>
      </c>
      <c r="K42" s="395"/>
      <c r="L42" s="413"/>
      <c r="M42" s="416"/>
      <c r="N42" s="295"/>
      <c r="O42" s="295"/>
      <c r="P42" s="396"/>
      <c r="T42" s="397"/>
      <c r="U42" s="397"/>
      <c r="V42" s="328" t="s">
        <v>321</v>
      </c>
      <c r="W42" s="410">
        <v>14.374000000000001</v>
      </c>
      <c r="X42" s="410"/>
      <c r="Y42" s="411">
        <f t="shared" si="8"/>
        <v>0</v>
      </c>
      <c r="Z42" s="398"/>
      <c r="AA42" s="399"/>
      <c r="AB42" s="260"/>
      <c r="AC42" s="386"/>
      <c r="AD42" s="387"/>
      <c r="AE42" s="387"/>
      <c r="AF42" s="387"/>
      <c r="AG42" s="387"/>
      <c r="AH42" s="387"/>
      <c r="AI42" s="387"/>
      <c r="AJ42" s="388"/>
      <c r="AK42" s="389"/>
      <c r="AL42" s="388"/>
      <c r="AM42" s="289"/>
      <c r="AN42" s="260"/>
      <c r="AO42" s="260"/>
    </row>
    <row r="43" spans="1:42" ht="28.5" customHeight="1">
      <c r="A43" s="374" t="s">
        <v>360</v>
      </c>
      <c r="B43" s="375" t="s">
        <v>378</v>
      </c>
      <c r="C43" s="376">
        <f>'Weekly Machinery Ex'!J78</f>
        <v>8330</v>
      </c>
      <c r="D43" s="423">
        <f>'Weekly Machinery Ex'!K73</f>
        <v>8330</v>
      </c>
      <c r="E43" s="2043"/>
      <c r="F43" s="2043"/>
      <c r="G43" s="393"/>
      <c r="H43" s="414"/>
      <c r="I43" s="415"/>
      <c r="J43" s="394">
        <v>8400</v>
      </c>
      <c r="K43" s="395"/>
      <c r="L43" s="413"/>
      <c r="M43" s="416"/>
      <c r="N43" s="295"/>
      <c r="O43" s="295"/>
      <c r="P43" s="396"/>
      <c r="T43" s="397"/>
      <c r="U43" s="397"/>
      <c r="V43" s="328" t="s">
        <v>325</v>
      </c>
      <c r="W43" s="410">
        <v>26.501300000000001</v>
      </c>
      <c r="X43" s="410"/>
      <c r="Y43" s="411">
        <f t="shared" si="8"/>
        <v>0</v>
      </c>
      <c r="Z43" s="398"/>
      <c r="AA43" s="399"/>
      <c r="AB43" s="260"/>
      <c r="AC43" s="386"/>
      <c r="AD43" s="387"/>
      <c r="AE43" s="387"/>
      <c r="AF43" s="387"/>
      <c r="AG43" s="387"/>
      <c r="AH43" s="387"/>
      <c r="AI43" s="387"/>
      <c r="AJ43" s="388"/>
      <c r="AK43" s="389"/>
      <c r="AL43" s="388"/>
      <c r="AM43" s="289"/>
      <c r="AN43" s="260"/>
      <c r="AO43" s="260"/>
    </row>
    <row r="44" spans="1:42" ht="27.75" customHeight="1">
      <c r="A44" s="374" t="s">
        <v>117</v>
      </c>
      <c r="B44" s="375" t="s">
        <v>379</v>
      </c>
      <c r="C44" s="376">
        <f>'Weekly Machinery Ex'!J31</f>
        <v>28560</v>
      </c>
      <c r="D44" s="423">
        <f>'Weekly Machinery Ex'!K31</f>
        <v>15470</v>
      </c>
      <c r="E44" s="2043"/>
      <c r="F44" s="2043"/>
      <c r="G44" s="393"/>
      <c r="H44" s="414"/>
      <c r="I44" s="415"/>
      <c r="J44" s="394">
        <v>2981.55</v>
      </c>
      <c r="K44" s="395"/>
      <c r="L44" s="413"/>
      <c r="M44" s="416"/>
      <c r="N44" s="295"/>
      <c r="O44" s="295"/>
      <c r="P44" s="396"/>
      <c r="T44" s="397"/>
      <c r="U44" s="397"/>
      <c r="V44" s="328"/>
      <c r="W44" s="410"/>
      <c r="X44" s="410"/>
      <c r="Y44" s="411"/>
      <c r="Z44" s="398"/>
      <c r="AA44" s="399"/>
      <c r="AB44" s="260"/>
      <c r="AC44" s="386"/>
      <c r="AD44" s="387"/>
      <c r="AE44" s="387"/>
      <c r="AF44" s="387"/>
      <c r="AG44" s="387"/>
      <c r="AH44" s="387"/>
      <c r="AI44" s="387"/>
      <c r="AJ44" s="388"/>
      <c r="AK44" s="389"/>
      <c r="AL44" s="388"/>
      <c r="AM44" s="289"/>
      <c r="AN44" s="260"/>
      <c r="AO44" s="260"/>
    </row>
    <row r="45" spans="1:42" ht="33" customHeight="1">
      <c r="A45" s="374" t="s">
        <v>365</v>
      </c>
      <c r="B45" s="375" t="s">
        <v>380</v>
      </c>
      <c r="C45" s="376">
        <f t="shared" ref="C45" si="9">1.15*D45</f>
        <v>0</v>
      </c>
      <c r="D45" s="423"/>
      <c r="E45" s="2043"/>
      <c r="F45" s="2043"/>
      <c r="G45" s="393"/>
      <c r="H45" s="414"/>
      <c r="I45" s="415"/>
      <c r="J45" s="394">
        <v>16529.25</v>
      </c>
      <c r="K45" s="395">
        <v>0</v>
      </c>
      <c r="L45" s="413"/>
      <c r="M45" s="413"/>
      <c r="N45" s="2052"/>
      <c r="O45" s="2052"/>
      <c r="P45" s="272"/>
      <c r="T45" s="2053"/>
      <c r="U45" s="2053"/>
      <c r="V45" s="328" t="s">
        <v>327</v>
      </c>
      <c r="W45" s="410">
        <v>26.265000000000001</v>
      </c>
      <c r="X45" s="410"/>
      <c r="Y45" s="411"/>
      <c r="Z45" s="397">
        <v>5</v>
      </c>
      <c r="AA45" s="257"/>
      <c r="AB45" s="260"/>
      <c r="AC45" s="424"/>
      <c r="AD45" s="425"/>
      <c r="AE45" s="425"/>
      <c r="AF45" s="425"/>
      <c r="AG45" s="425"/>
      <c r="AH45" s="425"/>
      <c r="AI45" s="426">
        <f>SUM(AI4:AI44)</f>
        <v>37500</v>
      </c>
      <c r="AJ45" s="426">
        <f>SUM(AJ4:AJ44)</f>
        <v>358125.00000000006</v>
      </c>
      <c r="AK45" s="427" t="s">
        <v>381</v>
      </c>
      <c r="AL45" s="426">
        <f>0.75*SUM(AL4:AL29)</f>
        <v>460674</v>
      </c>
      <c r="AM45" s="428">
        <f>AL45*0.01</f>
        <v>4606.74</v>
      </c>
      <c r="AN45" s="260"/>
      <c r="AO45" s="260"/>
    </row>
    <row r="46" spans="1:42" ht="34.5" customHeight="1">
      <c r="A46" s="374" t="s">
        <v>382</v>
      </c>
      <c r="B46" s="421" t="s">
        <v>302</v>
      </c>
      <c r="C46" s="421">
        <f>SUM(C47:C51)</f>
        <v>311762.21600000001</v>
      </c>
      <c r="D46" s="422">
        <f>D47+D48+D49+D51</f>
        <v>278570.212</v>
      </c>
      <c r="E46" s="2043"/>
      <c r="F46" s="2043"/>
      <c r="G46" s="392"/>
      <c r="H46" s="429"/>
      <c r="I46" s="415"/>
      <c r="J46" s="394">
        <v>318171.44666666701</v>
      </c>
      <c r="K46" s="353">
        <f>+D46-J46</f>
        <v>-39601.234666667006</v>
      </c>
      <c r="P46" s="272"/>
      <c r="T46" s="397"/>
      <c r="U46" s="397"/>
      <c r="V46" s="328"/>
      <c r="W46" s="410"/>
      <c r="X46" s="410"/>
      <c r="Y46" s="411"/>
      <c r="Z46" s="397"/>
      <c r="AA46" s="257"/>
      <c r="AB46" s="260"/>
      <c r="AC46" s="430"/>
      <c r="AD46" s="431"/>
      <c r="AE46" s="431"/>
      <c r="AF46" s="431"/>
      <c r="AG46" s="431"/>
      <c r="AH46" s="431"/>
      <c r="AI46" s="431"/>
      <c r="AJ46" s="431"/>
      <c r="AK46" s="431" t="s">
        <v>383</v>
      </c>
      <c r="AL46" s="431">
        <f>SUM(AL30:AL44)</f>
        <v>0</v>
      </c>
      <c r="AM46" s="260"/>
      <c r="AN46" s="260"/>
      <c r="AO46" s="260"/>
    </row>
    <row r="47" spans="1:42" ht="31.5" customHeight="1">
      <c r="A47" s="374" t="s">
        <v>353</v>
      </c>
      <c r="B47" s="375" t="s">
        <v>376</v>
      </c>
      <c r="C47" s="376">
        <f>'Weekly Machinery Ex'!J96+'Weekly Machinery Ex'!J99+'Weekly Machinery Ex'!J100+'Weekly Machinery Ex'!J101</f>
        <v>119600</v>
      </c>
      <c r="D47" s="423">
        <f>'Weekly Machinery Ex'!K96+'Weekly Machinery Ex'!L96+'Weekly Machinery Ex'!K99+'Weekly Machinery Ex'!L99+'Weekly Machinery Ex'!K100+'Weekly Machinery Ex'!L100+'Weekly Machinery Ex'!K101+'Weekly Machinery Ex'!L101</f>
        <v>84644</v>
      </c>
      <c r="E47" s="2043"/>
      <c r="F47" s="2043"/>
      <c r="G47" s="392"/>
      <c r="H47" s="429"/>
      <c r="I47" s="415"/>
      <c r="J47" s="394">
        <v>67595</v>
      </c>
      <c r="K47" s="395"/>
      <c r="P47" s="272"/>
      <c r="Q47" s="432" t="s">
        <v>384</v>
      </c>
      <c r="R47" s="433"/>
      <c r="S47" s="434"/>
      <c r="T47" s="272"/>
      <c r="U47" s="397"/>
      <c r="V47" s="328" t="s">
        <v>385</v>
      </c>
      <c r="W47" s="410">
        <v>5.75</v>
      </c>
      <c r="X47" s="410"/>
      <c r="Y47" s="411">
        <f t="shared" ref="Y47:Y53" si="10">W47*X47</f>
        <v>0</v>
      </c>
      <c r="Z47" s="397"/>
      <c r="AA47" s="257"/>
      <c r="AB47" s="260"/>
      <c r="AC47" s="430"/>
      <c r="AD47" s="431"/>
      <c r="AE47" s="330"/>
      <c r="AF47" s="2099" t="s">
        <v>386</v>
      </c>
      <c r="AG47" s="2099"/>
      <c r="AH47" s="2099"/>
      <c r="AI47" s="2099"/>
      <c r="AJ47" s="2099"/>
      <c r="AK47" s="2099"/>
      <c r="AL47" s="2099"/>
      <c r="AM47" s="2099"/>
      <c r="AN47" s="2089"/>
      <c r="AO47" s="2089"/>
      <c r="AP47" s="435" t="s">
        <v>279</v>
      </c>
    </row>
    <row r="48" spans="1:42" ht="28.5" customHeight="1">
      <c r="A48" s="374" t="s">
        <v>357</v>
      </c>
      <c r="B48" s="375" t="s">
        <v>377</v>
      </c>
      <c r="C48" s="376">
        <f>'Weekly Machinery Ex'!J97+'Weekly Machinery Ex'!J98+'Weekly Machinery Ex'!J102+'Weekly Machinery Ex'!J112+'Weekly Machinery Ex'!J113+'Weekly Machinery Ex'!J114</f>
        <v>50800</v>
      </c>
      <c r="D48" s="423">
        <f>'Weekly Machinery Ex'!K97+'Weekly Machinery Ex'!K98+'Weekly Machinery Ex'!K103+'Weekly Machinery Ex'!L103+'Weekly Machinery Ex'!K103+'Weekly Machinery Ex'!L103+'Weekly Machinery Ex'!K105+'Weekly Machinery Ex'!L105+'Weekly Machinery Ex'!K106+'Weekly Machinery Ex'!L106</f>
        <v>85269.652000000002</v>
      </c>
      <c r="E48" s="2043"/>
      <c r="F48" s="2043"/>
      <c r="G48" s="392"/>
      <c r="H48" s="429"/>
      <c r="I48" s="415">
        <f>20034+39626</f>
        <v>59660</v>
      </c>
      <c r="J48" s="394">
        <v>189626.44666666701</v>
      </c>
      <c r="K48" s="395"/>
      <c r="P48" s="272"/>
      <c r="Q48" s="436" t="s">
        <v>387</v>
      </c>
      <c r="R48" s="365"/>
      <c r="S48" s="437"/>
      <c r="T48" s="272"/>
      <c r="U48" s="397"/>
      <c r="V48" s="328" t="s">
        <v>332</v>
      </c>
      <c r="W48" s="410">
        <v>10.5</v>
      </c>
      <c r="X48" s="410"/>
      <c r="Y48" s="411">
        <f t="shared" si="10"/>
        <v>0</v>
      </c>
      <c r="Z48" s="397"/>
      <c r="AA48" s="397"/>
      <c r="AE48" s="330"/>
      <c r="AF48" s="277" t="s">
        <v>13</v>
      </c>
      <c r="AG48" s="275" t="s">
        <v>284</v>
      </c>
      <c r="AH48" s="275" t="s">
        <v>285</v>
      </c>
      <c r="AI48" s="275" t="s">
        <v>388</v>
      </c>
      <c r="AJ48" s="275" t="s">
        <v>389</v>
      </c>
      <c r="AK48" s="275" t="s">
        <v>286</v>
      </c>
      <c r="AL48" s="275" t="s">
        <v>287</v>
      </c>
      <c r="AM48" s="276" t="s">
        <v>390</v>
      </c>
      <c r="AN48" s="438" t="s">
        <v>391</v>
      </c>
      <c r="AO48" s="276" t="s">
        <v>392</v>
      </c>
      <c r="AP48" s="278"/>
    </row>
    <row r="49" spans="1:42" ht="30.75" customHeight="1">
      <c r="A49" s="374" t="s">
        <v>360</v>
      </c>
      <c r="B49" s="375" t="s">
        <v>378</v>
      </c>
      <c r="C49" s="376">
        <f>'Weekly Machinery Ex'!J142</f>
        <v>51100</v>
      </c>
      <c r="D49" s="423">
        <f>'Weekly Machinery Ex'!K119+'Weekly Machinery Ex'!K120+'Weekly Machinery Ex'!K121+'Weekly Machinery Ex'!K123+'Weekly Machinery Ex'!K126+'Weekly Machinery Ex'!K127+'Weekly Machinery Ex'!K128</f>
        <v>26600</v>
      </c>
      <c r="E49" s="2043"/>
      <c r="F49" s="2043"/>
      <c r="G49" s="392"/>
      <c r="H49" s="429"/>
      <c r="I49" s="415"/>
      <c r="J49" s="394">
        <v>60950</v>
      </c>
      <c r="K49" s="395"/>
      <c r="P49" s="272"/>
      <c r="Q49" s="436" t="s">
        <v>393</v>
      </c>
      <c r="R49" s="365"/>
      <c r="S49" s="439"/>
      <c r="T49" s="272"/>
      <c r="U49" s="397"/>
      <c r="V49" s="328" t="s">
        <v>338</v>
      </c>
      <c r="W49" s="410">
        <f>(27.18+39.63)/2</f>
        <v>33.405000000000001</v>
      </c>
      <c r="X49" s="410"/>
      <c r="Y49" s="411">
        <f t="shared" si="10"/>
        <v>0</v>
      </c>
      <c r="Z49" s="397"/>
      <c r="AA49" s="397"/>
      <c r="AE49" s="330"/>
      <c r="AF49" s="288"/>
      <c r="AG49" s="286"/>
      <c r="AH49" s="286"/>
      <c r="AI49" s="286"/>
      <c r="AJ49" s="286"/>
      <c r="AK49" s="286"/>
      <c r="AL49" s="286"/>
      <c r="AM49" s="287"/>
      <c r="AN49" s="288"/>
      <c r="AO49" s="287"/>
      <c r="AP49" s="289"/>
    </row>
    <row r="50" spans="1:42" ht="30" customHeight="1">
      <c r="A50" s="374" t="s">
        <v>117</v>
      </c>
      <c r="B50" s="375" t="s">
        <v>379</v>
      </c>
      <c r="C50" s="376"/>
      <c r="D50" s="423"/>
      <c r="E50" s="2043"/>
      <c r="F50" s="2043"/>
      <c r="G50" s="392"/>
      <c r="H50" s="429"/>
      <c r="I50" s="415"/>
      <c r="J50" s="394"/>
      <c r="K50" s="395"/>
      <c r="P50" s="272"/>
      <c r="Q50" s="436" t="s">
        <v>394</v>
      </c>
      <c r="R50" s="365" t="s">
        <v>395</v>
      </c>
      <c r="S50" s="439"/>
      <c r="T50" s="272"/>
      <c r="U50" s="397"/>
      <c r="V50" s="328" t="s">
        <v>342</v>
      </c>
      <c r="W50" s="410">
        <v>41.14</v>
      </c>
      <c r="X50" s="410"/>
      <c r="Y50" s="411">
        <f t="shared" si="10"/>
        <v>0</v>
      </c>
      <c r="Z50" s="397"/>
      <c r="AA50" s="397"/>
      <c r="AE50" s="330"/>
      <c r="AF50" s="303" t="s">
        <v>114</v>
      </c>
      <c r="AG50" s="301"/>
      <c r="AH50" s="301">
        <v>8</v>
      </c>
      <c r="AI50" s="301">
        <v>6</v>
      </c>
      <c r="AJ50" s="301">
        <f t="shared" ref="AJ50:AJ62" si="11">AG50*AH50*AI50</f>
        <v>0</v>
      </c>
      <c r="AK50" s="301">
        <v>45</v>
      </c>
      <c r="AL50" s="301">
        <f t="shared" ref="AL50:AL62" si="12">AJ50*AK50</f>
        <v>0</v>
      </c>
      <c r="AM50" s="302">
        <f t="shared" ref="AM50:AM68" si="13">AL50*9.55</f>
        <v>0</v>
      </c>
      <c r="AN50" s="303">
        <v>850</v>
      </c>
      <c r="AO50" s="302">
        <f t="shared" ref="AO50:AO62" si="14">AJ50*AN50</f>
        <v>0</v>
      </c>
      <c r="AP50" s="289"/>
    </row>
    <row r="51" spans="1:42" ht="28.5" customHeight="1">
      <c r="A51" s="374" t="s">
        <v>365</v>
      </c>
      <c r="B51" s="375" t="s">
        <v>716</v>
      </c>
      <c r="C51" s="1354">
        <f>1.1*D51</f>
        <v>90262.216</v>
      </c>
      <c r="D51" s="1334">
        <v>82056.56</v>
      </c>
      <c r="E51" s="2043"/>
      <c r="F51" s="2043"/>
      <c r="G51" s="392"/>
      <c r="H51" s="429"/>
      <c r="I51" s="415"/>
      <c r="J51" s="394">
        <f>C56/D56</f>
        <v>1.3346854811288678</v>
      </c>
      <c r="K51" s="395"/>
      <c r="P51" s="272"/>
      <c r="Q51" s="436" t="s">
        <v>396</v>
      </c>
      <c r="R51" s="365"/>
      <c r="S51" s="437"/>
      <c r="T51" s="272"/>
      <c r="U51" s="397"/>
      <c r="V51" s="440" t="s">
        <v>346</v>
      </c>
      <c r="W51" s="410">
        <v>24.335000000000001</v>
      </c>
      <c r="X51" s="441"/>
      <c r="Y51" s="411">
        <f t="shared" si="10"/>
        <v>0</v>
      </c>
      <c r="Z51" s="397"/>
      <c r="AA51" s="397"/>
      <c r="AE51" s="330"/>
      <c r="AF51" s="324" t="s">
        <v>120</v>
      </c>
      <c r="AG51" s="301"/>
      <c r="AH51" s="301">
        <v>8</v>
      </c>
      <c r="AI51" s="301">
        <v>6</v>
      </c>
      <c r="AJ51" s="301">
        <f t="shared" si="11"/>
        <v>0</v>
      </c>
      <c r="AK51" s="301">
        <v>18</v>
      </c>
      <c r="AL51" s="301">
        <f t="shared" si="12"/>
        <v>0</v>
      </c>
      <c r="AM51" s="302">
        <f t="shared" si="13"/>
        <v>0</v>
      </c>
      <c r="AN51" s="303">
        <v>550</v>
      </c>
      <c r="AO51" s="302">
        <f t="shared" si="14"/>
        <v>0</v>
      </c>
      <c r="AP51" s="442"/>
    </row>
    <row r="52" spans="1:42" ht="40.5" customHeight="1">
      <c r="A52" s="374">
        <v>2.2999999999999998</v>
      </c>
      <c r="B52" s="892" t="s">
        <v>397</v>
      </c>
      <c r="C52" s="408">
        <f>SUM(C53:C54)</f>
        <v>0</v>
      </c>
      <c r="D52" s="418">
        <f>SUM(D53:D54)</f>
        <v>0</v>
      </c>
      <c r="E52" s="2043"/>
      <c r="F52" s="2043"/>
      <c r="G52" s="443"/>
      <c r="H52" s="420"/>
      <c r="I52" s="353"/>
      <c r="J52" s="352">
        <v>88557.110499999995</v>
      </c>
      <c r="K52" s="353">
        <f>+D52-J52</f>
        <v>-88557.110499999995</v>
      </c>
      <c r="P52" s="272"/>
      <c r="Q52" s="444"/>
      <c r="R52" s="354"/>
      <c r="S52" s="437"/>
      <c r="T52" s="272"/>
      <c r="U52" s="397"/>
      <c r="V52" s="328" t="s">
        <v>351</v>
      </c>
      <c r="W52" s="410">
        <v>41.387</v>
      </c>
      <c r="X52" s="441"/>
      <c r="Y52" s="411">
        <f t="shared" si="10"/>
        <v>0</v>
      </c>
      <c r="Z52" s="397"/>
      <c r="AA52" s="397"/>
      <c r="AC52" s="253">
        <v>2450</v>
      </c>
      <c r="AD52" s="445"/>
      <c r="AE52" s="446"/>
      <c r="AF52" s="335" t="s">
        <v>123</v>
      </c>
      <c r="AG52" s="336">
        <v>1</v>
      </c>
      <c r="AH52" s="336">
        <v>1</v>
      </c>
      <c r="AI52" s="336">
        <v>6</v>
      </c>
      <c r="AJ52" s="336">
        <f t="shared" si="11"/>
        <v>6</v>
      </c>
      <c r="AK52" s="336">
        <v>8</v>
      </c>
      <c r="AL52" s="336">
        <f t="shared" si="12"/>
        <v>48</v>
      </c>
      <c r="AM52" s="302">
        <f t="shared" si="13"/>
        <v>458.40000000000003</v>
      </c>
      <c r="AN52" s="337">
        <v>280</v>
      </c>
      <c r="AO52" s="338">
        <f t="shared" si="14"/>
        <v>1680</v>
      </c>
      <c r="AP52" s="442"/>
    </row>
    <row r="53" spans="1:42" ht="27.75" customHeight="1">
      <c r="A53" s="374" t="s">
        <v>353</v>
      </c>
      <c r="B53" s="375" t="s">
        <v>398</v>
      </c>
      <c r="C53" s="376">
        <f>D53*1.12</f>
        <v>0</v>
      </c>
      <c r="D53" s="377"/>
      <c r="E53" s="2043"/>
      <c r="F53" s="2043"/>
      <c r="G53" s="392"/>
      <c r="H53" s="429"/>
      <c r="I53" s="415"/>
      <c r="J53" s="394">
        <v>52789.220500000003</v>
      </c>
      <c r="K53" s="395"/>
      <c r="L53" s="447"/>
      <c r="P53" s="272"/>
      <c r="Q53" s="436"/>
      <c r="R53" s="365">
        <v>2450</v>
      </c>
      <c r="S53" s="437"/>
      <c r="T53" s="272"/>
      <c r="U53" s="397"/>
      <c r="V53" s="440" t="s">
        <v>356</v>
      </c>
      <c r="W53" s="410">
        <v>16.670000000000002</v>
      </c>
      <c r="X53" s="441"/>
      <c r="Y53" s="411">
        <f t="shared" si="10"/>
        <v>0</v>
      </c>
      <c r="Z53" s="397"/>
      <c r="AA53" s="397"/>
      <c r="AC53" s="253">
        <v>6314</v>
      </c>
      <c r="AE53" s="330"/>
      <c r="AF53" s="303" t="s">
        <v>157</v>
      </c>
      <c r="AG53" s="301">
        <v>18</v>
      </c>
      <c r="AH53" s="301">
        <v>8</v>
      </c>
      <c r="AI53" s="301">
        <v>6</v>
      </c>
      <c r="AJ53" s="301">
        <f t="shared" si="11"/>
        <v>864</v>
      </c>
      <c r="AK53" s="301">
        <v>3</v>
      </c>
      <c r="AL53" s="301">
        <f t="shared" si="12"/>
        <v>2592</v>
      </c>
      <c r="AM53" s="302">
        <f t="shared" si="13"/>
        <v>24753.600000000002</v>
      </c>
      <c r="AN53" s="303">
        <v>50</v>
      </c>
      <c r="AO53" s="302">
        <f t="shared" si="14"/>
        <v>43200</v>
      </c>
      <c r="AP53" s="442"/>
    </row>
    <row r="54" spans="1:42" ht="33" customHeight="1">
      <c r="A54" s="374" t="s">
        <v>357</v>
      </c>
      <c r="B54" s="448" t="s">
        <v>399</v>
      </c>
      <c r="C54" s="376">
        <f>D54*1.1</f>
        <v>0</v>
      </c>
      <c r="D54" s="377"/>
      <c r="E54" s="2043"/>
      <c r="F54" s="2043"/>
      <c r="G54" s="392"/>
      <c r="H54" s="429"/>
      <c r="I54" s="415"/>
      <c r="J54" s="394">
        <v>35767.89</v>
      </c>
      <c r="K54" s="395"/>
      <c r="L54" s="447"/>
      <c r="P54" s="272"/>
      <c r="Q54" s="436"/>
      <c r="R54" s="365">
        <v>6314</v>
      </c>
      <c r="S54" s="437"/>
      <c r="T54" s="272"/>
      <c r="U54" s="397"/>
      <c r="V54" s="449"/>
      <c r="W54" s="450"/>
      <c r="X54" s="450"/>
      <c r="Y54" s="451">
        <f>SUM(Y34:Y53)</f>
        <v>0</v>
      </c>
      <c r="Z54" s="397"/>
      <c r="AA54" s="397"/>
      <c r="AC54" s="253">
        <v>2833.6</v>
      </c>
      <c r="AE54" s="330"/>
      <c r="AF54" s="303" t="s">
        <v>126</v>
      </c>
      <c r="AG54" s="301">
        <v>1</v>
      </c>
      <c r="AH54" s="301">
        <v>8</v>
      </c>
      <c r="AI54" s="301">
        <v>6</v>
      </c>
      <c r="AJ54" s="301">
        <f t="shared" si="11"/>
        <v>48</v>
      </c>
      <c r="AK54" s="301">
        <v>18</v>
      </c>
      <c r="AL54" s="301">
        <f t="shared" si="12"/>
        <v>864</v>
      </c>
      <c r="AM54" s="302">
        <f t="shared" si="13"/>
        <v>8251.2000000000007</v>
      </c>
      <c r="AN54" s="303">
        <v>450</v>
      </c>
      <c r="AO54" s="302">
        <f t="shared" si="14"/>
        <v>21600</v>
      </c>
      <c r="AP54" s="442"/>
    </row>
    <row r="55" spans="1:42" ht="32.25" customHeight="1">
      <c r="A55" s="374">
        <v>2.4</v>
      </c>
      <c r="B55" s="408" t="s">
        <v>276</v>
      </c>
      <c r="C55" s="408">
        <f>SUM(C56:C57)</f>
        <v>399532.23919999995</v>
      </c>
      <c r="D55" s="418">
        <f>D56+D57</f>
        <v>263721.48</v>
      </c>
      <c r="E55" s="2043"/>
      <c r="F55" s="2043"/>
      <c r="G55" s="443"/>
      <c r="H55" s="420"/>
      <c r="I55" s="353"/>
      <c r="J55" s="352">
        <v>363797.7</v>
      </c>
      <c r="K55" s="353">
        <f>+D55-J55</f>
        <v>-100076.22000000003</v>
      </c>
      <c r="P55" s="272"/>
      <c r="Q55" s="444"/>
      <c r="R55" s="354">
        <v>2833.6</v>
      </c>
      <c r="S55" s="437"/>
      <c r="T55" s="272"/>
      <c r="U55" s="397"/>
      <c r="V55" s="452"/>
      <c r="W55" s="452"/>
      <c r="X55" s="452"/>
      <c r="Y55" s="397"/>
      <c r="Z55" s="397"/>
      <c r="AA55" s="397"/>
      <c r="AD55" s="445"/>
      <c r="AE55" s="446"/>
      <c r="AF55" s="335" t="s">
        <v>136</v>
      </c>
      <c r="AG55" s="336"/>
      <c r="AH55" s="336">
        <v>8</v>
      </c>
      <c r="AI55" s="336">
        <v>6</v>
      </c>
      <c r="AJ55" s="336">
        <f t="shared" si="11"/>
        <v>0</v>
      </c>
      <c r="AK55" s="336">
        <v>15</v>
      </c>
      <c r="AL55" s="336">
        <f t="shared" si="12"/>
        <v>0</v>
      </c>
      <c r="AM55" s="302">
        <f t="shared" si="13"/>
        <v>0</v>
      </c>
      <c r="AN55" s="337">
        <v>5</v>
      </c>
      <c r="AO55" s="338">
        <f t="shared" si="14"/>
        <v>0</v>
      </c>
      <c r="AP55" s="442"/>
    </row>
    <row r="56" spans="1:42" ht="23.25">
      <c r="A56" s="374" t="s">
        <v>353</v>
      </c>
      <c r="B56" s="448" t="s">
        <v>381</v>
      </c>
      <c r="C56" s="376">
        <f>'Weekly Machinery Ex'!R94*16.58</f>
        <v>260326.55919999996</v>
      </c>
      <c r="D56" s="453">
        <f>B15*16.58</f>
        <v>195047.11999999997</v>
      </c>
      <c r="E56" s="2043"/>
      <c r="F56" s="2043"/>
      <c r="G56" s="392"/>
      <c r="H56" s="429"/>
      <c r="I56" s="415"/>
      <c r="J56" s="394">
        <v>229496.05</v>
      </c>
      <c r="K56" s="395"/>
      <c r="L56" s="454"/>
      <c r="M56" s="365"/>
      <c r="N56" s="272"/>
      <c r="O56" s="272"/>
      <c r="P56" s="272"/>
      <c r="Q56" s="455"/>
      <c r="R56" s="456">
        <f>SUM(R53:R55)</f>
        <v>11597.6</v>
      </c>
      <c r="S56" s="457"/>
      <c r="T56" s="272"/>
      <c r="U56" s="397"/>
      <c r="V56" s="452"/>
      <c r="W56" s="452"/>
      <c r="X56" s="452"/>
      <c r="Y56" s="397"/>
      <c r="Z56" s="397"/>
      <c r="AA56" s="397"/>
      <c r="AE56" s="330"/>
      <c r="AF56" s="303" t="s">
        <v>195</v>
      </c>
      <c r="AG56" s="301"/>
      <c r="AH56" s="301">
        <v>8</v>
      </c>
      <c r="AI56" s="301">
        <v>6</v>
      </c>
      <c r="AJ56" s="301">
        <f t="shared" si="11"/>
        <v>0</v>
      </c>
      <c r="AK56" s="301">
        <v>18</v>
      </c>
      <c r="AL56" s="301">
        <f t="shared" si="12"/>
        <v>0</v>
      </c>
      <c r="AM56" s="302">
        <f t="shared" si="13"/>
        <v>0</v>
      </c>
      <c r="AN56" s="303">
        <v>550</v>
      </c>
      <c r="AO56" s="302">
        <f t="shared" si="14"/>
        <v>0</v>
      </c>
      <c r="AP56" s="442"/>
    </row>
    <row r="57" spans="1:42" ht="24" thickTop="1">
      <c r="A57" s="374" t="s">
        <v>357</v>
      </c>
      <c r="B57" s="448" t="s">
        <v>383</v>
      </c>
      <c r="C57" s="376">
        <f>'Weekly Machinery Ex'!T143*16.58</f>
        <v>139205.68</v>
      </c>
      <c r="D57" s="453">
        <f>C15*16.58</f>
        <v>68674.359999999986</v>
      </c>
      <c r="E57" s="2043"/>
      <c r="F57" s="2043"/>
      <c r="G57" s="392"/>
      <c r="H57" s="429"/>
      <c r="I57" s="415"/>
      <c r="J57" s="394">
        <v>134301.65</v>
      </c>
      <c r="K57" s="395"/>
      <c r="L57" s="454"/>
      <c r="M57" s="365"/>
      <c r="N57" s="272"/>
      <c r="O57" s="272"/>
      <c r="P57" s="272"/>
      <c r="T57" s="397"/>
      <c r="U57" s="397"/>
      <c r="V57" s="452"/>
      <c r="W57" s="452"/>
      <c r="X57" s="452"/>
      <c r="Y57" s="397"/>
      <c r="Z57" s="397"/>
      <c r="AA57" s="397"/>
      <c r="AE57" s="330"/>
      <c r="AF57" s="303" t="s">
        <v>132</v>
      </c>
      <c r="AG57" s="301"/>
      <c r="AH57" s="301">
        <v>8</v>
      </c>
      <c r="AI57" s="301">
        <v>6</v>
      </c>
      <c r="AJ57" s="301">
        <f t="shared" si="11"/>
        <v>0</v>
      </c>
      <c r="AK57" s="301">
        <v>2</v>
      </c>
      <c r="AL57" s="301">
        <f t="shared" si="12"/>
        <v>0</v>
      </c>
      <c r="AM57" s="302">
        <f t="shared" si="13"/>
        <v>0</v>
      </c>
      <c r="AN57" s="303">
        <v>50</v>
      </c>
      <c r="AO57" s="302">
        <f t="shared" si="14"/>
        <v>0</v>
      </c>
      <c r="AP57" s="442"/>
    </row>
    <row r="58" spans="1:42" ht="60" customHeight="1">
      <c r="A58" s="374">
        <v>2.5</v>
      </c>
      <c r="B58" s="1335" t="s">
        <v>769</v>
      </c>
      <c r="C58" s="408">
        <f>SUM(C59:C60)</f>
        <v>55538.593000000008</v>
      </c>
      <c r="D58" s="409">
        <f>SUM(D59:D60)</f>
        <v>50489.630000000005</v>
      </c>
      <c r="E58" s="2043"/>
      <c r="F58" s="2043"/>
      <c r="G58" s="443"/>
      <c r="H58" s="420"/>
      <c r="I58" s="353"/>
      <c r="J58" s="352">
        <v>1623.915</v>
      </c>
      <c r="K58" s="353">
        <f>+D58-J58</f>
        <v>48865.715000000004</v>
      </c>
      <c r="L58" s="458"/>
      <c r="M58" s="354"/>
      <c r="N58" s="272"/>
      <c r="O58" s="272"/>
      <c r="P58" s="272"/>
      <c r="T58" s="397"/>
      <c r="U58" s="397"/>
      <c r="V58" s="452"/>
      <c r="W58" s="452"/>
      <c r="X58" s="452"/>
      <c r="Y58" s="397"/>
      <c r="Z58" s="397"/>
      <c r="AA58" s="397"/>
      <c r="AD58" s="445"/>
      <c r="AE58" s="446"/>
      <c r="AF58" s="337" t="s">
        <v>137</v>
      </c>
      <c r="AG58" s="336"/>
      <c r="AH58" s="336">
        <v>4</v>
      </c>
      <c r="AI58" s="336">
        <v>6</v>
      </c>
      <c r="AJ58" s="336">
        <f t="shared" si="11"/>
        <v>0</v>
      </c>
      <c r="AK58" s="336">
        <v>0.5</v>
      </c>
      <c r="AL58" s="336">
        <f t="shared" si="12"/>
        <v>0</v>
      </c>
      <c r="AM58" s="302">
        <f t="shared" si="13"/>
        <v>0</v>
      </c>
      <c r="AN58" s="337">
        <v>5</v>
      </c>
      <c r="AO58" s="338">
        <f t="shared" si="14"/>
        <v>0</v>
      </c>
      <c r="AP58" s="442"/>
    </row>
    <row r="59" spans="1:42" ht="30" customHeight="1">
      <c r="A59" s="374" t="s">
        <v>353</v>
      </c>
      <c r="B59" s="448" t="s">
        <v>381</v>
      </c>
      <c r="C59" s="376">
        <f>D59*1.1</f>
        <v>55538.593000000008</v>
      </c>
      <c r="D59" s="1333">
        <f>18840+21387.07+6689.76+1868.3+54.5+1650</f>
        <v>50489.630000000005</v>
      </c>
      <c r="E59" s="2043"/>
      <c r="F59" s="2043"/>
      <c r="G59" s="392"/>
      <c r="H59" s="429"/>
      <c r="I59" s="415"/>
      <c r="J59" s="394">
        <v>1623.915</v>
      </c>
      <c r="K59" s="395"/>
      <c r="L59" s="454"/>
      <c r="M59" s="365"/>
      <c r="N59" s="272"/>
      <c r="O59" s="272"/>
      <c r="P59" s="272"/>
      <c r="T59" s="397"/>
      <c r="U59" s="397"/>
      <c r="V59" s="452"/>
      <c r="W59" s="452"/>
      <c r="X59" s="452"/>
      <c r="Y59" s="397"/>
      <c r="Z59" s="397"/>
      <c r="AA59" s="397"/>
      <c r="AE59" s="330"/>
      <c r="AF59" s="303" t="s">
        <v>322</v>
      </c>
      <c r="AG59" s="301"/>
      <c r="AH59" s="301">
        <v>8</v>
      </c>
      <c r="AI59" s="301">
        <v>6</v>
      </c>
      <c r="AJ59" s="301">
        <f t="shared" si="11"/>
        <v>0</v>
      </c>
      <c r="AK59" s="301">
        <v>0.5</v>
      </c>
      <c r="AL59" s="301">
        <f t="shared" si="12"/>
        <v>0</v>
      </c>
      <c r="AM59" s="302">
        <f t="shared" si="13"/>
        <v>0</v>
      </c>
      <c r="AN59" s="303">
        <v>5</v>
      </c>
      <c r="AO59" s="302">
        <f t="shared" si="14"/>
        <v>0</v>
      </c>
      <c r="AP59" s="442"/>
    </row>
    <row r="60" spans="1:42" ht="23.25">
      <c r="A60" s="374" t="s">
        <v>357</v>
      </c>
      <c r="B60" s="448" t="s">
        <v>383</v>
      </c>
      <c r="C60" s="376">
        <f>D60*1.1</f>
        <v>0</v>
      </c>
      <c r="D60" s="1333"/>
      <c r="E60" s="2043"/>
      <c r="F60" s="2043"/>
      <c r="G60" s="392"/>
      <c r="H60" s="429"/>
      <c r="I60" s="415"/>
      <c r="J60" s="365">
        <v>0</v>
      </c>
      <c r="K60" s="366"/>
      <c r="L60" s="413"/>
      <c r="M60" s="365"/>
      <c r="N60" s="272"/>
      <c r="O60" s="272"/>
      <c r="P60" s="272"/>
      <c r="T60" s="397"/>
      <c r="U60" s="397"/>
      <c r="V60" s="452"/>
      <c r="W60" s="452"/>
      <c r="X60" s="452"/>
      <c r="Y60" s="397"/>
      <c r="Z60" s="397"/>
      <c r="AA60" s="397"/>
      <c r="AE60" s="330"/>
      <c r="AF60" s="303" t="s">
        <v>141</v>
      </c>
      <c r="AG60" s="301">
        <v>10</v>
      </c>
      <c r="AH60" s="301">
        <v>8</v>
      </c>
      <c r="AI60" s="301">
        <v>6</v>
      </c>
      <c r="AJ60" s="301">
        <f t="shared" si="11"/>
        <v>480</v>
      </c>
      <c r="AK60" s="301">
        <v>10</v>
      </c>
      <c r="AL60" s="301">
        <f t="shared" si="12"/>
        <v>4800</v>
      </c>
      <c r="AM60" s="302">
        <f t="shared" si="13"/>
        <v>45840</v>
      </c>
      <c r="AN60" s="303">
        <v>160</v>
      </c>
      <c r="AO60" s="302">
        <f t="shared" si="14"/>
        <v>76800</v>
      </c>
      <c r="AP60" s="289"/>
    </row>
    <row r="61" spans="1:42" ht="36" customHeight="1">
      <c r="A61" s="459">
        <v>2.6</v>
      </c>
      <c r="B61" s="408" t="s">
        <v>400</v>
      </c>
      <c r="C61" s="408">
        <f>SUM(C62:C63)</f>
        <v>48662.625000000007</v>
      </c>
      <c r="D61" s="418">
        <f>D62+D64+D65</f>
        <v>44238.75</v>
      </c>
      <c r="E61" s="2043"/>
      <c r="F61" s="2043"/>
      <c r="G61" s="443"/>
      <c r="H61" s="420"/>
      <c r="I61" s="353"/>
      <c r="J61" s="354">
        <v>16817.599999999999</v>
      </c>
      <c r="K61" s="353">
        <f>+D61-J61</f>
        <v>27421.15</v>
      </c>
      <c r="L61" s="413"/>
      <c r="M61" s="354"/>
      <c r="N61" s="272"/>
      <c r="O61" s="272"/>
      <c r="P61" s="272"/>
      <c r="T61" s="397"/>
      <c r="U61" s="397"/>
      <c r="V61" s="452"/>
      <c r="W61" s="452"/>
      <c r="X61" s="452"/>
      <c r="Y61" s="397"/>
      <c r="Z61" s="397"/>
      <c r="AA61" s="397"/>
      <c r="AD61" s="445"/>
      <c r="AE61" s="446"/>
      <c r="AF61" s="303" t="s">
        <v>333</v>
      </c>
      <c r="AG61" s="301"/>
      <c r="AH61" s="301">
        <v>8</v>
      </c>
      <c r="AI61" s="301">
        <v>6</v>
      </c>
      <c r="AJ61" s="301">
        <f t="shared" si="11"/>
        <v>0</v>
      </c>
      <c r="AK61" s="301">
        <v>10</v>
      </c>
      <c r="AL61" s="301">
        <f t="shared" si="12"/>
        <v>0</v>
      </c>
      <c r="AM61" s="302">
        <f t="shared" si="13"/>
        <v>0</v>
      </c>
      <c r="AN61" s="303">
        <f>20000/30/10</f>
        <v>66.666666666666657</v>
      </c>
      <c r="AO61" s="302">
        <f t="shared" si="14"/>
        <v>0</v>
      </c>
      <c r="AP61" s="289"/>
    </row>
    <row r="62" spans="1:42" ht="25.5" customHeight="1">
      <c r="A62" s="459" t="s">
        <v>353</v>
      </c>
      <c r="B62" s="448" t="s">
        <v>401</v>
      </c>
      <c r="C62" s="376">
        <f>D62*1.1</f>
        <v>48662.625000000007</v>
      </c>
      <c r="D62" s="377">
        <f>G15</f>
        <v>44238.75</v>
      </c>
      <c r="E62" s="2043"/>
      <c r="F62" s="2043"/>
      <c r="G62" s="392"/>
      <c r="H62" s="429"/>
      <c r="I62" s="415"/>
      <c r="J62" s="365">
        <v>0</v>
      </c>
      <c r="K62" s="366"/>
      <c r="L62" s="413"/>
      <c r="M62" s="365"/>
      <c r="N62" s="272"/>
      <c r="O62" s="272"/>
      <c r="P62" s="272"/>
      <c r="T62" s="397"/>
      <c r="U62" s="397"/>
      <c r="V62" s="452"/>
      <c r="W62" s="452"/>
      <c r="X62" s="452"/>
      <c r="Y62" s="397"/>
      <c r="Z62" s="397"/>
      <c r="AA62" s="397"/>
      <c r="AE62" s="330"/>
      <c r="AF62" s="303" t="s">
        <v>200</v>
      </c>
      <c r="AG62" s="301">
        <v>3</v>
      </c>
      <c r="AH62" s="301">
        <v>8</v>
      </c>
      <c r="AI62" s="301">
        <v>6</v>
      </c>
      <c r="AJ62" s="301">
        <f t="shared" si="11"/>
        <v>144</v>
      </c>
      <c r="AK62" s="301">
        <v>10</v>
      </c>
      <c r="AL62" s="301">
        <f t="shared" si="12"/>
        <v>1440</v>
      </c>
      <c r="AM62" s="302">
        <f t="shared" si="13"/>
        <v>13752.000000000002</v>
      </c>
      <c r="AN62" s="303">
        <v>120</v>
      </c>
      <c r="AO62" s="302">
        <f t="shared" si="14"/>
        <v>17280</v>
      </c>
      <c r="AP62" s="289"/>
    </row>
    <row r="63" spans="1:42" ht="28.5" customHeight="1">
      <c r="A63" s="459" t="s">
        <v>357</v>
      </c>
      <c r="B63" s="448" t="s">
        <v>402</v>
      </c>
      <c r="C63" s="421">
        <f>C64+C65</f>
        <v>0</v>
      </c>
      <c r="D63" s="453"/>
      <c r="E63" s="2043"/>
      <c r="F63" s="2043"/>
      <c r="G63" s="392"/>
      <c r="H63" s="429"/>
      <c r="I63" s="415"/>
      <c r="J63" s="365">
        <v>16817.599999999999</v>
      </c>
      <c r="K63" s="366"/>
      <c r="L63" s="413"/>
      <c r="M63" s="365"/>
      <c r="N63" s="272"/>
      <c r="O63" s="272"/>
      <c r="P63" s="272"/>
      <c r="T63" s="397"/>
      <c r="U63" s="397"/>
      <c r="V63" s="452"/>
      <c r="W63" s="452"/>
      <c r="X63" s="452"/>
      <c r="Y63" s="397"/>
      <c r="Z63" s="397"/>
      <c r="AA63" s="397"/>
      <c r="AE63" s="330"/>
      <c r="AF63" s="303"/>
      <c r="AG63" s="301"/>
      <c r="AH63" s="301"/>
      <c r="AI63" s="301"/>
      <c r="AJ63" s="301"/>
      <c r="AK63" s="301"/>
      <c r="AL63" s="301"/>
      <c r="AM63" s="302">
        <f t="shared" si="13"/>
        <v>0</v>
      </c>
      <c r="AN63" s="303"/>
      <c r="AO63" s="302"/>
      <c r="AP63" s="289"/>
    </row>
    <row r="64" spans="1:42" ht="27" customHeight="1">
      <c r="A64" s="459"/>
      <c r="B64" s="448" t="s">
        <v>403</v>
      </c>
      <c r="C64" s="376">
        <f>D64*1.25</f>
        <v>0</v>
      </c>
      <c r="D64" s="453">
        <f>G7</f>
        <v>0</v>
      </c>
      <c r="E64" s="2042"/>
      <c r="F64" s="2042"/>
      <c r="G64" s="392"/>
      <c r="H64" s="429"/>
      <c r="I64" s="415"/>
      <c r="J64" s="365">
        <v>16817.599999999999</v>
      </c>
      <c r="K64" s="366"/>
      <c r="L64" s="413">
        <f>47000/4</f>
        <v>11750</v>
      </c>
      <c r="M64" s="365"/>
      <c r="N64" s="272"/>
      <c r="O64" s="272"/>
      <c r="P64" s="272"/>
      <c r="T64" s="397"/>
      <c r="U64" s="397"/>
      <c r="V64" s="452"/>
      <c r="W64" s="452"/>
      <c r="X64" s="452"/>
      <c r="Y64" s="397"/>
      <c r="Z64" s="397"/>
      <c r="AA64" s="397"/>
      <c r="AE64" s="330"/>
      <c r="AF64" s="303"/>
      <c r="AG64" s="301"/>
      <c r="AH64" s="301"/>
      <c r="AI64" s="301"/>
      <c r="AJ64" s="301"/>
      <c r="AK64" s="301"/>
      <c r="AL64" s="301"/>
      <c r="AM64" s="302">
        <f t="shared" si="13"/>
        <v>0</v>
      </c>
      <c r="AN64" s="303"/>
      <c r="AO64" s="302"/>
      <c r="AP64" s="289"/>
    </row>
    <row r="65" spans="1:1025" ht="31.5" customHeight="1">
      <c r="A65" s="459"/>
      <c r="B65" s="448" t="s">
        <v>404</v>
      </c>
      <c r="C65" s="376"/>
      <c r="D65" s="453"/>
      <c r="E65" s="2042"/>
      <c r="F65" s="2042"/>
      <c r="G65" s="392"/>
      <c r="H65" s="429"/>
      <c r="I65" s="415"/>
      <c r="J65" s="365">
        <v>0</v>
      </c>
      <c r="K65" s="366"/>
      <c r="L65" s="413"/>
      <c r="M65" s="365"/>
      <c r="N65" s="272"/>
      <c r="O65" s="272"/>
      <c r="P65" s="272"/>
      <c r="T65" s="397"/>
      <c r="U65" s="397"/>
      <c r="V65" s="452"/>
      <c r="W65" s="452"/>
      <c r="X65" s="452"/>
      <c r="Y65" s="397"/>
      <c r="Z65" s="397"/>
      <c r="AA65" s="397"/>
      <c r="AE65" s="330"/>
      <c r="AF65" s="303"/>
      <c r="AG65" s="301"/>
      <c r="AH65" s="301"/>
      <c r="AI65" s="301"/>
      <c r="AJ65" s="301"/>
      <c r="AK65" s="301"/>
      <c r="AL65" s="301"/>
      <c r="AM65" s="302">
        <f t="shared" si="13"/>
        <v>0</v>
      </c>
      <c r="AN65" s="303"/>
      <c r="AO65" s="302"/>
      <c r="AP65" s="289"/>
    </row>
    <row r="66" spans="1:1025" ht="23.25">
      <c r="A66" s="459">
        <v>2.7</v>
      </c>
      <c r="B66" s="408" t="s">
        <v>405</v>
      </c>
      <c r="C66" s="418">
        <f>SUM(C67:C72)</f>
        <v>13306.593000000001</v>
      </c>
      <c r="D66" s="418">
        <f>SUM(D67:D72)</f>
        <v>12044.630000000001</v>
      </c>
      <c r="E66" s="2043"/>
      <c r="F66" s="2043"/>
      <c r="G66" s="443"/>
      <c r="H66" s="420"/>
      <c r="I66" s="353"/>
      <c r="J66" s="354">
        <v>26281.98</v>
      </c>
      <c r="K66" s="353">
        <f>+D66-J66</f>
        <v>-14237.349999999999</v>
      </c>
      <c r="L66" s="413"/>
      <c r="M66" s="354"/>
      <c r="N66" s="272"/>
      <c r="O66" s="272"/>
      <c r="P66" s="272"/>
      <c r="T66" s="397"/>
      <c r="U66" s="397"/>
      <c r="V66" s="452"/>
      <c r="W66" s="452"/>
      <c r="X66" s="452"/>
      <c r="Y66" s="397"/>
      <c r="Z66" s="397"/>
      <c r="AA66" s="397"/>
      <c r="AD66" s="445"/>
      <c r="AE66" s="446"/>
      <c r="AF66" s="337"/>
      <c r="AG66" s="336"/>
      <c r="AH66" s="336"/>
      <c r="AI66" s="336"/>
      <c r="AJ66" s="336"/>
      <c r="AK66" s="336"/>
      <c r="AL66" s="336"/>
      <c r="AM66" s="302">
        <f t="shared" si="13"/>
        <v>0</v>
      </c>
      <c r="AN66" s="337"/>
      <c r="AO66" s="338"/>
      <c r="AP66" s="289"/>
    </row>
    <row r="67" spans="1:1025" ht="28.5" customHeight="1">
      <c r="A67" s="460"/>
      <c r="B67" s="448" t="s">
        <v>783</v>
      </c>
      <c r="C67" s="461">
        <f>1.15*D67</f>
        <v>345</v>
      </c>
      <c r="D67" s="423">
        <v>300</v>
      </c>
      <c r="E67" s="2042"/>
      <c r="F67" s="2042"/>
      <c r="G67" s="392"/>
      <c r="H67" s="429"/>
      <c r="I67" s="415"/>
      <c r="J67" s="365">
        <v>3478.98</v>
      </c>
      <c r="K67" s="366"/>
      <c r="L67" s="413"/>
      <c r="M67" s="365"/>
      <c r="N67" s="272"/>
      <c r="O67" s="272"/>
      <c r="P67" s="272"/>
      <c r="AE67" s="330"/>
      <c r="AF67" s="303"/>
      <c r="AG67" s="301"/>
      <c r="AH67" s="301"/>
      <c r="AI67" s="301"/>
      <c r="AJ67" s="301"/>
      <c r="AK67" s="301"/>
      <c r="AL67" s="301"/>
      <c r="AM67" s="302">
        <f t="shared" si="13"/>
        <v>0</v>
      </c>
      <c r="AN67" s="303"/>
      <c r="AO67" s="302"/>
      <c r="AP67" s="289"/>
    </row>
    <row r="68" spans="1:1025" ht="30.75" customHeight="1">
      <c r="A68" s="460"/>
      <c r="B68" s="448" t="s">
        <v>763</v>
      </c>
      <c r="C68" s="461">
        <f>1.15*D68</f>
        <v>287.5</v>
      </c>
      <c r="D68" s="423">
        <v>250</v>
      </c>
      <c r="E68" s="2042"/>
      <c r="F68" s="2042"/>
      <c r="G68" s="392"/>
      <c r="H68" s="429"/>
      <c r="I68" s="415"/>
      <c r="J68" s="365">
        <v>6992</v>
      </c>
      <c r="K68" s="353">
        <f>+D68-J68</f>
        <v>-6742</v>
      </c>
      <c r="L68" s="462"/>
      <c r="M68" s="365"/>
      <c r="N68" s="272"/>
      <c r="O68" s="272"/>
      <c r="P68" s="272"/>
      <c r="AE68" s="330"/>
      <c r="AF68" s="303"/>
      <c r="AG68" s="301"/>
      <c r="AH68" s="301"/>
      <c r="AI68" s="301"/>
      <c r="AJ68" s="301"/>
      <c r="AK68" s="301"/>
      <c r="AL68" s="301"/>
      <c r="AM68" s="302">
        <f t="shared" si="13"/>
        <v>0</v>
      </c>
      <c r="AN68" s="303"/>
      <c r="AO68" s="302"/>
      <c r="AP68" s="289"/>
    </row>
    <row r="69" spans="1:1025" ht="30.75" customHeight="1">
      <c r="A69" s="460"/>
      <c r="B69" s="448" t="s">
        <v>764</v>
      </c>
      <c r="C69" s="461">
        <f>1.15*D69</f>
        <v>690</v>
      </c>
      <c r="D69" s="423">
        <v>600</v>
      </c>
      <c r="E69" s="371"/>
      <c r="F69" s="373"/>
      <c r="G69" s="392"/>
      <c r="H69" s="429"/>
      <c r="I69" s="415"/>
      <c r="J69" s="365"/>
      <c r="K69" s="353"/>
      <c r="L69" s="462"/>
      <c r="M69" s="365"/>
      <c r="N69" s="272"/>
      <c r="O69" s="272"/>
      <c r="P69" s="272"/>
      <c r="AE69" s="330"/>
      <c r="AF69" s="303"/>
      <c r="AG69" s="301"/>
      <c r="AH69" s="301"/>
      <c r="AI69" s="301"/>
      <c r="AJ69" s="301"/>
      <c r="AK69" s="301"/>
      <c r="AL69" s="301"/>
      <c r="AM69" s="302"/>
      <c r="AN69" s="303"/>
      <c r="AO69" s="302"/>
      <c r="AP69" s="289"/>
    </row>
    <row r="70" spans="1:1025" s="85" customFormat="1" ht="27.75" customHeight="1">
      <c r="A70" s="460"/>
      <c r="B70" s="448" t="s">
        <v>778</v>
      </c>
      <c r="C70" s="461">
        <f>D70*1.1</f>
        <v>3113.55</v>
      </c>
      <c r="D70" s="423">
        <v>2830.5</v>
      </c>
      <c r="E70" s="372"/>
      <c r="F70" s="372"/>
      <c r="G70" s="392"/>
      <c r="H70" s="429"/>
      <c r="I70" s="415"/>
      <c r="J70" s="365"/>
      <c r="K70" s="353"/>
      <c r="L70" s="413"/>
      <c r="M70" s="365"/>
      <c r="N70" s="272"/>
      <c r="O70" s="272"/>
      <c r="P70" s="272"/>
      <c r="Q70" s="135"/>
      <c r="R70" s="135"/>
      <c r="S70" s="135"/>
      <c r="T70" s="135"/>
      <c r="U70" s="135"/>
      <c r="V70" s="251"/>
      <c r="W70" s="251"/>
      <c r="X70" s="251"/>
      <c r="Y70" s="135"/>
      <c r="Z70" s="135"/>
      <c r="AA70" s="135"/>
      <c r="AB70" s="252"/>
      <c r="AC70" s="253"/>
      <c r="AD70" s="254"/>
      <c r="AE70" s="330"/>
      <c r="AF70" s="303"/>
      <c r="AG70" s="301"/>
      <c r="AH70" s="301"/>
      <c r="AI70" s="301"/>
      <c r="AJ70" s="301"/>
      <c r="AK70" s="301"/>
      <c r="AL70" s="301"/>
      <c r="AM70" s="302"/>
      <c r="AN70" s="303"/>
      <c r="AO70" s="302"/>
      <c r="AP70" s="289"/>
      <c r="AQ70" s="252"/>
      <c r="AR70" s="252"/>
      <c r="AS70" s="252"/>
      <c r="AT70" s="252"/>
      <c r="AU70" s="135"/>
      <c r="AV70" s="135"/>
      <c r="AW70" s="135"/>
      <c r="AX70" s="135"/>
      <c r="AY70" s="135"/>
      <c r="AZ70" s="135"/>
      <c r="BA70" s="135"/>
      <c r="BB70" s="135"/>
      <c r="BC70" s="135"/>
      <c r="BD70" s="135"/>
      <c r="BE70" s="135"/>
      <c r="BF70" s="135"/>
      <c r="BG70" s="135"/>
      <c r="BH70" s="135"/>
      <c r="BI70" s="135"/>
      <c r="BJ70" s="135"/>
      <c r="BK70" s="135"/>
      <c r="BL70" s="135"/>
      <c r="BM70" s="135"/>
      <c r="BN70" s="135"/>
      <c r="BO70" s="135"/>
      <c r="BP70" s="135"/>
      <c r="BQ70" s="135"/>
      <c r="BR70" s="135"/>
      <c r="BS70" s="135"/>
      <c r="BT70" s="135"/>
      <c r="BU70" s="135"/>
      <c r="BV70" s="135"/>
      <c r="BW70" s="135"/>
      <c r="BX70" s="135"/>
      <c r="BY70" s="135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  <c r="CK70" s="135"/>
      <c r="CL70" s="135"/>
      <c r="CM70" s="135"/>
      <c r="CN70" s="135"/>
      <c r="CO70" s="135"/>
      <c r="CP70" s="135"/>
      <c r="CQ70" s="135"/>
      <c r="CR70" s="135"/>
      <c r="CS70" s="135"/>
      <c r="CT70" s="135"/>
      <c r="CU70" s="135"/>
      <c r="CV70" s="135"/>
      <c r="CW70" s="135"/>
      <c r="CX70" s="135"/>
      <c r="CY70" s="135"/>
      <c r="CZ70" s="135"/>
      <c r="DA70" s="135"/>
      <c r="DB70" s="135"/>
      <c r="DC70" s="135"/>
      <c r="DD70" s="135"/>
      <c r="DE70" s="135"/>
      <c r="DF70" s="135"/>
      <c r="DG70" s="135"/>
      <c r="DH70" s="135"/>
      <c r="DI70" s="135"/>
      <c r="DJ70" s="135"/>
      <c r="DK70" s="135"/>
      <c r="DL70" s="135"/>
      <c r="DM70" s="135"/>
      <c r="DN70" s="135"/>
      <c r="DO70" s="135"/>
      <c r="DP70" s="135"/>
      <c r="DQ70" s="135"/>
      <c r="DR70" s="135"/>
      <c r="DS70" s="135"/>
      <c r="DT70" s="135"/>
      <c r="DU70" s="135"/>
      <c r="DV70" s="135"/>
      <c r="DW70" s="135"/>
      <c r="DX70" s="135"/>
      <c r="DY70" s="135"/>
      <c r="DZ70" s="135"/>
      <c r="EA70" s="135"/>
      <c r="EB70" s="135"/>
      <c r="EC70" s="135"/>
      <c r="ED70" s="135"/>
      <c r="EE70" s="135"/>
      <c r="EF70" s="135"/>
      <c r="EG70" s="135"/>
      <c r="EH70" s="135"/>
      <c r="EI70" s="135"/>
      <c r="EJ70" s="135"/>
      <c r="EK70" s="135"/>
      <c r="EL70" s="135"/>
      <c r="EM70" s="135"/>
      <c r="EN70" s="135"/>
      <c r="EO70" s="135"/>
      <c r="EP70" s="135"/>
      <c r="EQ70" s="135"/>
      <c r="ER70" s="135"/>
      <c r="ES70" s="135"/>
      <c r="ET70" s="135"/>
      <c r="EU70" s="135"/>
      <c r="EV70" s="135"/>
      <c r="EW70" s="135"/>
      <c r="EX70" s="135"/>
      <c r="EY70" s="135"/>
      <c r="EZ70" s="135"/>
      <c r="FA70" s="135"/>
      <c r="FB70" s="135"/>
      <c r="FC70" s="135"/>
      <c r="FD70" s="135"/>
      <c r="FE70" s="135"/>
      <c r="FF70" s="135"/>
      <c r="FG70" s="135"/>
      <c r="FH70" s="135"/>
      <c r="FI70" s="135"/>
      <c r="FJ70" s="135"/>
      <c r="FK70" s="135"/>
      <c r="FL70" s="135"/>
      <c r="FM70" s="135"/>
      <c r="FN70" s="135"/>
      <c r="FO70" s="135"/>
      <c r="FP70" s="135"/>
      <c r="FQ70" s="135"/>
      <c r="FR70" s="135"/>
      <c r="FS70" s="135"/>
      <c r="FT70" s="135"/>
      <c r="FU70" s="135"/>
      <c r="FV70" s="135"/>
      <c r="FW70" s="135"/>
      <c r="FX70" s="135"/>
      <c r="FY70" s="135"/>
      <c r="FZ70" s="135"/>
      <c r="GA70" s="135"/>
      <c r="GB70" s="135"/>
      <c r="GC70" s="135"/>
      <c r="GD70" s="135"/>
      <c r="GE70" s="135"/>
      <c r="GF70" s="135"/>
      <c r="GG70" s="135"/>
      <c r="GH70" s="135"/>
      <c r="GI70" s="135"/>
      <c r="GJ70" s="135"/>
      <c r="GK70" s="135"/>
      <c r="GL70" s="135"/>
      <c r="GM70" s="135"/>
      <c r="GN70" s="135"/>
      <c r="GO70" s="135"/>
      <c r="GP70" s="135"/>
      <c r="GQ70" s="135"/>
      <c r="GR70" s="135"/>
      <c r="GS70" s="135"/>
      <c r="GT70" s="135"/>
      <c r="GU70" s="135"/>
      <c r="GV70" s="135"/>
      <c r="GW70" s="135"/>
      <c r="GX70" s="135"/>
      <c r="GY70" s="135"/>
      <c r="GZ70" s="135"/>
      <c r="HA70" s="135"/>
      <c r="HB70" s="135"/>
      <c r="HC70" s="135"/>
      <c r="HD70" s="135"/>
      <c r="HE70" s="135"/>
      <c r="HF70" s="135"/>
      <c r="HG70" s="135"/>
      <c r="HH70" s="135"/>
      <c r="HI70" s="135"/>
      <c r="HJ70" s="135"/>
      <c r="HK70" s="135"/>
      <c r="HL70" s="135"/>
      <c r="HM70" s="135"/>
      <c r="HN70" s="135"/>
      <c r="HO70" s="135"/>
      <c r="HP70" s="135"/>
      <c r="HQ70" s="135"/>
      <c r="HR70" s="135"/>
      <c r="HS70" s="135"/>
      <c r="HT70" s="135"/>
      <c r="HU70" s="135"/>
      <c r="HV70" s="135"/>
      <c r="HW70" s="135"/>
      <c r="HX70" s="135"/>
      <c r="HY70" s="135"/>
      <c r="HZ70" s="135"/>
      <c r="IA70" s="135"/>
      <c r="IB70" s="135"/>
      <c r="IC70" s="135"/>
      <c r="ID70" s="135"/>
      <c r="IE70" s="135"/>
      <c r="IF70" s="135"/>
      <c r="IG70" s="135"/>
      <c r="IH70" s="135"/>
      <c r="II70" s="135"/>
      <c r="IJ70" s="135"/>
      <c r="IK70" s="135"/>
      <c r="IL70" s="135"/>
      <c r="IM70" s="135"/>
      <c r="IN70" s="135"/>
      <c r="IO70" s="135"/>
      <c r="IP70" s="135"/>
      <c r="IQ70" s="135"/>
      <c r="IR70" s="135"/>
      <c r="IS70" s="135"/>
      <c r="IT70" s="135"/>
      <c r="IU70" s="135"/>
      <c r="IV70" s="135"/>
      <c r="IW70" s="135"/>
      <c r="IX70" s="135"/>
      <c r="IY70" s="135"/>
      <c r="IZ70" s="135"/>
      <c r="JA70" s="135"/>
      <c r="JB70" s="135"/>
      <c r="JC70" s="135"/>
      <c r="JD70" s="135"/>
      <c r="JE70" s="135"/>
      <c r="JF70" s="135"/>
      <c r="JG70" s="135"/>
      <c r="JH70" s="135"/>
      <c r="JI70" s="135"/>
      <c r="JJ70" s="135"/>
      <c r="JK70" s="135"/>
      <c r="JL70" s="135"/>
      <c r="JM70" s="135"/>
      <c r="JN70" s="135"/>
      <c r="JO70" s="135"/>
      <c r="JP70" s="135"/>
      <c r="JQ70" s="135"/>
      <c r="JR70" s="135"/>
      <c r="JS70" s="135"/>
      <c r="JT70" s="135"/>
      <c r="JU70" s="135"/>
      <c r="JV70" s="135"/>
      <c r="JW70" s="135"/>
      <c r="JX70" s="135"/>
      <c r="JY70" s="135"/>
      <c r="JZ70" s="135"/>
      <c r="KA70" s="135"/>
      <c r="KB70" s="135"/>
      <c r="KC70" s="135"/>
      <c r="KD70" s="135"/>
      <c r="KE70" s="135"/>
      <c r="KF70" s="135"/>
      <c r="KG70" s="135"/>
      <c r="KH70" s="135"/>
      <c r="KI70" s="135"/>
      <c r="KJ70" s="135"/>
      <c r="KK70" s="135"/>
      <c r="KL70" s="135"/>
      <c r="KM70" s="135"/>
      <c r="KN70" s="135"/>
      <c r="KO70" s="135"/>
      <c r="KP70" s="135"/>
      <c r="KQ70" s="135"/>
      <c r="KR70" s="135"/>
      <c r="KS70" s="135"/>
      <c r="KT70" s="135"/>
      <c r="KU70" s="135"/>
      <c r="KV70" s="135"/>
      <c r="KW70" s="135"/>
      <c r="KX70" s="135"/>
      <c r="KY70" s="135"/>
      <c r="KZ70" s="135"/>
      <c r="LA70" s="135"/>
      <c r="LB70" s="135"/>
      <c r="LC70" s="135"/>
      <c r="LD70" s="135"/>
      <c r="LE70" s="135"/>
      <c r="LF70" s="135"/>
      <c r="LG70" s="135"/>
      <c r="LH70" s="135"/>
      <c r="LI70" s="135"/>
      <c r="LJ70" s="135"/>
      <c r="LK70" s="135"/>
      <c r="LL70" s="135"/>
      <c r="LM70" s="135"/>
      <c r="LN70" s="135"/>
      <c r="LO70" s="135"/>
      <c r="LP70" s="135"/>
      <c r="LQ70" s="135"/>
      <c r="LR70" s="135"/>
      <c r="LS70" s="135"/>
      <c r="LT70" s="135"/>
      <c r="LU70" s="135"/>
      <c r="LV70" s="135"/>
      <c r="LW70" s="135"/>
      <c r="LX70" s="135"/>
      <c r="LY70" s="135"/>
      <c r="LZ70" s="135"/>
      <c r="MA70" s="135"/>
      <c r="MB70" s="135"/>
      <c r="MC70" s="135"/>
      <c r="MD70" s="135"/>
      <c r="ME70" s="135"/>
      <c r="MF70" s="135"/>
      <c r="MG70" s="135"/>
      <c r="MH70" s="135"/>
      <c r="MI70" s="135"/>
      <c r="MJ70" s="135"/>
      <c r="MK70" s="135"/>
      <c r="ML70" s="135"/>
      <c r="MM70" s="135"/>
      <c r="MN70" s="135"/>
      <c r="MO70" s="135"/>
      <c r="MP70" s="135"/>
      <c r="MQ70" s="135"/>
      <c r="MR70" s="135"/>
      <c r="MS70" s="135"/>
      <c r="MT70" s="135"/>
      <c r="MU70" s="135"/>
      <c r="MV70" s="135"/>
      <c r="MW70" s="135"/>
      <c r="MX70" s="135"/>
      <c r="MY70" s="135"/>
      <c r="MZ70" s="135"/>
      <c r="NA70" s="135"/>
      <c r="NB70" s="135"/>
      <c r="NC70" s="135"/>
      <c r="ND70" s="135"/>
      <c r="NE70" s="135"/>
      <c r="NF70" s="135"/>
      <c r="NG70" s="135"/>
      <c r="NH70" s="135"/>
      <c r="NI70" s="135"/>
      <c r="NJ70" s="135"/>
      <c r="NK70" s="135"/>
      <c r="NL70" s="135"/>
      <c r="NM70" s="135"/>
      <c r="NN70" s="135"/>
      <c r="NO70" s="135"/>
      <c r="NP70" s="135"/>
      <c r="NQ70" s="135"/>
      <c r="NR70" s="135"/>
      <c r="NS70" s="135"/>
      <c r="NT70" s="135"/>
      <c r="NU70" s="135"/>
      <c r="NV70" s="135"/>
      <c r="NW70" s="135"/>
      <c r="NX70" s="135"/>
      <c r="NY70" s="135"/>
      <c r="NZ70" s="135"/>
      <c r="OA70" s="135"/>
      <c r="OB70" s="135"/>
      <c r="OC70" s="135"/>
      <c r="OD70" s="135"/>
      <c r="OE70" s="135"/>
      <c r="OF70" s="135"/>
      <c r="OG70" s="135"/>
      <c r="OH70" s="135"/>
      <c r="OI70" s="135"/>
      <c r="OJ70" s="135"/>
      <c r="OK70" s="135"/>
      <c r="OL70" s="135"/>
      <c r="OM70" s="135"/>
      <c r="ON70" s="135"/>
      <c r="OO70" s="135"/>
      <c r="OP70" s="135"/>
      <c r="OQ70" s="135"/>
      <c r="OR70" s="135"/>
      <c r="OS70" s="135"/>
      <c r="OT70" s="135"/>
      <c r="OU70" s="135"/>
      <c r="OV70" s="135"/>
      <c r="OW70" s="135"/>
      <c r="OX70" s="135"/>
      <c r="OY70" s="135"/>
      <c r="OZ70" s="135"/>
      <c r="PA70" s="135"/>
      <c r="PB70" s="135"/>
      <c r="PC70" s="135"/>
      <c r="PD70" s="135"/>
      <c r="PE70" s="135"/>
      <c r="PF70" s="135"/>
      <c r="PG70" s="135"/>
      <c r="PH70" s="135"/>
      <c r="PI70" s="135"/>
      <c r="PJ70" s="135"/>
      <c r="PK70" s="135"/>
      <c r="PL70" s="135"/>
      <c r="PM70" s="135"/>
      <c r="PN70" s="135"/>
      <c r="PO70" s="135"/>
      <c r="PP70" s="135"/>
      <c r="PQ70" s="135"/>
      <c r="PR70" s="135"/>
      <c r="PS70" s="135"/>
      <c r="PT70" s="135"/>
      <c r="PU70" s="135"/>
      <c r="PV70" s="135"/>
      <c r="PW70" s="135"/>
      <c r="PX70" s="135"/>
      <c r="PY70" s="135"/>
      <c r="PZ70" s="135"/>
      <c r="QA70" s="135"/>
      <c r="QB70" s="135"/>
      <c r="QC70" s="135"/>
      <c r="QD70" s="135"/>
      <c r="QE70" s="135"/>
      <c r="QF70" s="135"/>
      <c r="QG70" s="135"/>
      <c r="QH70" s="135"/>
      <c r="QI70" s="135"/>
      <c r="QJ70" s="135"/>
      <c r="QK70" s="135"/>
      <c r="QL70" s="135"/>
      <c r="QM70" s="135"/>
      <c r="QN70" s="135"/>
      <c r="QO70" s="135"/>
      <c r="QP70" s="135"/>
      <c r="QQ70" s="135"/>
      <c r="QR70" s="135"/>
      <c r="QS70" s="135"/>
      <c r="QT70" s="135"/>
      <c r="QU70" s="135"/>
      <c r="QV70" s="135"/>
      <c r="QW70" s="135"/>
      <c r="QX70" s="135"/>
      <c r="QY70" s="135"/>
      <c r="QZ70" s="135"/>
      <c r="RA70" s="135"/>
      <c r="RB70" s="135"/>
      <c r="RC70" s="135"/>
      <c r="RD70" s="135"/>
      <c r="RE70" s="135"/>
      <c r="RF70" s="135"/>
      <c r="RG70" s="135"/>
      <c r="RH70" s="135"/>
      <c r="RI70" s="135"/>
      <c r="RJ70" s="135"/>
      <c r="RK70" s="135"/>
      <c r="RL70" s="135"/>
      <c r="RM70" s="135"/>
      <c r="RN70" s="135"/>
      <c r="RO70" s="135"/>
      <c r="RP70" s="135"/>
      <c r="RQ70" s="135"/>
      <c r="RR70" s="135"/>
      <c r="RS70" s="135"/>
      <c r="RT70" s="135"/>
      <c r="RU70" s="135"/>
      <c r="RV70" s="135"/>
      <c r="RW70" s="135"/>
      <c r="RX70" s="135"/>
      <c r="RY70" s="135"/>
      <c r="RZ70" s="135"/>
      <c r="SA70" s="135"/>
      <c r="SB70" s="135"/>
      <c r="SC70" s="135"/>
      <c r="SD70" s="135"/>
      <c r="SE70" s="135"/>
      <c r="SF70" s="135"/>
      <c r="SG70" s="135"/>
      <c r="SH70" s="135"/>
      <c r="SI70" s="135"/>
      <c r="SJ70" s="135"/>
      <c r="SK70" s="135"/>
      <c r="SL70" s="135"/>
      <c r="SM70" s="135"/>
      <c r="SN70" s="135"/>
      <c r="SO70" s="135"/>
      <c r="SP70" s="135"/>
      <c r="SQ70" s="135"/>
      <c r="SR70" s="135"/>
      <c r="SS70" s="135"/>
      <c r="ST70" s="135"/>
      <c r="SU70" s="135"/>
      <c r="SV70" s="135"/>
      <c r="SW70" s="135"/>
      <c r="SX70" s="135"/>
      <c r="SY70" s="135"/>
      <c r="SZ70" s="135"/>
      <c r="TA70" s="135"/>
      <c r="TB70" s="135"/>
      <c r="TC70" s="135"/>
      <c r="TD70" s="135"/>
      <c r="TE70" s="135"/>
      <c r="TF70" s="135"/>
      <c r="TG70" s="135"/>
      <c r="TH70" s="135"/>
      <c r="TI70" s="135"/>
      <c r="TJ70" s="135"/>
      <c r="TK70" s="135"/>
      <c r="TL70" s="135"/>
      <c r="TM70" s="135"/>
      <c r="TN70" s="135"/>
      <c r="TO70" s="135"/>
      <c r="TP70" s="135"/>
      <c r="TQ70" s="135"/>
      <c r="TR70" s="135"/>
      <c r="TS70" s="135"/>
      <c r="TT70" s="135"/>
      <c r="TU70" s="135"/>
      <c r="TV70" s="135"/>
      <c r="TW70" s="135"/>
      <c r="TX70" s="135"/>
      <c r="TY70" s="135"/>
      <c r="TZ70" s="135"/>
      <c r="UA70" s="135"/>
      <c r="UB70" s="135"/>
      <c r="UC70" s="135"/>
      <c r="UD70" s="135"/>
      <c r="UE70" s="135"/>
      <c r="UF70" s="135"/>
      <c r="UG70" s="135"/>
      <c r="UH70" s="135"/>
      <c r="UI70" s="135"/>
      <c r="UJ70" s="135"/>
      <c r="UK70" s="135"/>
      <c r="UL70" s="135"/>
      <c r="UM70" s="135"/>
      <c r="UN70" s="135"/>
      <c r="UO70" s="135"/>
      <c r="UP70" s="135"/>
      <c r="UQ70" s="135"/>
      <c r="UR70" s="135"/>
      <c r="US70" s="135"/>
      <c r="UT70" s="135"/>
      <c r="UU70" s="135"/>
      <c r="UV70" s="135"/>
      <c r="UW70" s="135"/>
      <c r="UX70" s="135"/>
      <c r="UY70" s="135"/>
      <c r="UZ70" s="135"/>
      <c r="VA70" s="135"/>
      <c r="VB70" s="135"/>
      <c r="VC70" s="135"/>
      <c r="VD70" s="135"/>
      <c r="VE70" s="135"/>
      <c r="VF70" s="135"/>
      <c r="VG70" s="135"/>
      <c r="VH70" s="135"/>
      <c r="VI70" s="135"/>
      <c r="VJ70" s="135"/>
      <c r="VK70" s="135"/>
      <c r="VL70" s="135"/>
      <c r="VM70" s="135"/>
      <c r="VN70" s="135"/>
      <c r="VO70" s="135"/>
      <c r="VP70" s="135"/>
      <c r="VQ70" s="135"/>
      <c r="VR70" s="135"/>
      <c r="VS70" s="135"/>
      <c r="VT70" s="135"/>
      <c r="VU70" s="135"/>
      <c r="VV70" s="135"/>
      <c r="VW70" s="135"/>
      <c r="VX70" s="135"/>
      <c r="VY70" s="135"/>
      <c r="VZ70" s="135"/>
      <c r="WA70" s="135"/>
      <c r="WB70" s="135"/>
      <c r="WC70" s="135"/>
      <c r="WD70" s="135"/>
      <c r="WE70" s="135"/>
      <c r="WF70" s="135"/>
      <c r="WG70" s="135"/>
      <c r="WH70" s="135"/>
      <c r="WI70" s="135"/>
      <c r="WJ70" s="135"/>
      <c r="WK70" s="135"/>
      <c r="WL70" s="135"/>
      <c r="WM70" s="135"/>
      <c r="WN70" s="135"/>
      <c r="WO70" s="135"/>
      <c r="WP70" s="135"/>
      <c r="WQ70" s="135"/>
      <c r="WR70" s="135"/>
      <c r="WS70" s="135"/>
      <c r="WT70" s="135"/>
      <c r="WU70" s="135"/>
      <c r="WV70" s="135"/>
      <c r="WW70" s="135"/>
      <c r="WX70" s="135"/>
      <c r="WY70" s="135"/>
      <c r="WZ70" s="135"/>
      <c r="XA70" s="135"/>
      <c r="XB70" s="135"/>
      <c r="XC70" s="135"/>
      <c r="XD70" s="135"/>
      <c r="XE70" s="135"/>
      <c r="XF70" s="135"/>
      <c r="XG70" s="135"/>
      <c r="XH70" s="135"/>
      <c r="XI70" s="135"/>
      <c r="XJ70" s="135"/>
      <c r="XK70" s="135"/>
      <c r="XL70" s="135"/>
      <c r="XM70" s="135"/>
      <c r="XN70" s="135"/>
      <c r="XO70" s="135"/>
      <c r="XP70" s="135"/>
      <c r="XQ70" s="135"/>
      <c r="XR70" s="135"/>
      <c r="XS70" s="135"/>
      <c r="XT70" s="135"/>
      <c r="XU70" s="135"/>
      <c r="XV70" s="135"/>
      <c r="XW70" s="135"/>
      <c r="XX70" s="135"/>
      <c r="XY70" s="135"/>
      <c r="XZ70" s="135"/>
      <c r="YA70" s="135"/>
      <c r="YB70" s="135"/>
      <c r="YC70" s="135"/>
      <c r="YD70" s="135"/>
      <c r="YE70" s="135"/>
      <c r="YF70" s="135"/>
      <c r="YG70" s="135"/>
      <c r="YH70" s="135"/>
      <c r="YI70" s="135"/>
      <c r="YJ70" s="135"/>
      <c r="YK70" s="135"/>
      <c r="YL70" s="135"/>
      <c r="YM70" s="135"/>
      <c r="YN70" s="135"/>
      <c r="YO70" s="135"/>
      <c r="YP70" s="135"/>
      <c r="YQ70" s="135"/>
      <c r="YR70" s="135"/>
      <c r="YS70" s="135"/>
      <c r="YT70" s="135"/>
      <c r="YU70" s="135"/>
      <c r="YV70" s="135"/>
      <c r="YW70" s="135"/>
      <c r="YX70" s="135"/>
      <c r="YY70" s="135"/>
      <c r="YZ70" s="135"/>
      <c r="ZA70" s="135"/>
      <c r="ZB70" s="135"/>
      <c r="ZC70" s="135"/>
      <c r="ZD70" s="135"/>
      <c r="ZE70" s="135"/>
      <c r="ZF70" s="135"/>
      <c r="ZG70" s="135"/>
      <c r="ZH70" s="135"/>
      <c r="ZI70" s="135"/>
      <c r="ZJ70" s="135"/>
      <c r="ZK70" s="135"/>
      <c r="ZL70" s="135"/>
      <c r="ZM70" s="135"/>
      <c r="ZN70" s="135"/>
      <c r="ZO70" s="135"/>
      <c r="ZP70" s="135"/>
      <c r="ZQ70" s="135"/>
      <c r="ZR70" s="135"/>
      <c r="ZS70" s="135"/>
      <c r="ZT70" s="135"/>
      <c r="ZU70" s="135"/>
      <c r="ZV70" s="135"/>
      <c r="ZW70" s="135"/>
      <c r="ZX70" s="135"/>
      <c r="ZY70" s="135"/>
      <c r="ZZ70" s="135"/>
      <c r="AAA70" s="135"/>
      <c r="AAB70" s="135"/>
      <c r="AAC70" s="135"/>
      <c r="AAD70" s="135"/>
      <c r="AAE70" s="135"/>
      <c r="AAF70" s="135"/>
      <c r="AAG70" s="135"/>
      <c r="AAH70" s="135"/>
      <c r="AAI70" s="135"/>
      <c r="AAJ70" s="135"/>
      <c r="AAK70" s="135"/>
      <c r="AAL70" s="135"/>
      <c r="AAM70" s="135"/>
      <c r="AAN70" s="135"/>
      <c r="AAO70" s="135"/>
      <c r="AAP70" s="135"/>
      <c r="AAQ70" s="135"/>
      <c r="AAR70" s="135"/>
      <c r="AAS70" s="135"/>
      <c r="AAT70" s="135"/>
      <c r="AAU70" s="135"/>
      <c r="AAV70" s="135"/>
      <c r="AAW70" s="135"/>
      <c r="AAX70" s="135"/>
      <c r="AAY70" s="135"/>
      <c r="AAZ70" s="135"/>
      <c r="ABA70" s="135"/>
      <c r="ABB70" s="135"/>
      <c r="ABC70" s="135"/>
      <c r="ABD70" s="135"/>
      <c r="ABE70" s="135"/>
      <c r="ABF70" s="135"/>
      <c r="ABG70" s="135"/>
      <c r="ABH70" s="135"/>
      <c r="ABI70" s="135"/>
      <c r="ABJ70" s="135"/>
      <c r="ABK70" s="135"/>
      <c r="ABL70" s="135"/>
      <c r="ABM70" s="135"/>
      <c r="ABN70" s="135"/>
      <c r="ABO70" s="135"/>
      <c r="ABP70" s="135"/>
      <c r="ABQ70" s="135"/>
      <c r="ABR70" s="135"/>
      <c r="ABS70" s="135"/>
      <c r="ABT70" s="135"/>
      <c r="ABU70" s="135"/>
      <c r="ABV70" s="135"/>
      <c r="ABW70" s="135"/>
      <c r="ABX70" s="135"/>
      <c r="ABY70" s="135"/>
      <c r="ABZ70" s="135"/>
      <c r="ACA70" s="135"/>
      <c r="ACB70" s="135"/>
      <c r="ACC70" s="135"/>
      <c r="ACD70" s="135"/>
      <c r="ACE70" s="135"/>
      <c r="ACF70" s="135"/>
      <c r="ACG70" s="135"/>
      <c r="ACH70" s="135"/>
      <c r="ACI70" s="135"/>
      <c r="ACJ70" s="135"/>
      <c r="ACK70" s="135"/>
      <c r="ACL70" s="135"/>
      <c r="ACM70" s="135"/>
      <c r="ACN70" s="135"/>
      <c r="ACO70" s="135"/>
      <c r="ACP70" s="135"/>
      <c r="ACQ70" s="135"/>
      <c r="ACR70" s="135"/>
      <c r="ACS70" s="135"/>
      <c r="ACT70" s="135"/>
      <c r="ACU70" s="135"/>
      <c r="ACV70" s="135"/>
      <c r="ACW70" s="135"/>
      <c r="ACX70" s="135"/>
      <c r="ACY70" s="135"/>
      <c r="ACZ70" s="135"/>
      <c r="ADA70" s="135"/>
      <c r="ADB70" s="135"/>
      <c r="ADC70" s="135"/>
      <c r="ADD70" s="135"/>
      <c r="ADE70" s="135"/>
      <c r="ADF70" s="135"/>
      <c r="ADG70" s="135"/>
      <c r="ADH70" s="135"/>
      <c r="ADI70" s="135"/>
      <c r="ADJ70" s="135"/>
      <c r="ADK70" s="135"/>
      <c r="ADL70" s="135"/>
      <c r="ADM70" s="135"/>
      <c r="ADN70" s="135"/>
      <c r="ADO70" s="135"/>
      <c r="ADP70" s="135"/>
      <c r="ADQ70" s="135"/>
      <c r="ADR70" s="135"/>
      <c r="ADS70" s="135"/>
      <c r="ADT70" s="135"/>
      <c r="ADU70" s="135"/>
      <c r="ADV70" s="135"/>
      <c r="ADW70" s="135"/>
      <c r="ADX70" s="135"/>
      <c r="ADY70" s="135"/>
      <c r="ADZ70" s="135"/>
      <c r="AEA70" s="135"/>
      <c r="AEB70" s="135"/>
      <c r="AEC70" s="135"/>
      <c r="AED70" s="135"/>
      <c r="AEE70" s="135"/>
      <c r="AEF70" s="135"/>
      <c r="AEG70" s="135"/>
      <c r="AEH70" s="135"/>
      <c r="AEI70" s="135"/>
      <c r="AEJ70" s="135"/>
      <c r="AEK70" s="135"/>
      <c r="AEL70" s="135"/>
      <c r="AEM70" s="135"/>
      <c r="AEN70" s="135"/>
      <c r="AEO70" s="135"/>
      <c r="AEP70" s="135"/>
      <c r="AEQ70" s="135"/>
      <c r="AER70" s="135"/>
      <c r="AES70" s="135"/>
      <c r="AET70" s="135"/>
      <c r="AEU70" s="135"/>
      <c r="AEV70" s="135"/>
      <c r="AEW70" s="135"/>
      <c r="AEX70" s="135"/>
      <c r="AEY70" s="135"/>
      <c r="AEZ70" s="135"/>
      <c r="AFA70" s="135"/>
      <c r="AFB70" s="135"/>
      <c r="AFC70" s="135"/>
      <c r="AFD70" s="135"/>
      <c r="AFE70" s="135"/>
      <c r="AFF70" s="135"/>
      <c r="AFG70" s="135"/>
      <c r="AFH70" s="135"/>
      <c r="AFI70" s="135"/>
      <c r="AFJ70" s="135"/>
      <c r="AFK70" s="135"/>
      <c r="AFL70" s="135"/>
      <c r="AFM70" s="135"/>
      <c r="AFN70" s="135"/>
      <c r="AFO70" s="135"/>
      <c r="AFP70" s="135"/>
      <c r="AFQ70" s="135"/>
      <c r="AFR70" s="135"/>
      <c r="AFS70" s="135"/>
      <c r="AFT70" s="135"/>
      <c r="AFU70" s="135"/>
      <c r="AFV70" s="135"/>
      <c r="AFW70" s="135"/>
      <c r="AFX70" s="135"/>
      <c r="AFY70" s="135"/>
      <c r="AFZ70" s="135"/>
      <c r="AGA70" s="135"/>
      <c r="AGB70" s="135"/>
      <c r="AGC70" s="135"/>
      <c r="AGD70" s="135"/>
      <c r="AGE70" s="135"/>
      <c r="AGF70" s="135"/>
      <c r="AGG70" s="135"/>
      <c r="AGH70" s="135"/>
      <c r="AGI70" s="135"/>
      <c r="AGJ70" s="135"/>
      <c r="AGK70" s="135"/>
      <c r="AGL70" s="135"/>
      <c r="AGM70" s="135"/>
      <c r="AGN70" s="135"/>
      <c r="AGO70" s="135"/>
      <c r="AGP70" s="135"/>
      <c r="AGQ70" s="135"/>
      <c r="AGR70" s="135"/>
      <c r="AGS70" s="135"/>
      <c r="AGT70" s="135"/>
      <c r="AGU70" s="135"/>
      <c r="AGV70" s="135"/>
      <c r="AGW70" s="135"/>
      <c r="AGX70" s="135"/>
      <c r="AGY70" s="135"/>
      <c r="AGZ70" s="135"/>
      <c r="AHA70" s="135"/>
      <c r="AHB70" s="135"/>
      <c r="AHC70" s="135"/>
      <c r="AHD70" s="135"/>
      <c r="AHE70" s="135"/>
      <c r="AHF70" s="135"/>
      <c r="AHG70" s="135"/>
      <c r="AHH70" s="135"/>
      <c r="AHI70" s="135"/>
      <c r="AHJ70" s="135"/>
      <c r="AHK70" s="135"/>
      <c r="AHL70" s="135"/>
      <c r="AHM70" s="135"/>
      <c r="AHN70" s="135"/>
      <c r="AHO70" s="135"/>
      <c r="AHP70" s="135"/>
      <c r="AHQ70" s="135"/>
      <c r="AHR70" s="135"/>
      <c r="AHS70" s="135"/>
      <c r="AHT70" s="135"/>
      <c r="AHU70" s="135"/>
      <c r="AHV70" s="135"/>
      <c r="AHW70" s="135"/>
      <c r="AHX70" s="135"/>
      <c r="AHY70" s="135"/>
      <c r="AHZ70" s="135"/>
      <c r="AIA70" s="135"/>
      <c r="AIB70" s="135"/>
      <c r="AIC70" s="135"/>
      <c r="AID70" s="135"/>
      <c r="AIE70" s="135"/>
      <c r="AIF70" s="135"/>
      <c r="AIG70" s="135"/>
      <c r="AIH70" s="135"/>
      <c r="AII70" s="135"/>
      <c r="AIJ70" s="135"/>
      <c r="AIK70" s="135"/>
      <c r="AIL70" s="135"/>
      <c r="AIM70" s="135"/>
      <c r="AIN70" s="135"/>
      <c r="AIO70" s="135"/>
      <c r="AIP70" s="135"/>
      <c r="AIQ70" s="135"/>
      <c r="AIR70" s="135"/>
      <c r="AIS70" s="135"/>
      <c r="AIT70" s="135"/>
      <c r="AIU70" s="135"/>
      <c r="AIV70" s="135"/>
      <c r="AIW70" s="135"/>
      <c r="AIX70" s="135"/>
      <c r="AIY70" s="135"/>
      <c r="AIZ70" s="135"/>
      <c r="AJA70" s="135"/>
      <c r="AJB70" s="135"/>
      <c r="AJC70" s="135"/>
      <c r="AJD70" s="135"/>
      <c r="AJE70" s="135"/>
      <c r="AJF70" s="135"/>
      <c r="AJG70" s="135"/>
      <c r="AJH70" s="135"/>
      <c r="AJI70" s="135"/>
      <c r="AJJ70" s="135"/>
      <c r="AJK70" s="135"/>
      <c r="AJL70" s="135"/>
      <c r="AJM70" s="135"/>
      <c r="AJN70" s="135"/>
      <c r="AJO70" s="135"/>
      <c r="AJP70" s="135"/>
      <c r="AJQ70" s="135"/>
      <c r="AJR70" s="135"/>
      <c r="AJS70" s="135"/>
      <c r="AJT70" s="135"/>
      <c r="AJU70" s="135"/>
      <c r="AJV70" s="135"/>
      <c r="AJW70" s="135"/>
      <c r="AJX70" s="135"/>
      <c r="AJY70" s="135"/>
      <c r="AJZ70" s="135"/>
      <c r="AKA70" s="135"/>
      <c r="AKB70" s="135"/>
      <c r="AKC70" s="135"/>
      <c r="AKD70" s="135"/>
      <c r="AKE70" s="135"/>
      <c r="AKF70" s="135"/>
      <c r="AKG70" s="135"/>
      <c r="AKH70" s="135"/>
      <c r="AKI70" s="135"/>
      <c r="AKJ70" s="135"/>
      <c r="AKK70" s="135"/>
      <c r="AKL70" s="135"/>
      <c r="AKM70" s="135"/>
      <c r="AKN70" s="135"/>
      <c r="AKO70" s="135"/>
      <c r="AKP70" s="135"/>
      <c r="AKQ70" s="135"/>
      <c r="AKR70" s="135"/>
      <c r="AKS70" s="135"/>
      <c r="AKT70" s="135"/>
      <c r="AKU70" s="135"/>
      <c r="AKV70" s="135"/>
      <c r="AKW70" s="135"/>
      <c r="AKX70" s="135"/>
      <c r="AKY70" s="135"/>
      <c r="AKZ70" s="135"/>
      <c r="ALA70" s="135"/>
      <c r="ALB70" s="135"/>
      <c r="ALC70" s="135"/>
      <c r="ALD70" s="135"/>
      <c r="ALE70" s="135"/>
      <c r="ALF70" s="135"/>
      <c r="ALG70" s="135"/>
      <c r="ALH70" s="135"/>
      <c r="ALI70" s="135"/>
      <c r="ALJ70" s="135"/>
      <c r="ALK70" s="135"/>
      <c r="ALL70" s="135"/>
      <c r="ALM70" s="135"/>
      <c r="ALN70" s="135"/>
      <c r="ALO70" s="135"/>
      <c r="ALP70" s="135"/>
      <c r="ALQ70" s="135"/>
      <c r="ALR70" s="135"/>
      <c r="ALS70" s="135"/>
      <c r="ALT70" s="135"/>
      <c r="ALU70" s="135"/>
      <c r="ALV70" s="135"/>
      <c r="ALW70" s="135"/>
      <c r="ALX70" s="135"/>
      <c r="ALY70" s="135"/>
      <c r="ALZ70" s="135"/>
      <c r="AMA70" s="135"/>
      <c r="AMB70" s="135"/>
      <c r="AMC70" s="135"/>
      <c r="AMD70" s="135"/>
      <c r="AME70" s="135"/>
      <c r="AMF70" s="135"/>
      <c r="AMG70" s="135"/>
      <c r="AMH70" s="135"/>
      <c r="AMI70" s="135"/>
      <c r="AMJ70" s="135"/>
      <c r="AMK70" s="135"/>
    </row>
    <row r="71" spans="1:1025" ht="30" customHeight="1">
      <c r="A71" s="460"/>
      <c r="B71" s="448" t="s">
        <v>762</v>
      </c>
      <c r="C71" s="461">
        <f>D71*1.1</f>
        <v>8705.5430000000015</v>
      </c>
      <c r="D71" s="377">
        <v>7914.13</v>
      </c>
      <c r="E71" s="2043"/>
      <c r="F71" s="2043"/>
      <c r="G71" s="392"/>
      <c r="H71" s="429"/>
      <c r="I71" s="415"/>
      <c r="J71" s="365">
        <v>15000</v>
      </c>
      <c r="K71" s="366"/>
      <c r="L71" s="413"/>
      <c r="M71" s="365"/>
      <c r="N71" s="272"/>
      <c r="O71" s="272"/>
      <c r="P71" s="272"/>
      <c r="AE71" s="330"/>
      <c r="AF71" s="303"/>
      <c r="AG71" s="301"/>
      <c r="AH71" s="301"/>
      <c r="AI71" s="301"/>
      <c r="AJ71" s="301"/>
      <c r="AK71" s="301"/>
      <c r="AL71" s="301"/>
      <c r="AM71" s="302">
        <f t="shared" ref="AM71:AM75" si="15">AL71*9.55</f>
        <v>0</v>
      </c>
      <c r="AN71" s="303"/>
      <c r="AO71" s="302"/>
      <c r="AP71" s="289"/>
    </row>
    <row r="72" spans="1:1025" ht="33.75" customHeight="1" thickBot="1">
      <c r="A72" s="463"/>
      <c r="B72" s="448" t="s">
        <v>786</v>
      </c>
      <c r="C72" s="461">
        <f>D72*1.1</f>
        <v>165</v>
      </c>
      <c r="D72" s="464">
        <v>150</v>
      </c>
      <c r="E72" s="2044"/>
      <c r="F72" s="2044"/>
      <c r="G72" s="465"/>
      <c r="H72" s="466"/>
      <c r="I72" s="467"/>
      <c r="J72" s="365"/>
      <c r="K72" s="366"/>
      <c r="L72" s="413"/>
      <c r="M72" s="365"/>
      <c r="N72" s="272"/>
      <c r="O72" s="272"/>
      <c r="P72" s="272"/>
      <c r="AE72" s="330"/>
      <c r="AF72" s="303" t="s">
        <v>347</v>
      </c>
      <c r="AG72" s="301"/>
      <c r="AH72" s="301">
        <v>8</v>
      </c>
      <c r="AI72" s="301">
        <v>6</v>
      </c>
      <c r="AJ72" s="301">
        <f>AG72*AH72*AI72</f>
        <v>0</v>
      </c>
      <c r="AK72" s="301">
        <v>5</v>
      </c>
      <c r="AL72" s="301">
        <f>AJ72*AK72</f>
        <v>0</v>
      </c>
      <c r="AM72" s="302">
        <f t="shared" si="15"/>
        <v>0</v>
      </c>
      <c r="AN72" s="303">
        <v>2</v>
      </c>
      <c r="AO72" s="302">
        <f>AJ72*AN72</f>
        <v>0</v>
      </c>
      <c r="AP72" s="289"/>
    </row>
    <row r="73" spans="1:1025" ht="39" customHeight="1" thickBot="1">
      <c r="A73" s="468"/>
      <c r="B73" s="469" t="s">
        <v>406</v>
      </c>
      <c r="C73" s="470">
        <f>C66+C61+C58+C55+C52+C39+C25</f>
        <v>1824457.8903000001</v>
      </c>
      <c r="D73" s="471">
        <f>D66+D61+D58+D55+D52+D39+D25</f>
        <v>1361785.372</v>
      </c>
      <c r="E73" s="2025"/>
      <c r="F73" s="2025"/>
      <c r="G73" s="470">
        <f>SUM(G25:G72)</f>
        <v>2514309.1958500589</v>
      </c>
      <c r="H73" s="472">
        <f>SUM(H25:H72)</f>
        <v>1669120.7125276423</v>
      </c>
      <c r="I73" s="473"/>
      <c r="J73" s="354">
        <v>1576844.8871666701</v>
      </c>
      <c r="K73" s="353">
        <f>+D73-J73</f>
        <v>-215059.51516667008</v>
      </c>
      <c r="L73" s="413"/>
      <c r="M73" s="354"/>
      <c r="N73" s="272"/>
      <c r="O73" s="474"/>
      <c r="P73" s="272"/>
      <c r="AD73" s="445"/>
      <c r="AE73" s="446"/>
      <c r="AF73" s="475" t="s">
        <v>133</v>
      </c>
      <c r="AG73" s="336"/>
      <c r="AH73" s="336">
        <v>8</v>
      </c>
      <c r="AI73" s="336">
        <v>6</v>
      </c>
      <c r="AJ73" s="336">
        <f>AG73*AH73*AI73</f>
        <v>0</v>
      </c>
      <c r="AK73" s="336">
        <v>2</v>
      </c>
      <c r="AL73" s="336">
        <f>AJ73*AK73</f>
        <v>0</v>
      </c>
      <c r="AM73" s="302">
        <f t="shared" si="15"/>
        <v>0</v>
      </c>
      <c r="AN73" s="337">
        <v>20</v>
      </c>
      <c r="AO73" s="338">
        <f>AJ73*AN73</f>
        <v>0</v>
      </c>
      <c r="AP73" s="289"/>
    </row>
    <row r="74" spans="1:1025" ht="24" hidden="1" thickBot="1">
      <c r="A74" s="2026" t="s">
        <v>407</v>
      </c>
      <c r="B74" s="2026"/>
      <c r="C74" s="2026"/>
      <c r="D74" s="2102" t="s">
        <v>408</v>
      </c>
      <c r="E74" s="2102"/>
      <c r="F74" s="2028" t="s">
        <v>409</v>
      </c>
      <c r="G74" s="2028"/>
      <c r="H74" s="476"/>
      <c r="I74" s="477"/>
      <c r="J74" s="477"/>
      <c r="K74" s="478"/>
      <c r="L74" s="479"/>
      <c r="M74" s="479"/>
      <c r="N74" s="272"/>
      <c r="O74" s="272"/>
      <c r="P74" s="272"/>
      <c r="AD74" s="445"/>
      <c r="AE74" s="446"/>
      <c r="AF74" s="337"/>
      <c r="AG74" s="336"/>
      <c r="AH74" s="336"/>
      <c r="AI74" s="336"/>
      <c r="AJ74" s="336"/>
      <c r="AK74" s="336"/>
      <c r="AL74" s="336"/>
      <c r="AM74" s="302">
        <f t="shared" si="15"/>
        <v>0</v>
      </c>
      <c r="AN74" s="337"/>
      <c r="AO74" s="338"/>
      <c r="AP74" s="289"/>
    </row>
    <row r="75" spans="1:1025" ht="24" hidden="1" thickBot="1">
      <c r="A75" s="2026"/>
      <c r="B75" s="2026"/>
      <c r="C75" s="2026"/>
      <c r="D75" s="2103" t="e">
        <f>'plan &amp; Unit price &amp; Direct cost'!K97</f>
        <v>#REF!</v>
      </c>
      <c r="E75" s="2103"/>
      <c r="F75" s="2104" t="e">
        <f>'plan &amp; Unit price &amp; Direct cost'!L97</f>
        <v>#REF!</v>
      </c>
      <c r="G75" s="2104"/>
      <c r="H75" s="480"/>
      <c r="I75" s="481"/>
      <c r="J75" s="477"/>
      <c r="K75" s="478"/>
      <c r="L75" s="479"/>
      <c r="M75" s="479"/>
      <c r="N75" s="272"/>
      <c r="O75" s="272"/>
      <c r="P75" s="272"/>
      <c r="AD75" s="445"/>
      <c r="AE75" s="446"/>
      <c r="AF75" s="337" t="s">
        <v>343</v>
      </c>
      <c r="AG75" s="336"/>
      <c r="AH75" s="336">
        <v>8</v>
      </c>
      <c r="AI75" s="336">
        <v>6</v>
      </c>
      <c r="AJ75" s="336">
        <f>AG75*AH75*AI75</f>
        <v>0</v>
      </c>
      <c r="AK75" s="336">
        <v>4</v>
      </c>
      <c r="AL75" s="336">
        <f>AJ75*AK75</f>
        <v>0</v>
      </c>
      <c r="AM75" s="302">
        <f t="shared" si="15"/>
        <v>0</v>
      </c>
      <c r="AN75" s="337">
        <f>20000/30/10</f>
        <v>66.666666666666657</v>
      </c>
      <c r="AO75" s="338">
        <f>AJ75*AN75</f>
        <v>0</v>
      </c>
      <c r="AP75" s="289"/>
    </row>
    <row r="76" spans="1:1025" ht="24" hidden="1" thickTop="1">
      <c r="A76" s="482"/>
      <c r="B76" s="482"/>
      <c r="C76" s="483"/>
      <c r="D76" s="484"/>
      <c r="E76" s="484"/>
      <c r="F76" s="485"/>
      <c r="G76" s="485"/>
      <c r="H76" s="485"/>
      <c r="I76" s="481"/>
      <c r="J76" s="477"/>
      <c r="K76" s="478"/>
      <c r="L76" s="479"/>
      <c r="M76" s="479"/>
      <c r="N76" s="272"/>
      <c r="O76" s="272"/>
      <c r="P76" s="272"/>
      <c r="AD76" s="445"/>
      <c r="AE76" s="446"/>
      <c r="AF76" s="337"/>
      <c r="AG76" s="336"/>
      <c r="AH76" s="336"/>
      <c r="AI76" s="336"/>
      <c r="AJ76" s="336"/>
      <c r="AK76" s="336"/>
      <c r="AL76" s="336"/>
      <c r="AM76" s="302"/>
      <c r="AN76" s="337"/>
      <c r="AO76" s="338"/>
      <c r="AP76" s="289"/>
    </row>
    <row r="77" spans="1:1025" ht="23.25" hidden="1">
      <c r="A77" s="486"/>
      <c r="B77" s="486"/>
      <c r="C77" s="487"/>
      <c r="D77" s="487"/>
      <c r="E77" s="486"/>
      <c r="F77" s="486"/>
      <c r="G77" s="487"/>
      <c r="H77" s="487"/>
      <c r="I77" s="481"/>
      <c r="J77" s="477"/>
      <c r="K77" s="488"/>
      <c r="L77" s="366"/>
      <c r="M77" s="366"/>
      <c r="N77" s="272"/>
      <c r="O77" s="272"/>
      <c r="P77" s="272"/>
      <c r="AE77" s="330"/>
      <c r="AF77" s="389"/>
      <c r="AG77" s="387"/>
      <c r="AH77" s="387"/>
      <c r="AI77" s="387"/>
      <c r="AJ77" s="387"/>
      <c r="AK77" s="387"/>
      <c r="AL77" s="387"/>
      <c r="AM77" s="302">
        <f>AL77*9.55</f>
        <v>0</v>
      </c>
      <c r="AN77" s="389"/>
      <c r="AO77" s="388"/>
      <c r="AP77" s="289"/>
    </row>
    <row r="78" spans="1:1025" s="492" customFormat="1" ht="51" hidden="1">
      <c r="A78" s="2046" t="s">
        <v>410</v>
      </c>
      <c r="B78" s="2046"/>
      <c r="C78" s="2046"/>
      <c r="D78" s="2100" t="s">
        <v>411</v>
      </c>
      <c r="E78" s="2100"/>
      <c r="F78" s="2100"/>
      <c r="G78" s="2045" t="s">
        <v>412</v>
      </c>
      <c r="H78" s="2045"/>
      <c r="I78" s="489"/>
      <c r="J78" s="2045"/>
      <c r="K78" s="2045"/>
      <c r="L78" s="490"/>
      <c r="M78" s="490"/>
      <c r="N78" s="491"/>
      <c r="O78" s="491"/>
      <c r="P78" s="491"/>
      <c r="V78" s="493"/>
      <c r="W78" s="493"/>
      <c r="X78" s="493"/>
      <c r="AB78" s="494"/>
      <c r="AC78" s="495"/>
      <c r="AD78" s="496"/>
      <c r="AE78" s="497"/>
      <c r="AF78" s="498" t="s">
        <v>413</v>
      </c>
      <c r="AG78" s="499"/>
      <c r="AH78" s="499">
        <v>8</v>
      </c>
      <c r="AI78" s="499">
        <v>6</v>
      </c>
      <c r="AJ78" s="499">
        <f>AG78*AH78*AI78</f>
        <v>0</v>
      </c>
      <c r="AK78" s="499">
        <v>6</v>
      </c>
      <c r="AL78" s="499">
        <f>AJ78*AK78</f>
        <v>0</v>
      </c>
      <c r="AM78" s="302">
        <f>AL78*9.55</f>
        <v>0</v>
      </c>
      <c r="AN78" s="498">
        <f>20000/30/10</f>
        <v>66.666666666666657</v>
      </c>
      <c r="AO78" s="500">
        <f>AJ78*AN78</f>
        <v>0</v>
      </c>
      <c r="AP78" s="501"/>
      <c r="AQ78" s="494"/>
      <c r="AR78" s="494"/>
      <c r="AS78" s="494"/>
      <c r="AT78" s="494"/>
    </row>
    <row r="79" spans="1:1025" ht="23.25" hidden="1">
      <c r="A79" s="502"/>
      <c r="B79" s="502"/>
      <c r="C79" s="484"/>
      <c r="D79" s="484"/>
      <c r="E79" s="502"/>
      <c r="F79" s="263"/>
      <c r="G79" s="503"/>
      <c r="H79" s="503"/>
      <c r="I79" s="503"/>
      <c r="J79" s="503"/>
      <c r="K79" s="503"/>
      <c r="L79" s="366"/>
      <c r="M79" s="366"/>
      <c r="N79" s="272"/>
      <c r="O79" s="272"/>
      <c r="P79" s="272"/>
      <c r="AE79" s="330"/>
      <c r="AF79" s="504" t="s">
        <v>406</v>
      </c>
      <c r="AG79" s="505"/>
      <c r="AH79" s="505"/>
      <c r="AI79" s="505"/>
      <c r="AJ79" s="505"/>
      <c r="AK79" s="505"/>
      <c r="AL79" s="505"/>
      <c r="AM79" s="506">
        <f>SUM(AM50:AM78)</f>
        <v>93055.200000000012</v>
      </c>
      <c r="AN79" s="507"/>
      <c r="AO79" s="2037">
        <f>0.75*SUM(AO49:AO78)</f>
        <v>120420</v>
      </c>
      <c r="AP79" s="2038">
        <f>AO79*0.01</f>
        <v>1204.2</v>
      </c>
    </row>
    <row r="80" spans="1:1025" s="272" customFormat="1" ht="12.75" hidden="1" customHeight="1" thickBot="1">
      <c r="A80" s="2039"/>
      <c r="B80" s="2039"/>
      <c r="C80" s="509">
        <f>1340744.48-1068792.28</f>
        <v>271952.19999999995</v>
      </c>
      <c r="D80" s="510"/>
      <c r="E80" s="511"/>
      <c r="F80" s="479">
        <v>852260.40166666696</v>
      </c>
      <c r="G80" s="512">
        <v>-903210.33641666698</v>
      </c>
      <c r="H80" s="512">
        <f>F80+D73</f>
        <v>2214045.7736666668</v>
      </c>
      <c r="I80" s="513"/>
      <c r="J80" s="478"/>
      <c r="K80" s="514"/>
      <c r="L80" s="515"/>
      <c r="M80" s="515"/>
      <c r="N80" s="516"/>
      <c r="V80" s="517"/>
      <c r="W80" s="517"/>
      <c r="X80" s="517"/>
      <c r="AB80" s="518"/>
      <c r="AC80" s="519"/>
      <c r="AD80" s="445"/>
      <c r="AE80" s="445"/>
      <c r="AF80" s="520"/>
      <c r="AG80" s="521"/>
      <c r="AH80" s="521"/>
      <c r="AI80" s="521"/>
      <c r="AJ80" s="521"/>
      <c r="AK80" s="521"/>
      <c r="AL80" s="521"/>
      <c r="AM80" s="522"/>
      <c r="AN80" s="523"/>
      <c r="AO80" s="2037"/>
      <c r="AP80" s="2038"/>
      <c r="AQ80" s="518"/>
      <c r="AR80" s="518"/>
      <c r="AS80" s="518"/>
      <c r="AT80" s="518"/>
    </row>
    <row r="81" spans="1:46" s="272" customFormat="1" ht="16.5" hidden="1" thickTop="1">
      <c r="A81" s="2040"/>
      <c r="B81" s="2040"/>
      <c r="C81" s="510"/>
      <c r="D81" s="510"/>
      <c r="E81" s="511"/>
      <c r="F81" s="511"/>
      <c r="G81" s="524"/>
      <c r="H81" s="524">
        <v>2094327.2378038701</v>
      </c>
      <c r="I81" s="513"/>
      <c r="J81" s="478"/>
      <c r="K81" s="514"/>
      <c r="V81" s="517"/>
      <c r="W81" s="517"/>
      <c r="X81" s="517"/>
      <c r="AB81" s="518"/>
      <c r="AC81" s="519"/>
      <c r="AD81" s="445"/>
      <c r="AE81" s="445"/>
      <c r="AF81" s="445"/>
      <c r="AG81" s="445"/>
      <c r="AH81" s="445"/>
      <c r="AI81" s="445"/>
      <c r="AJ81" s="445"/>
      <c r="AK81" s="445"/>
      <c r="AL81" s="445"/>
      <c r="AM81" s="518"/>
      <c r="AN81" s="518"/>
      <c r="AO81" s="518"/>
      <c r="AP81" s="518"/>
      <c r="AQ81" s="518"/>
      <c r="AR81" s="518"/>
      <c r="AS81" s="518"/>
      <c r="AT81" s="518"/>
    </row>
    <row r="82" spans="1:46" s="272" customFormat="1" ht="46.5" hidden="1">
      <c r="B82" s="525"/>
      <c r="C82" s="526" t="s">
        <v>414</v>
      </c>
      <c r="D82" s="527">
        <f>G73-C73</f>
        <v>689851.30555005884</v>
      </c>
      <c r="E82" s="528" t="s">
        <v>415</v>
      </c>
      <c r="F82" s="529">
        <f>H73-D73+'summery(new)2'!D20:F20</f>
        <v>307335.34052764229</v>
      </c>
      <c r="G82" s="481"/>
      <c r="H82" s="530"/>
      <c r="I82" s="508"/>
      <c r="J82" s="478">
        <f>5200*4</f>
        <v>20800</v>
      </c>
      <c r="K82" s="514"/>
      <c r="V82" s="517"/>
      <c r="W82" s="517"/>
      <c r="X82" s="517"/>
      <c r="AB82" s="518"/>
      <c r="AC82" s="519"/>
      <c r="AD82" s="445"/>
      <c r="AE82" s="445"/>
      <c r="AF82" s="445"/>
      <c r="AG82" s="445"/>
      <c r="AH82" s="445"/>
      <c r="AI82" s="445"/>
      <c r="AJ82" s="445"/>
      <c r="AK82" s="445"/>
      <c r="AL82" s="445"/>
      <c r="AM82" s="518"/>
      <c r="AN82" s="518"/>
      <c r="AO82" s="518"/>
      <c r="AP82" s="518"/>
      <c r="AQ82" s="518"/>
      <c r="AR82" s="518"/>
      <c r="AS82" s="518"/>
      <c r="AT82" s="518"/>
    </row>
    <row r="83" spans="1:46" s="272" customFormat="1" ht="16.5" hidden="1">
      <c r="B83" s="2041"/>
      <c r="C83" s="2041"/>
      <c r="D83" s="2041"/>
      <c r="E83" s="2041"/>
      <c r="F83" s="531"/>
      <c r="G83" s="532"/>
      <c r="H83" s="532"/>
      <c r="V83" s="517"/>
      <c r="W83" s="517"/>
      <c r="X83" s="517"/>
      <c r="AB83" s="518"/>
      <c r="AC83" s="519"/>
      <c r="AD83" s="445"/>
      <c r="AE83" s="445"/>
      <c r="AF83" s="445"/>
      <c r="AG83" s="445"/>
      <c r="AH83" s="445"/>
      <c r="AI83" s="445"/>
      <c r="AJ83" s="445"/>
      <c r="AK83" s="445"/>
      <c r="AL83" s="445"/>
      <c r="AM83" s="518"/>
      <c r="AN83" s="518"/>
      <c r="AO83" s="518"/>
      <c r="AP83" s="518"/>
      <c r="AQ83" s="518"/>
      <c r="AR83" s="518"/>
      <c r="AS83" s="518"/>
      <c r="AT83" s="518"/>
    </row>
    <row r="84" spans="1:46" s="272" customFormat="1" ht="18.75" hidden="1">
      <c r="B84" s="2032"/>
      <c r="C84" s="2032"/>
      <c r="D84" s="2032"/>
      <c r="E84" s="2032"/>
      <c r="F84" s="2032"/>
      <c r="G84" s="2032"/>
      <c r="H84" s="2032"/>
      <c r="I84" s="533"/>
      <c r="O84" s="259"/>
      <c r="V84" s="517"/>
      <c r="W84" s="517"/>
      <c r="X84" s="517"/>
      <c r="AB84" s="518"/>
      <c r="AC84" s="519"/>
      <c r="AD84" s="445"/>
      <c r="AE84" s="445"/>
      <c r="AF84" s="445"/>
      <c r="AG84" s="445"/>
      <c r="AH84" s="445"/>
      <c r="AI84" s="445"/>
      <c r="AJ84" s="445"/>
      <c r="AK84" s="445"/>
      <c r="AL84" s="445"/>
      <c r="AM84" s="518"/>
      <c r="AN84" s="518"/>
      <c r="AO84" s="518"/>
      <c r="AP84" s="518"/>
      <c r="AQ84" s="518"/>
      <c r="AR84" s="518"/>
      <c r="AS84" s="518"/>
      <c r="AT84" s="518"/>
    </row>
    <row r="85" spans="1:46" s="272" customFormat="1" ht="18.75" hidden="1">
      <c r="B85" s="2031"/>
      <c r="C85" s="2031"/>
      <c r="D85" s="2031"/>
      <c r="E85" s="2031"/>
      <c r="F85" s="2031"/>
      <c r="G85" s="2031"/>
      <c r="H85" s="2031"/>
      <c r="I85" s="534"/>
      <c r="J85" s="532"/>
      <c r="N85" s="535"/>
      <c r="V85" s="517"/>
      <c r="W85" s="517"/>
      <c r="X85" s="517"/>
      <c r="AB85" s="518"/>
      <c r="AC85" s="519"/>
      <c r="AD85" s="445"/>
      <c r="AE85" s="445"/>
      <c r="AF85" s="445"/>
      <c r="AG85" s="445"/>
      <c r="AH85" s="445"/>
      <c r="AI85" s="445"/>
      <c r="AJ85" s="445"/>
      <c r="AK85" s="445"/>
      <c r="AL85" s="445"/>
      <c r="AM85" s="518"/>
      <c r="AN85" s="518"/>
      <c r="AO85" s="518"/>
      <c r="AP85" s="518"/>
      <c r="AQ85" s="518"/>
      <c r="AR85" s="518"/>
      <c r="AS85" s="518"/>
      <c r="AT85" s="518"/>
    </row>
    <row r="86" spans="1:46" s="272" customFormat="1" ht="18.75" hidden="1">
      <c r="B86" s="2036"/>
      <c r="C86" s="2036"/>
      <c r="D86" s="2036"/>
      <c r="E86" s="2036"/>
      <c r="F86" s="2036"/>
      <c r="G86" s="2036"/>
      <c r="H86" s="2036"/>
      <c r="I86" s="533"/>
      <c r="J86" s="532"/>
      <c r="K86" s="474"/>
      <c r="L86" s="474"/>
      <c r="N86" s="535"/>
      <c r="V86" s="517"/>
      <c r="W86" s="517"/>
      <c r="X86" s="517"/>
      <c r="AB86" s="518"/>
      <c r="AC86" s="519"/>
      <c r="AD86" s="445"/>
      <c r="AE86" s="445"/>
      <c r="AF86" s="445"/>
      <c r="AG86" s="445"/>
      <c r="AH86" s="445"/>
      <c r="AI86" s="445"/>
      <c r="AJ86" s="445"/>
      <c r="AK86" s="445"/>
      <c r="AL86" s="445"/>
      <c r="AM86" s="518"/>
      <c r="AN86" s="518"/>
      <c r="AO86" s="518"/>
      <c r="AP86" s="518"/>
      <c r="AQ86" s="518"/>
      <c r="AR86" s="518"/>
      <c r="AS86" s="518"/>
      <c r="AT86" s="518"/>
    </row>
    <row r="87" spans="1:46" s="272" customFormat="1" ht="18.75" hidden="1">
      <c r="B87" s="2032"/>
      <c r="C87" s="2032"/>
      <c r="D87" s="2032"/>
      <c r="E87" s="2032"/>
      <c r="F87" s="2032"/>
      <c r="G87" s="2032"/>
      <c r="H87" s="2032"/>
      <c r="I87" s="533"/>
      <c r="J87" s="532"/>
      <c r="N87" s="535"/>
      <c r="V87" s="517"/>
      <c r="W87" s="517"/>
      <c r="X87" s="517"/>
      <c r="AB87" s="518"/>
      <c r="AC87" s="519"/>
      <c r="AD87" s="445"/>
      <c r="AE87" s="445"/>
      <c r="AF87" s="445"/>
      <c r="AG87" s="445"/>
      <c r="AH87" s="445"/>
      <c r="AI87" s="445"/>
      <c r="AJ87" s="445"/>
      <c r="AK87" s="445"/>
      <c r="AL87" s="445"/>
      <c r="AM87" s="518"/>
      <c r="AN87" s="518"/>
      <c r="AO87" s="518"/>
      <c r="AP87" s="518"/>
      <c r="AQ87" s="518"/>
      <c r="AR87" s="518"/>
      <c r="AS87" s="518"/>
      <c r="AT87" s="518"/>
    </row>
    <row r="88" spans="1:46" s="272" customFormat="1" ht="18.75" hidden="1">
      <c r="B88" s="2031"/>
      <c r="C88" s="2031"/>
      <c r="D88" s="2031"/>
      <c r="E88" s="2031"/>
      <c r="F88" s="2031"/>
      <c r="G88" s="2031"/>
      <c r="H88" s="2031"/>
      <c r="I88" s="534"/>
      <c r="J88" s="259"/>
      <c r="K88" s="259"/>
      <c r="L88" s="516"/>
      <c r="V88" s="517"/>
      <c r="W88" s="517"/>
      <c r="X88" s="517"/>
      <c r="AB88" s="518"/>
      <c r="AC88" s="519"/>
      <c r="AD88" s="445"/>
      <c r="AE88" s="445"/>
      <c r="AF88" s="445"/>
      <c r="AG88" s="445"/>
      <c r="AH88" s="445"/>
      <c r="AI88" s="445"/>
      <c r="AJ88" s="445"/>
      <c r="AK88" s="445"/>
      <c r="AL88" s="445"/>
      <c r="AM88" s="518"/>
      <c r="AN88" s="518"/>
      <c r="AO88" s="518"/>
      <c r="AP88" s="518"/>
      <c r="AQ88" s="518"/>
      <c r="AR88" s="518"/>
      <c r="AS88" s="518"/>
      <c r="AT88" s="518"/>
    </row>
    <row r="89" spans="1:46" s="272" customFormat="1" ht="18.75" hidden="1">
      <c r="B89" s="2033"/>
      <c r="C89" s="2033"/>
      <c r="D89" s="2033"/>
      <c r="E89" s="2033"/>
      <c r="F89" s="536">
        <v>890941.81734252698</v>
      </c>
      <c r="G89" s="537"/>
      <c r="H89" s="537"/>
      <c r="I89" s="537"/>
      <c r="J89" s="537"/>
      <c r="K89" s="537"/>
      <c r="L89" s="516"/>
      <c r="V89" s="517"/>
      <c r="W89" s="517"/>
      <c r="X89" s="517"/>
      <c r="AB89" s="518"/>
      <c r="AC89" s="519"/>
      <c r="AD89" s="445"/>
      <c r="AE89" s="445"/>
      <c r="AF89" s="445"/>
      <c r="AG89" s="445"/>
      <c r="AH89" s="445"/>
      <c r="AI89" s="445"/>
      <c r="AJ89" s="445"/>
      <c r="AK89" s="445"/>
      <c r="AL89" s="445"/>
      <c r="AM89" s="518"/>
      <c r="AN89" s="518"/>
      <c r="AO89" s="518"/>
      <c r="AP89" s="518"/>
      <c r="AQ89" s="518"/>
      <c r="AR89" s="518"/>
      <c r="AS89" s="518"/>
      <c r="AT89" s="518"/>
    </row>
    <row r="90" spans="1:46" s="272" customFormat="1" ht="18.75" hidden="1">
      <c r="B90" s="2034"/>
      <c r="C90" s="2034"/>
      <c r="D90" s="2034"/>
      <c r="E90" s="2034"/>
      <c r="F90" s="538"/>
      <c r="G90" s="532"/>
      <c r="H90" s="537"/>
      <c r="I90" s="537"/>
      <c r="J90" s="537"/>
      <c r="K90" s="537"/>
      <c r="V90" s="517"/>
      <c r="W90" s="517"/>
      <c r="X90" s="517"/>
      <c r="AB90" s="518"/>
      <c r="AC90" s="519"/>
      <c r="AD90" s="445"/>
      <c r="AE90" s="445"/>
      <c r="AF90" s="445"/>
      <c r="AG90" s="445"/>
      <c r="AH90" s="445"/>
      <c r="AI90" s="445"/>
      <c r="AJ90" s="445"/>
      <c r="AK90" s="445"/>
      <c r="AL90" s="445"/>
      <c r="AM90" s="518"/>
      <c r="AN90" s="518"/>
      <c r="AO90" s="518"/>
      <c r="AP90" s="518"/>
      <c r="AQ90" s="518"/>
      <c r="AR90" s="518"/>
      <c r="AS90" s="518"/>
      <c r="AT90" s="518"/>
    </row>
    <row r="91" spans="1:46" s="272" customFormat="1" ht="18.75" hidden="1">
      <c r="B91" s="2035"/>
      <c r="C91" s="2035"/>
      <c r="D91" s="2035"/>
      <c r="E91" s="2035"/>
      <c r="F91" s="539"/>
      <c r="G91" s="537"/>
      <c r="H91" s="537"/>
      <c r="I91" s="537"/>
      <c r="J91" s="537"/>
      <c r="K91" s="537"/>
      <c r="V91" s="517"/>
      <c r="W91" s="517"/>
      <c r="X91" s="517"/>
      <c r="AB91" s="518"/>
      <c r="AC91" s="519"/>
      <c r="AD91" s="445"/>
      <c r="AE91" s="445"/>
      <c r="AF91" s="445"/>
      <c r="AG91" s="445"/>
      <c r="AH91" s="445"/>
      <c r="AI91" s="445"/>
      <c r="AJ91" s="445"/>
      <c r="AK91" s="445"/>
      <c r="AL91" s="445"/>
      <c r="AM91" s="518"/>
      <c r="AN91" s="518"/>
      <c r="AO91" s="518"/>
      <c r="AP91" s="518"/>
      <c r="AQ91" s="518"/>
      <c r="AR91" s="518"/>
      <c r="AS91" s="518"/>
      <c r="AT91" s="518"/>
    </row>
    <row r="92" spans="1:46" s="272" customFormat="1" hidden="1">
      <c r="C92" s="540"/>
      <c r="D92" s="540">
        <f>H80-(165750+161600)</f>
        <v>1886695.7736666668</v>
      </c>
      <c r="V92" s="517"/>
      <c r="W92" s="517"/>
      <c r="X92" s="517"/>
      <c r="AB92" s="518"/>
      <c r="AC92" s="519"/>
      <c r="AD92" s="445"/>
      <c r="AE92" s="445"/>
      <c r="AF92" s="445"/>
      <c r="AG92" s="445"/>
      <c r="AH92" s="445"/>
      <c r="AI92" s="445"/>
      <c r="AJ92" s="445"/>
      <c r="AK92" s="445"/>
      <c r="AL92" s="445"/>
      <c r="AM92" s="518"/>
      <c r="AN92" s="518"/>
      <c r="AO92" s="518"/>
      <c r="AP92" s="518"/>
      <c r="AQ92" s="518"/>
      <c r="AR92" s="518"/>
      <c r="AS92" s="518"/>
      <c r="AT92" s="518"/>
    </row>
    <row r="93" spans="1:46" s="272" customFormat="1" ht="27.75" hidden="1">
      <c r="B93" s="541"/>
      <c r="C93" s="542"/>
      <c r="D93" s="542"/>
      <c r="E93" s="258"/>
      <c r="F93" s="258"/>
      <c r="G93" s="516">
        <f>5904+306</f>
        <v>6210</v>
      </c>
      <c r="H93" s="516"/>
      <c r="V93" s="517"/>
      <c r="W93" s="517"/>
      <c r="X93" s="517"/>
      <c r="AB93" s="518"/>
      <c r="AC93" s="519"/>
      <c r="AD93" s="445"/>
      <c r="AE93" s="445"/>
      <c r="AF93" s="445"/>
      <c r="AG93" s="445"/>
      <c r="AH93" s="445"/>
      <c r="AI93" s="445"/>
      <c r="AJ93" s="445"/>
      <c r="AK93" s="445"/>
      <c r="AL93" s="445"/>
      <c r="AM93" s="518"/>
      <c r="AN93" s="518"/>
      <c r="AO93" s="518"/>
      <c r="AP93" s="518"/>
      <c r="AQ93" s="518"/>
      <c r="AR93" s="518"/>
      <c r="AS93" s="518"/>
      <c r="AT93" s="518"/>
    </row>
    <row r="94" spans="1:46" s="272" customFormat="1" ht="18.75" hidden="1">
      <c r="A94" s="2022"/>
      <c r="C94" s="540"/>
      <c r="D94" s="540"/>
      <c r="E94" s="2023"/>
      <c r="F94" s="2023"/>
      <c r="G94" s="2023"/>
      <c r="H94" s="258"/>
      <c r="I94" s="352"/>
      <c r="J94" s="516"/>
      <c r="V94" s="517"/>
      <c r="W94" s="517"/>
      <c r="X94" s="517"/>
      <c r="AB94" s="518"/>
      <c r="AC94" s="519"/>
      <c r="AD94" s="445"/>
      <c r="AE94" s="445"/>
      <c r="AF94" s="445"/>
      <c r="AG94" s="445"/>
      <c r="AH94" s="445"/>
      <c r="AI94" s="445"/>
      <c r="AJ94" s="445"/>
      <c r="AK94" s="445"/>
      <c r="AL94" s="445"/>
      <c r="AM94" s="518"/>
      <c r="AN94" s="518"/>
      <c r="AO94" s="518"/>
      <c r="AP94" s="518"/>
      <c r="AQ94" s="518"/>
      <c r="AR94" s="518"/>
      <c r="AS94" s="518"/>
      <c r="AT94" s="518"/>
    </row>
    <row r="95" spans="1:46" s="272" customFormat="1" ht="18.75" hidden="1">
      <c r="A95" s="2022"/>
      <c r="B95" s="258"/>
      <c r="C95" s="2101"/>
      <c r="D95" s="2101"/>
      <c r="E95" s="2101"/>
      <c r="F95" s="258"/>
      <c r="G95" s="539"/>
      <c r="H95" s="539"/>
      <c r="I95" s="543"/>
      <c r="J95" s="539"/>
      <c r="K95" s="544"/>
      <c r="L95" s="544"/>
      <c r="M95" s="545"/>
      <c r="V95" s="517"/>
      <c r="W95" s="517"/>
      <c r="X95" s="517"/>
      <c r="AB95" s="518"/>
      <c r="AC95" s="519"/>
      <c r="AD95" s="445"/>
      <c r="AE95" s="445"/>
      <c r="AF95" s="445"/>
      <c r="AG95" s="445"/>
      <c r="AH95" s="445"/>
      <c r="AI95" s="445"/>
      <c r="AJ95" s="445"/>
      <c r="AK95" s="445"/>
      <c r="AL95" s="445"/>
      <c r="AM95" s="518"/>
      <c r="AN95" s="518"/>
      <c r="AO95" s="518"/>
      <c r="AP95" s="518"/>
      <c r="AQ95" s="518"/>
      <c r="AR95" s="518"/>
      <c r="AS95" s="518"/>
      <c r="AT95" s="518"/>
    </row>
    <row r="96" spans="1:46" s="272" customFormat="1" ht="18.75" hidden="1">
      <c r="A96" s="546"/>
      <c r="B96" s="540"/>
      <c r="C96" s="540"/>
      <c r="D96" s="540"/>
      <c r="E96" s="540"/>
      <c r="F96" s="540"/>
      <c r="G96" s="540"/>
      <c r="H96" s="540"/>
      <c r="I96" s="396"/>
      <c r="J96" s="547"/>
      <c r="V96" s="517"/>
      <c r="W96" s="517"/>
      <c r="X96" s="517"/>
      <c r="AB96" s="518"/>
      <c r="AC96" s="519"/>
      <c r="AD96" s="445"/>
      <c r="AE96" s="445"/>
      <c r="AF96" s="445"/>
      <c r="AG96" s="445"/>
      <c r="AH96" s="445"/>
      <c r="AI96" s="445"/>
      <c r="AJ96" s="445"/>
      <c r="AK96" s="445"/>
      <c r="AL96" s="445"/>
      <c r="AM96" s="518"/>
      <c r="AN96" s="518"/>
      <c r="AO96" s="518"/>
      <c r="AP96" s="518"/>
      <c r="AQ96" s="518"/>
      <c r="AR96" s="518"/>
      <c r="AS96" s="518"/>
      <c r="AT96" s="518"/>
    </row>
    <row r="97" spans="1:46" s="272" customFormat="1" ht="18.75" hidden="1">
      <c r="A97" s="546"/>
      <c r="B97" s="540"/>
      <c r="C97" s="548" t="s">
        <v>416</v>
      </c>
      <c r="D97" s="540"/>
      <c r="E97" s="540"/>
      <c r="F97" s="540"/>
      <c r="G97" s="540"/>
      <c r="H97" s="540"/>
      <c r="I97" s="396"/>
      <c r="J97" s="547"/>
      <c r="V97" s="517"/>
      <c r="W97" s="517"/>
      <c r="X97" s="517"/>
      <c r="AB97" s="518"/>
      <c r="AC97" s="519"/>
      <c r="AD97" s="445"/>
      <c r="AE97" s="445"/>
      <c r="AF97" s="445"/>
      <c r="AG97" s="445"/>
      <c r="AH97" s="445"/>
      <c r="AI97" s="445"/>
      <c r="AJ97" s="445"/>
      <c r="AK97" s="445"/>
      <c r="AL97" s="445"/>
      <c r="AM97" s="518"/>
      <c r="AN97" s="518"/>
      <c r="AO97" s="518"/>
      <c r="AP97" s="518"/>
      <c r="AQ97" s="518"/>
      <c r="AR97" s="518"/>
      <c r="AS97" s="518"/>
      <c r="AT97" s="518"/>
    </row>
    <row r="98" spans="1:46" s="272" customFormat="1" ht="27.75" hidden="1">
      <c r="A98" s="546"/>
      <c r="B98" s="549"/>
      <c r="C98" s="549"/>
      <c r="D98" s="549"/>
      <c r="E98" s="549"/>
      <c r="F98" s="549">
        <f>52200/4</f>
        <v>13050</v>
      </c>
      <c r="G98" s="540"/>
      <c r="H98" s="540"/>
      <c r="I98" s="396"/>
      <c r="J98" s="547"/>
      <c r="V98" s="517"/>
      <c r="W98" s="517"/>
      <c r="X98" s="517"/>
      <c r="AB98" s="518"/>
      <c r="AC98" s="519"/>
      <c r="AD98" s="445"/>
      <c r="AE98" s="445"/>
      <c r="AF98" s="445"/>
      <c r="AG98" s="445"/>
      <c r="AH98" s="445"/>
      <c r="AI98" s="445"/>
      <c r="AJ98" s="445"/>
      <c r="AK98" s="445"/>
      <c r="AL98" s="445"/>
      <c r="AM98" s="518"/>
      <c r="AN98" s="518"/>
      <c r="AO98" s="518"/>
      <c r="AP98" s="518"/>
      <c r="AQ98" s="518"/>
      <c r="AR98" s="518"/>
      <c r="AS98" s="518"/>
      <c r="AT98" s="518"/>
    </row>
    <row r="99" spans="1:46" s="272" customFormat="1" ht="27.75" hidden="1">
      <c r="A99" s="546"/>
      <c r="B99" s="549"/>
      <c r="C99" s="549"/>
      <c r="D99" s="549"/>
      <c r="E99" s="549"/>
      <c r="F99" s="549"/>
      <c r="G99" s="540"/>
      <c r="H99" s="540"/>
      <c r="I99" s="396"/>
      <c r="J99" s="547"/>
      <c r="V99" s="517"/>
      <c r="W99" s="517"/>
      <c r="X99" s="517"/>
      <c r="AB99" s="518"/>
      <c r="AC99" s="519"/>
      <c r="AD99" s="445"/>
      <c r="AE99" s="445"/>
      <c r="AF99" s="445"/>
      <c r="AG99" s="445"/>
      <c r="AH99" s="445"/>
      <c r="AI99" s="445"/>
      <c r="AJ99" s="445"/>
      <c r="AK99" s="445"/>
      <c r="AL99" s="445"/>
      <c r="AM99" s="518"/>
      <c r="AN99" s="518"/>
      <c r="AO99" s="518"/>
      <c r="AP99" s="518"/>
      <c r="AQ99" s="518"/>
      <c r="AR99" s="518"/>
      <c r="AS99" s="518"/>
      <c r="AT99" s="518"/>
    </row>
    <row r="100" spans="1:46" s="272" customFormat="1" ht="27.75" hidden="1">
      <c r="A100" s="546"/>
      <c r="B100" s="549"/>
      <c r="C100" s="549"/>
      <c r="D100" s="549"/>
      <c r="E100" s="549"/>
      <c r="F100" s="549"/>
      <c r="G100" s="549"/>
      <c r="H100" s="549"/>
      <c r="I100" s="396"/>
      <c r="J100" s="547"/>
      <c r="V100" s="517"/>
      <c r="W100" s="517"/>
      <c r="X100" s="517"/>
      <c r="AB100" s="518"/>
      <c r="AC100" s="519"/>
      <c r="AD100" s="445"/>
      <c r="AE100" s="445"/>
      <c r="AF100" s="445"/>
      <c r="AG100" s="445"/>
      <c r="AH100" s="445"/>
      <c r="AI100" s="445"/>
      <c r="AJ100" s="445"/>
      <c r="AK100" s="445"/>
      <c r="AL100" s="445"/>
      <c r="AM100" s="518"/>
      <c r="AN100" s="518"/>
      <c r="AO100" s="518"/>
      <c r="AP100" s="518"/>
      <c r="AQ100" s="518"/>
      <c r="AR100" s="518"/>
      <c r="AS100" s="518"/>
      <c r="AT100" s="518"/>
    </row>
    <row r="101" spans="1:46" s="272" customFormat="1" ht="27.75">
      <c r="A101" s="546"/>
      <c r="B101" s="549"/>
      <c r="C101" s="549"/>
      <c r="D101" s="549"/>
      <c r="E101" s="540"/>
      <c r="F101" s="542"/>
      <c r="G101" s="540"/>
      <c r="H101" s="540"/>
      <c r="I101" s="396"/>
      <c r="J101" s="547"/>
      <c r="V101" s="517"/>
      <c r="W101" s="517"/>
      <c r="X101" s="517"/>
      <c r="AB101" s="518"/>
      <c r="AC101" s="519"/>
      <c r="AD101" s="445"/>
      <c r="AE101" s="445"/>
      <c r="AF101" s="445"/>
      <c r="AG101" s="445"/>
      <c r="AH101" s="445"/>
      <c r="AI101" s="445"/>
      <c r="AJ101" s="445"/>
      <c r="AK101" s="445"/>
      <c r="AL101" s="445"/>
      <c r="AM101" s="518"/>
      <c r="AN101" s="518"/>
      <c r="AO101" s="518"/>
      <c r="AP101" s="518"/>
      <c r="AQ101" s="518"/>
      <c r="AR101" s="518"/>
      <c r="AS101" s="518"/>
      <c r="AT101" s="518"/>
    </row>
    <row r="102" spans="1:46" s="272" customFormat="1" ht="27.75">
      <c r="A102" s="258"/>
      <c r="B102" s="549"/>
      <c r="C102" s="549"/>
      <c r="D102" s="549"/>
      <c r="E102" s="540"/>
      <c r="F102" s="550"/>
      <c r="G102" s="540"/>
      <c r="H102" s="540"/>
      <c r="I102" s="396"/>
      <c r="J102" s="396"/>
      <c r="V102" s="517"/>
      <c r="W102" s="517"/>
      <c r="X102" s="517"/>
      <c r="AB102" s="518"/>
      <c r="AC102" s="519"/>
      <c r="AD102" s="445"/>
      <c r="AE102" s="445"/>
      <c r="AF102" s="445"/>
      <c r="AG102" s="445"/>
      <c r="AH102" s="445"/>
      <c r="AI102" s="445"/>
      <c r="AJ102" s="445"/>
      <c r="AK102" s="445"/>
      <c r="AL102" s="445"/>
      <c r="AM102" s="518"/>
      <c r="AN102" s="518"/>
      <c r="AO102" s="518"/>
      <c r="AP102" s="518"/>
      <c r="AQ102" s="518"/>
      <c r="AR102" s="518"/>
      <c r="AS102" s="518"/>
      <c r="AT102" s="518"/>
    </row>
    <row r="103" spans="1:46" s="272" customFormat="1" ht="27.75">
      <c r="A103" s="258"/>
      <c r="B103" s="549"/>
      <c r="C103" s="549"/>
      <c r="D103" s="549"/>
      <c r="E103" s="540"/>
      <c r="F103" s="542"/>
      <c r="G103" s="540"/>
      <c r="H103" s="540"/>
      <c r="I103" s="516"/>
      <c r="V103" s="517"/>
      <c r="W103" s="517"/>
      <c r="X103" s="517"/>
      <c r="AB103" s="518"/>
      <c r="AC103" s="519"/>
      <c r="AD103" s="445"/>
      <c r="AE103" s="445"/>
      <c r="AF103" s="445"/>
      <c r="AG103" s="445"/>
      <c r="AH103" s="445"/>
      <c r="AI103" s="445"/>
      <c r="AJ103" s="445"/>
      <c r="AK103" s="445"/>
      <c r="AL103" s="445"/>
      <c r="AM103" s="518"/>
      <c r="AN103" s="518"/>
      <c r="AO103" s="518"/>
      <c r="AP103" s="518"/>
      <c r="AQ103" s="518"/>
      <c r="AR103" s="518"/>
      <c r="AS103" s="518"/>
      <c r="AT103" s="518"/>
    </row>
    <row r="104" spans="1:46" s="272" customFormat="1" ht="27.75">
      <c r="A104" s="258"/>
      <c r="B104" s="549"/>
      <c r="C104" s="549"/>
      <c r="D104" s="549"/>
      <c r="E104" s="516"/>
      <c r="F104" s="2087" t="s">
        <v>670</v>
      </c>
      <c r="G104" s="2087"/>
      <c r="H104" s="2087"/>
      <c r="I104" s="516"/>
      <c r="V104" s="517"/>
      <c r="W104" s="517"/>
      <c r="X104" s="517"/>
      <c r="AB104" s="518"/>
      <c r="AC104" s="519"/>
      <c r="AD104" s="445"/>
      <c r="AE104" s="445"/>
      <c r="AF104" s="445"/>
      <c r="AG104" s="445"/>
      <c r="AH104" s="445"/>
      <c r="AI104" s="445"/>
      <c r="AJ104" s="445"/>
      <c r="AK104" s="445"/>
      <c r="AL104" s="445"/>
      <c r="AM104" s="518"/>
      <c r="AN104" s="518"/>
      <c r="AO104" s="518"/>
      <c r="AP104" s="518"/>
      <c r="AQ104" s="518"/>
      <c r="AR104" s="518"/>
      <c r="AS104" s="518"/>
      <c r="AT104" s="518"/>
    </row>
    <row r="105" spans="1:46" s="272" customFormat="1" ht="27.75">
      <c r="B105" s="549"/>
      <c r="C105" s="549"/>
      <c r="D105" s="549"/>
      <c r="E105" s="516"/>
      <c r="F105" s="549"/>
      <c r="G105" s="741" t="s">
        <v>772</v>
      </c>
      <c r="H105" s="516"/>
      <c r="I105" s="516"/>
      <c r="V105" s="517"/>
      <c r="W105" s="517"/>
      <c r="X105" s="517"/>
      <c r="AB105" s="518"/>
      <c r="AC105" s="519"/>
      <c r="AD105" s="445"/>
      <c r="AE105" s="445"/>
      <c r="AF105" s="445"/>
      <c r="AG105" s="445"/>
      <c r="AH105" s="445"/>
      <c r="AI105" s="445"/>
      <c r="AJ105" s="445"/>
      <c r="AK105" s="445"/>
      <c r="AL105" s="445"/>
      <c r="AM105" s="518"/>
      <c r="AN105" s="518"/>
      <c r="AO105" s="518"/>
      <c r="AP105" s="518"/>
      <c r="AQ105" s="518"/>
      <c r="AR105" s="518"/>
      <c r="AS105" s="518"/>
      <c r="AT105" s="518"/>
    </row>
    <row r="106" spans="1:46" s="272" customFormat="1" ht="27.75">
      <c r="A106" s="272">
        <v>49</v>
      </c>
      <c r="B106" s="549"/>
      <c r="C106" s="549"/>
      <c r="D106" s="549"/>
      <c r="E106" s="258"/>
      <c r="F106" s="2087" t="s">
        <v>671</v>
      </c>
      <c r="G106" s="2087"/>
      <c r="H106" s="2087"/>
      <c r="J106" s="272" t="s">
        <v>668</v>
      </c>
      <c r="O106" s="272" t="s">
        <v>669</v>
      </c>
      <c r="V106" s="517"/>
      <c r="W106" s="517"/>
      <c r="X106" s="517"/>
      <c r="AB106" s="518"/>
      <c r="AC106" s="519"/>
      <c r="AD106" s="445"/>
      <c r="AE106" s="445"/>
      <c r="AF106" s="445"/>
      <c r="AG106" s="445"/>
      <c r="AH106" s="445"/>
      <c r="AI106" s="445"/>
      <c r="AJ106" s="445"/>
      <c r="AK106" s="445"/>
      <c r="AL106" s="445"/>
      <c r="AM106" s="518"/>
      <c r="AN106" s="518"/>
      <c r="AO106" s="518"/>
      <c r="AP106" s="518"/>
      <c r="AQ106" s="518"/>
      <c r="AR106" s="518"/>
      <c r="AS106" s="518"/>
      <c r="AT106" s="518"/>
    </row>
    <row r="107" spans="1:46" ht="20.25">
      <c r="G107" s="742" t="s">
        <v>702</v>
      </c>
      <c r="J107" s="146">
        <f>G73</f>
        <v>2514309.1958500589</v>
      </c>
      <c r="O107" s="146">
        <f>H73</f>
        <v>1669120.7125276423</v>
      </c>
    </row>
    <row r="108" spans="1:46" ht="27" customHeight="1">
      <c r="F108" s="2087" t="s">
        <v>672</v>
      </c>
      <c r="G108" s="2087"/>
      <c r="H108" s="2087"/>
    </row>
    <row r="109" spans="1:46" ht="20.25">
      <c r="G109" s="742" t="s">
        <v>771</v>
      </c>
    </row>
    <row r="110" spans="1:46" ht="20.25">
      <c r="G110" s="742"/>
    </row>
    <row r="122" spans="4:7">
      <c r="G122" s="135">
        <f>77*967</f>
        <v>74459</v>
      </c>
    </row>
    <row r="128" spans="4:7">
      <c r="D128" s="250">
        <f>108443.87/D29</f>
        <v>1.4558182187725115</v>
      </c>
      <c r="E128" s="891">
        <f>1/D128</f>
        <v>0.6868989459708511</v>
      </c>
    </row>
    <row r="129" spans="6:6">
      <c r="F129" s="135">
        <f>7641*19.561</f>
        <v>149465.601</v>
      </c>
    </row>
    <row r="131" spans="6:6">
      <c r="F131" s="135">
        <f>252725.48/4</f>
        <v>63181.37</v>
      </c>
    </row>
  </sheetData>
  <mergeCells count="116">
    <mergeCell ref="G4:H4"/>
    <mergeCell ref="B87:H87"/>
    <mergeCell ref="B88:H88"/>
    <mergeCell ref="B89:E89"/>
    <mergeCell ref="B90:E90"/>
    <mergeCell ref="B91:E91"/>
    <mergeCell ref="A94:A95"/>
    <mergeCell ref="E94:G94"/>
    <mergeCell ref="C95:E95"/>
    <mergeCell ref="E73:F73"/>
    <mergeCell ref="A74:C75"/>
    <mergeCell ref="D74:E74"/>
    <mergeCell ref="F74:G74"/>
    <mergeCell ref="D75:E75"/>
    <mergeCell ref="F75:G75"/>
    <mergeCell ref="E63:F63"/>
    <mergeCell ref="E64:F64"/>
    <mergeCell ref="E65:F65"/>
    <mergeCell ref="E66:F66"/>
    <mergeCell ref="E67:F67"/>
    <mergeCell ref="E68:F68"/>
    <mergeCell ref="E71:F71"/>
    <mergeCell ref="E72:F72"/>
    <mergeCell ref="E54:F54"/>
    <mergeCell ref="J78:K78"/>
    <mergeCell ref="AO79:AO80"/>
    <mergeCell ref="AP79:AP80"/>
    <mergeCell ref="A80:B80"/>
    <mergeCell ref="A81:B81"/>
    <mergeCell ref="B83:E83"/>
    <mergeCell ref="B84:H84"/>
    <mergeCell ref="B85:H85"/>
    <mergeCell ref="B86:H86"/>
    <mergeCell ref="A78:C78"/>
    <mergeCell ref="D78:F78"/>
    <mergeCell ref="G78:H78"/>
    <mergeCell ref="E55:F55"/>
    <mergeCell ref="E56:F56"/>
    <mergeCell ref="E57:F57"/>
    <mergeCell ref="E58:F58"/>
    <mergeCell ref="E59:F59"/>
    <mergeCell ref="E60:F60"/>
    <mergeCell ref="E61:F61"/>
    <mergeCell ref="E62:F62"/>
    <mergeCell ref="E47:F47"/>
    <mergeCell ref="AF47:AM47"/>
    <mergeCell ref="AN47:AO47"/>
    <mergeCell ref="E48:F48"/>
    <mergeCell ref="E49:F49"/>
    <mergeCell ref="E50:F50"/>
    <mergeCell ref="E51:F51"/>
    <mergeCell ref="E52:F52"/>
    <mergeCell ref="E53:F53"/>
    <mergeCell ref="E40:F40"/>
    <mergeCell ref="E41:F41"/>
    <mergeCell ref="E42:F42"/>
    <mergeCell ref="E43:F43"/>
    <mergeCell ref="E44:F44"/>
    <mergeCell ref="E45:F45"/>
    <mergeCell ref="N45:O45"/>
    <mergeCell ref="T45:U45"/>
    <mergeCell ref="E46:F46"/>
    <mergeCell ref="E32:F32"/>
    <mergeCell ref="E33:F33"/>
    <mergeCell ref="N33:O33"/>
    <mergeCell ref="V33:Y33"/>
    <mergeCell ref="E34:F34"/>
    <mergeCell ref="E36:F36"/>
    <mergeCell ref="E37:F37"/>
    <mergeCell ref="E38:F38"/>
    <mergeCell ref="E39:F39"/>
    <mergeCell ref="E25:F25"/>
    <mergeCell ref="N25:O25"/>
    <mergeCell ref="E26:F26"/>
    <mergeCell ref="E27:F27"/>
    <mergeCell ref="E29:F29"/>
    <mergeCell ref="N29:O29"/>
    <mergeCell ref="E30:F30"/>
    <mergeCell ref="E31:F31"/>
    <mergeCell ref="N31:O31"/>
    <mergeCell ref="A21:H21"/>
    <mergeCell ref="G22:H22"/>
    <mergeCell ref="N22:O22"/>
    <mergeCell ref="B23:B24"/>
    <mergeCell ref="C23:D23"/>
    <mergeCell ref="E23:F24"/>
    <mergeCell ref="G23:H23"/>
    <mergeCell ref="J23:K23"/>
    <mergeCell ref="L23:M23"/>
    <mergeCell ref="N23:O23"/>
    <mergeCell ref="L24:M24"/>
    <mergeCell ref="N24:O24"/>
    <mergeCell ref="F6:G6"/>
    <mergeCell ref="F104:H104"/>
    <mergeCell ref="F106:H106"/>
    <mergeCell ref="F108:H108"/>
    <mergeCell ref="A1:M1"/>
    <mergeCell ref="S1:T1"/>
    <mergeCell ref="V1:Y1"/>
    <mergeCell ref="AC1:AJ1"/>
    <mergeCell ref="AK1:AL1"/>
    <mergeCell ref="A2:M2"/>
    <mergeCell ref="A5:A6"/>
    <mergeCell ref="B5:C5"/>
    <mergeCell ref="D5:E5"/>
    <mergeCell ref="F5:H5"/>
    <mergeCell ref="I5:I6"/>
    <mergeCell ref="J5:J6"/>
    <mergeCell ref="K5:L5"/>
    <mergeCell ref="M5:N5"/>
    <mergeCell ref="O5:O6"/>
    <mergeCell ref="P5:P6"/>
    <mergeCell ref="S6:U6"/>
    <mergeCell ref="S10:U10"/>
    <mergeCell ref="A18:H18"/>
    <mergeCell ref="A19:H19"/>
  </mergeCells>
  <printOptions horizontalCentered="1" verticalCentered="1"/>
  <pageMargins left="0" right="0" top="0" bottom="0" header="0" footer="0"/>
  <pageSetup scale="36" firstPageNumber="0" fitToHeight="0" orientation="portrait" r:id="rId1"/>
  <rowBreaks count="1" manualBreakCount="1">
    <brk id="17" max="7" man="1"/>
  </rowBreaks>
  <colBreaks count="1" manualBreakCount="1">
    <brk id="8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L98"/>
  <sheetViews>
    <sheetView view="pageBreakPreview" topLeftCell="A61" zoomScale="115" zoomScaleNormal="115" zoomScaleSheetLayoutView="115" zoomScalePageLayoutView="60" workbookViewId="0">
      <selection activeCell="D22" sqref="D22:F22"/>
    </sheetView>
  </sheetViews>
  <sheetFormatPr defaultRowHeight="12.75"/>
  <cols>
    <col min="1" max="1" width="3.7109375" style="85"/>
    <col min="2" max="2" width="8.5703125" style="85"/>
    <col min="3" max="3" width="14.85546875" style="85"/>
    <col min="4" max="4" width="16.85546875" style="85" bestFit="1" customWidth="1"/>
    <col min="5" max="5" width="8" style="85" customWidth="1"/>
    <col min="6" max="6" width="3.5703125" style="85"/>
    <col min="7" max="7" width="18.7109375" style="85" customWidth="1"/>
    <col min="8" max="8" width="9.140625" style="85" customWidth="1"/>
    <col min="9" max="9" width="10" style="85"/>
    <col min="10" max="10" width="13.28515625" style="85"/>
    <col min="11" max="11" width="10.5703125" style="85"/>
    <col min="12" max="12" width="9.5703125" style="85"/>
    <col min="13" max="13" width="13.85546875" style="85" customWidth="1"/>
    <col min="14" max="14" width="15.7109375" style="85" customWidth="1"/>
    <col min="15" max="15" width="25.140625" style="85" bestFit="1" customWidth="1"/>
    <col min="16" max="16" width="15.140625" style="85" customWidth="1"/>
    <col min="17" max="17" width="25.5703125" style="85" bestFit="1" customWidth="1"/>
    <col min="18" max="18" width="15.140625" style="85" bestFit="1" customWidth="1"/>
    <col min="19" max="19" width="13.7109375" style="85" bestFit="1" customWidth="1"/>
    <col min="20" max="20" width="14.28515625" style="85" bestFit="1" customWidth="1"/>
    <col min="21" max="21" width="12" style="85"/>
    <col min="22" max="1026" width="8.5703125" style="85"/>
  </cols>
  <sheetData>
    <row r="2" spans="2:21">
      <c r="C2" s="551"/>
      <c r="D2" s="2105" t="str">
        <f>Cons.Mat.Evalu.!A1</f>
        <v>Cross-land Construction Company</v>
      </c>
      <c r="E2" s="2105"/>
      <c r="F2" s="2105"/>
      <c r="G2" s="2105"/>
      <c r="H2" s="2105"/>
      <c r="I2" s="2105"/>
      <c r="J2" s="2105"/>
      <c r="K2" s="2105"/>
      <c r="L2" s="551"/>
      <c r="M2" s="551"/>
    </row>
    <row r="3" spans="2:21">
      <c r="C3" s="551"/>
      <c r="D3" s="2105" t="str">
        <f>'Summary (new)2'!A2</f>
        <v>Project: Haro sebu-Lelo-Qaqe</v>
      </c>
      <c r="E3" s="2105"/>
      <c r="F3" s="2105"/>
      <c r="G3" s="2105"/>
      <c r="H3" s="2105"/>
      <c r="I3" s="2105"/>
      <c r="J3" s="2105"/>
      <c r="K3" s="2105"/>
      <c r="L3" s="551"/>
      <c r="M3" s="551"/>
      <c r="R3" s="85" t="s">
        <v>417</v>
      </c>
    </row>
    <row r="4" spans="2:21">
      <c r="C4" s="551"/>
      <c r="D4" s="2105" t="s">
        <v>418</v>
      </c>
      <c r="E4" s="2105"/>
      <c r="F4" s="2105"/>
      <c r="G4" s="2105"/>
      <c r="H4" s="2105"/>
      <c r="I4" s="2105"/>
      <c r="J4" s="2105"/>
      <c r="K4" s="2105"/>
      <c r="L4" s="551"/>
      <c r="M4" s="551"/>
      <c r="R4" s="85" t="s">
        <v>294</v>
      </c>
      <c r="S4" s="552">
        <f>143091.328+10000</f>
        <v>153091.32800000001</v>
      </c>
    </row>
    <row r="5" spans="2:21" ht="17.25" customHeight="1">
      <c r="C5" s="551"/>
      <c r="D5" s="551"/>
      <c r="E5" s="551"/>
      <c r="F5" s="551"/>
      <c r="G5" s="551"/>
      <c r="H5" s="551"/>
      <c r="I5" s="551"/>
      <c r="J5" s="551"/>
      <c r="K5" s="2106" t="str">
        <f>'Summary (new)2'!G22</f>
        <v>Week 32  ((23-29)-08-07)</v>
      </c>
      <c r="L5" s="2106"/>
      <c r="M5" s="2106"/>
      <c r="R5" s="85" t="s">
        <v>296</v>
      </c>
      <c r="S5" s="85">
        <v>24763</v>
      </c>
    </row>
    <row r="6" spans="2:21" ht="15">
      <c r="K6" s="2109" t="s">
        <v>735</v>
      </c>
      <c r="L6" s="2110"/>
      <c r="M6" s="893" t="s">
        <v>732</v>
      </c>
      <c r="N6" s="894" t="s">
        <v>683</v>
      </c>
    </row>
    <row r="7" spans="2:21" ht="14.25">
      <c r="K7" s="2111">
        <v>227468548.36000001</v>
      </c>
      <c r="L7" s="2112"/>
      <c r="M7" s="895">
        <v>34120282.254000001</v>
      </c>
      <c r="N7" s="896">
        <v>261588830.61400002</v>
      </c>
    </row>
    <row r="8" spans="2:21">
      <c r="B8" s="2107" t="s">
        <v>336</v>
      </c>
      <c r="C8" s="2107"/>
      <c r="D8" s="647"/>
      <c r="I8" s="2108" t="s">
        <v>335</v>
      </c>
      <c r="J8" s="2108"/>
    </row>
    <row r="9" spans="2:21" ht="13.5" thickBot="1"/>
    <row r="10" spans="2:21" ht="24.75" customHeight="1" thickTop="1">
      <c r="B10" s="2113" t="s">
        <v>227</v>
      </c>
      <c r="C10" s="2114"/>
      <c r="D10" s="2115" t="s">
        <v>419</v>
      </c>
      <c r="E10" s="2115"/>
      <c r="F10" s="2114"/>
      <c r="G10" s="808" t="s">
        <v>684</v>
      </c>
      <c r="H10" s="586"/>
      <c r="I10" s="2116" t="s">
        <v>227</v>
      </c>
      <c r="J10" s="2116"/>
      <c r="K10" s="2116" t="s">
        <v>419</v>
      </c>
      <c r="L10" s="2116"/>
      <c r="M10" s="2117" t="s">
        <v>420</v>
      </c>
      <c r="N10" s="2117"/>
      <c r="O10" s="621" t="s">
        <v>807</v>
      </c>
      <c r="Q10" s="621" t="s">
        <v>808</v>
      </c>
      <c r="R10" s="552"/>
      <c r="U10" s="552"/>
    </row>
    <row r="11" spans="2:21" ht="23.1" customHeight="1">
      <c r="B11" s="2118" t="s">
        <v>421</v>
      </c>
      <c r="C11" s="2119"/>
      <c r="D11" s="2120">
        <f>'Summary (new)2'!H25</f>
        <v>2750</v>
      </c>
      <c r="E11" s="2120"/>
      <c r="F11" s="2120"/>
      <c r="G11" s="706">
        <f>D11/K$7</f>
        <v>1.2089583460337338E-5</v>
      </c>
      <c r="H11" s="586"/>
      <c r="I11" s="2121" t="s">
        <v>422</v>
      </c>
      <c r="J11" s="2121"/>
      <c r="K11" s="2122">
        <f>Summary!D30+Summary!D31+Summary!D33+Summary!D36+Summary!D38</f>
        <v>196869.57</v>
      </c>
      <c r="L11" s="2122"/>
      <c r="M11" s="2123"/>
      <c r="N11" s="2124"/>
      <c r="O11" s="567" t="str">
        <f>B11</f>
        <v>GENERAL &amp; PRELIMINARY</v>
      </c>
      <c r="P11" s="613">
        <f>D11</f>
        <v>2750</v>
      </c>
      <c r="Q11" s="889" t="s">
        <v>729</v>
      </c>
      <c r="R11" s="614">
        <f>K11</f>
        <v>196869.57</v>
      </c>
      <c r="S11" s="647">
        <f>R11/100</f>
        <v>1968.6957</v>
      </c>
      <c r="U11" s="552"/>
    </row>
    <row r="12" spans="2:21" ht="21.75" customHeight="1">
      <c r="B12" s="2125" t="s">
        <v>423</v>
      </c>
      <c r="C12" s="2126"/>
      <c r="D12" s="2127">
        <f>'Summary (new)2'!H26</f>
        <v>0</v>
      </c>
      <c r="E12" s="2127"/>
      <c r="F12" s="2127"/>
      <c r="G12" s="706">
        <f t="shared" ref="G12:G21" si="0">D12/K$7</f>
        <v>0</v>
      </c>
      <c r="H12" s="586"/>
      <c r="I12" s="2121" t="s">
        <v>424</v>
      </c>
      <c r="J12" s="2121"/>
      <c r="K12" s="2122">
        <f>Summary!D35+Summary!D39</f>
        <v>68806</v>
      </c>
      <c r="L12" s="2122"/>
      <c r="M12" s="2123"/>
      <c r="N12" s="2124"/>
      <c r="O12" s="567" t="str">
        <f t="shared" ref="O12:O19" si="1">B12</f>
        <v>SITE CLEARANCE</v>
      </c>
      <c r="P12" s="613">
        <f t="shared" ref="P12:P19" si="2">D12</f>
        <v>0</v>
      </c>
      <c r="Q12" s="567" t="str">
        <f t="shared" ref="Q12:Q21" si="3">I12</f>
        <v>OVERE TIME</v>
      </c>
      <c r="R12" s="614">
        <f t="shared" ref="R12:R21" si="4">K12</f>
        <v>68806</v>
      </c>
      <c r="S12" s="552">
        <v>23.83</v>
      </c>
      <c r="U12" s="552"/>
    </row>
    <row r="13" spans="2:21" ht="23.1" customHeight="1">
      <c r="B13" s="2128" t="s">
        <v>425</v>
      </c>
      <c r="C13" s="2129"/>
      <c r="D13" s="2127">
        <f>'Summary (new)2'!H29</f>
        <v>53558.923880945076</v>
      </c>
      <c r="E13" s="2127"/>
      <c r="F13" s="2127"/>
      <c r="G13" s="706">
        <f t="shared" si="0"/>
        <v>2.3545639283801455E-4</v>
      </c>
      <c r="H13" s="586"/>
      <c r="I13" s="2121" t="s">
        <v>426</v>
      </c>
      <c r="J13" s="2121"/>
      <c r="K13" s="2122">
        <f>K12+K11</f>
        <v>265675.57</v>
      </c>
      <c r="L13" s="2122"/>
      <c r="M13" s="2123"/>
      <c r="N13" s="2124"/>
      <c r="O13" s="567" t="str">
        <f t="shared" si="1"/>
        <v>DRAINAGE</v>
      </c>
      <c r="P13" s="613">
        <f t="shared" si="2"/>
        <v>53558.923880945076</v>
      </c>
      <c r="Q13" s="567" t="str">
        <f t="shared" si="3"/>
        <v>TOTAL MANPOWER</v>
      </c>
      <c r="R13" s="614">
        <f t="shared" si="4"/>
        <v>265675.57</v>
      </c>
      <c r="S13" s="647">
        <f>SUM(S11:S12)</f>
        <v>1992.5256999999999</v>
      </c>
      <c r="T13" s="553">
        <f>S11+S12</f>
        <v>1992.5256999999999</v>
      </c>
    </row>
    <row r="14" spans="2:21" ht="23.1" customHeight="1">
      <c r="B14" s="2125" t="s">
        <v>427</v>
      </c>
      <c r="C14" s="2126"/>
      <c r="D14" s="2130">
        <f>'Summary (new)2'!H30</f>
        <v>1296414.28</v>
      </c>
      <c r="E14" s="2130"/>
      <c r="F14" s="2130"/>
      <c r="G14" s="706">
        <f t="shared" si="0"/>
        <v>5.6993122317211412E-3</v>
      </c>
      <c r="H14" s="586"/>
      <c r="I14" s="2121" t="s">
        <v>428</v>
      </c>
      <c r="J14" s="2121"/>
      <c r="K14" s="2122">
        <f>Summary!D41</f>
        <v>444704.69999999995</v>
      </c>
      <c r="L14" s="2122"/>
      <c r="M14" s="2123"/>
      <c r="N14" s="2124"/>
      <c r="O14" s="567" t="str">
        <f t="shared" si="1"/>
        <v>EARTH WORK</v>
      </c>
      <c r="P14" s="613">
        <f t="shared" si="2"/>
        <v>1296414.28</v>
      </c>
      <c r="Q14" s="567" t="str">
        <f t="shared" si="3"/>
        <v>OWEN EQUIPMENT</v>
      </c>
      <c r="R14" s="614">
        <f t="shared" si="4"/>
        <v>444704.69999999995</v>
      </c>
      <c r="U14" s="552"/>
    </row>
    <row r="15" spans="2:21" ht="23.1" customHeight="1">
      <c r="B15" s="2125" t="s">
        <v>429</v>
      </c>
      <c r="C15" s="2126"/>
      <c r="D15" s="2127">
        <f>'Summary (new)2'!H31</f>
        <v>0</v>
      </c>
      <c r="E15" s="2127"/>
      <c r="F15" s="2127"/>
      <c r="G15" s="706">
        <f t="shared" si="0"/>
        <v>0</v>
      </c>
      <c r="H15" s="586"/>
      <c r="I15" s="2121" t="s">
        <v>430</v>
      </c>
      <c r="J15" s="2121"/>
      <c r="K15" s="2122">
        <f>Summary!D47</f>
        <v>272035.03200000001</v>
      </c>
      <c r="L15" s="2122"/>
      <c r="M15" s="2123"/>
      <c r="N15" s="2124"/>
      <c r="O15" s="567" t="str">
        <f t="shared" si="1"/>
        <v>SUB-BASE AND R. BASE</v>
      </c>
      <c r="P15" s="613">
        <f t="shared" si="2"/>
        <v>0</v>
      </c>
      <c r="Q15" s="567" t="str">
        <f t="shared" si="3"/>
        <v>RENTAL EQUIPMENT</v>
      </c>
      <c r="R15" s="614">
        <f t="shared" si="4"/>
        <v>272035.03200000001</v>
      </c>
    </row>
    <row r="16" spans="2:21" ht="23.1" customHeight="1">
      <c r="B16" s="2125" t="s">
        <v>431</v>
      </c>
      <c r="C16" s="2126"/>
      <c r="D16" s="2127">
        <f>'Summary (new)2'!H32</f>
        <v>180434.90949888449</v>
      </c>
      <c r="E16" s="2127"/>
      <c r="F16" s="2127"/>
      <c r="G16" s="706">
        <f t="shared" si="0"/>
        <v>7.9323014456188299E-4</v>
      </c>
      <c r="H16" s="586"/>
      <c r="I16" s="2121" t="s">
        <v>432</v>
      </c>
      <c r="J16" s="2121"/>
      <c r="K16" s="2122">
        <f>K14+K15</f>
        <v>716739.73199999996</v>
      </c>
      <c r="L16" s="2122"/>
      <c r="M16" s="2123"/>
      <c r="N16" s="2124"/>
      <c r="O16" s="567" t="str">
        <f t="shared" si="1"/>
        <v>STRUCTURES</v>
      </c>
      <c r="P16" s="613">
        <f t="shared" si="2"/>
        <v>180434.90949888449</v>
      </c>
      <c r="Q16" s="567" t="str">
        <f t="shared" si="3"/>
        <v>TOTAL EQUIPMENT</v>
      </c>
      <c r="R16" s="614">
        <f t="shared" si="4"/>
        <v>716739.73199999996</v>
      </c>
      <c r="T16" s="552"/>
      <c r="U16" s="555"/>
    </row>
    <row r="17" spans="2:21" ht="23.1" customHeight="1">
      <c r="B17" s="2125" t="s">
        <v>433</v>
      </c>
      <c r="C17" s="2126"/>
      <c r="D17" s="2122">
        <f>'Summary (new)2'!H33</f>
        <v>0</v>
      </c>
      <c r="E17" s="2122"/>
      <c r="F17" s="2122"/>
      <c r="G17" s="706">
        <f t="shared" si="0"/>
        <v>0</v>
      </c>
      <c r="H17" s="586"/>
      <c r="I17" s="2121" t="s">
        <v>276</v>
      </c>
      <c r="J17" s="2121"/>
      <c r="K17" s="2122">
        <f>Summary!D56</f>
        <v>341481.67999999993</v>
      </c>
      <c r="L17" s="2122"/>
      <c r="M17" s="2123"/>
      <c r="N17" s="2124"/>
      <c r="O17" s="567" t="str">
        <f t="shared" si="1"/>
        <v>ANCILLARY WORKS</v>
      </c>
      <c r="P17" s="613">
        <f t="shared" si="2"/>
        <v>0</v>
      </c>
      <c r="Q17" s="567" t="str">
        <f t="shared" si="3"/>
        <v>FUEL</v>
      </c>
      <c r="R17" s="614">
        <f t="shared" si="4"/>
        <v>341481.67999999993</v>
      </c>
      <c r="S17" s="552"/>
      <c r="T17" s="553"/>
    </row>
    <row r="18" spans="2:21" ht="23.1" customHeight="1">
      <c r="B18" s="2125" t="s">
        <v>434</v>
      </c>
      <c r="C18" s="2126"/>
      <c r="D18" s="2122">
        <f>'Summary (new)2'!H34</f>
        <v>52883.197705874132</v>
      </c>
      <c r="E18" s="2122"/>
      <c r="F18" s="2122"/>
      <c r="G18" s="706">
        <f t="shared" si="0"/>
        <v>2.3248575720534012E-4</v>
      </c>
      <c r="H18" s="586"/>
      <c r="I18" s="2121" t="s">
        <v>293</v>
      </c>
      <c r="J18" s="2121"/>
      <c r="K18" s="2122">
        <f>Summary!D59</f>
        <v>51352.12999999999</v>
      </c>
      <c r="L18" s="2122"/>
      <c r="M18" s="2123"/>
      <c r="N18" s="2124"/>
      <c r="O18" s="567" t="str">
        <f t="shared" si="1"/>
        <v>PRODUCTION</v>
      </c>
      <c r="P18" s="613">
        <f t="shared" si="2"/>
        <v>52883.197705874132</v>
      </c>
      <c r="Q18" s="567" t="str">
        <f t="shared" si="3"/>
        <v>LUBRICANT</v>
      </c>
      <c r="R18" s="614">
        <f t="shared" si="4"/>
        <v>51352.12999999999</v>
      </c>
      <c r="S18" s="552"/>
      <c r="U18" s="555"/>
    </row>
    <row r="19" spans="2:21" ht="23.1" customHeight="1">
      <c r="B19" s="2125" t="s">
        <v>435</v>
      </c>
      <c r="C19" s="2126"/>
      <c r="D19" s="2122">
        <f>'Summary (new)2'!H36</f>
        <v>83079.401441938244</v>
      </c>
      <c r="E19" s="2122"/>
      <c r="F19" s="2122"/>
      <c r="G19" s="706">
        <f t="shared" si="0"/>
        <v>3.6523467547897547E-4</v>
      </c>
      <c r="H19" s="586"/>
      <c r="I19" s="2121" t="s">
        <v>436</v>
      </c>
      <c r="J19" s="2121"/>
      <c r="K19" s="2122">
        <f>('Summary (new)2'!D52)</f>
        <v>0</v>
      </c>
      <c r="L19" s="2122"/>
      <c r="M19" s="2123"/>
      <c r="N19" s="2124"/>
      <c r="O19" s="567" t="str">
        <f t="shared" si="1"/>
        <v>HAULING(Earth works)</v>
      </c>
      <c r="P19" s="613">
        <f t="shared" si="2"/>
        <v>83079.401441938244</v>
      </c>
      <c r="Q19" s="567" t="str">
        <f t="shared" si="3"/>
        <v>SPARE PARTS</v>
      </c>
      <c r="R19" s="614">
        <f t="shared" si="4"/>
        <v>0</v>
      </c>
    </row>
    <row r="20" spans="2:21" ht="23.1" customHeight="1" thickBot="1">
      <c r="B20" s="2131"/>
      <c r="C20" s="2132"/>
      <c r="D20" s="2133"/>
      <c r="E20" s="2133"/>
      <c r="F20" s="2133"/>
      <c r="G20" s="706"/>
      <c r="H20" s="586"/>
      <c r="I20" s="2121" t="s">
        <v>400</v>
      </c>
      <c r="J20" s="2121"/>
      <c r="K20" s="2122">
        <f>Summary!D62</f>
        <v>126223.92</v>
      </c>
      <c r="L20" s="2122"/>
      <c r="M20" s="2123"/>
      <c r="N20" s="2124"/>
      <c r="Q20" s="567" t="str">
        <f t="shared" si="3"/>
        <v>CONSTRUCTION MATERIAL</v>
      </c>
      <c r="R20" s="614">
        <f t="shared" si="4"/>
        <v>126223.92</v>
      </c>
    </row>
    <row r="21" spans="2:21" ht="22.5" customHeight="1" thickTop="1" thickBot="1">
      <c r="B21" s="2134" t="s">
        <v>437</v>
      </c>
      <c r="C21" s="2134"/>
      <c r="D21" s="2135">
        <f>SUM(D11:D20)</f>
        <v>1669120.7125276423</v>
      </c>
      <c r="E21" s="2135"/>
      <c r="F21" s="2135"/>
      <c r="G21" s="707">
        <f t="shared" si="0"/>
        <v>7.3378087852656931E-3</v>
      </c>
      <c r="H21" s="586"/>
      <c r="I21" s="2121" t="s">
        <v>438</v>
      </c>
      <c r="J21" s="2121"/>
      <c r="K21" s="2122">
        <f>Summary!D67</f>
        <v>13847.5</v>
      </c>
      <c r="L21" s="2122"/>
      <c r="M21" s="2136"/>
      <c r="N21" s="2137"/>
      <c r="P21" s="556"/>
      <c r="Q21" s="85" t="str">
        <f t="shared" si="3"/>
        <v>OTHERS</v>
      </c>
      <c r="R21" s="552">
        <f t="shared" si="4"/>
        <v>13847.5</v>
      </c>
      <c r="T21" s="555"/>
    </row>
    <row r="22" spans="2:21" ht="23.1" customHeight="1" thickTop="1">
      <c r="B22" s="2138"/>
      <c r="C22" s="2138"/>
      <c r="D22" s="2139"/>
      <c r="E22" s="2139"/>
      <c r="F22" s="2139"/>
      <c r="G22" s="708"/>
      <c r="H22" s="693"/>
      <c r="I22" s="2140" t="s">
        <v>439</v>
      </c>
      <c r="J22" s="2140"/>
      <c r="K22" s="2141">
        <f>K21+K20+K19+K18+K17+K16+K13</f>
        <v>1515320.5319999999</v>
      </c>
      <c r="L22" s="2141"/>
      <c r="M22" s="2142"/>
      <c r="N22" s="2143"/>
      <c r="P22" s="555"/>
      <c r="R22" s="553"/>
      <c r="S22" s="552"/>
      <c r="T22" s="555"/>
    </row>
    <row r="23" spans="2:21">
      <c r="B23" s="554"/>
      <c r="C23" s="554"/>
      <c r="D23" s="554"/>
      <c r="E23" s="554"/>
      <c r="F23" s="554"/>
      <c r="G23" s="554"/>
      <c r="H23" s="554"/>
      <c r="I23" s="554"/>
      <c r="J23" s="554"/>
      <c r="K23" s="2144"/>
      <c r="L23" s="2144"/>
      <c r="M23" s="554"/>
      <c r="N23" s="554"/>
      <c r="Q23" s="555"/>
    </row>
    <row r="24" spans="2:21" ht="15" customHeight="1">
      <c r="B24" s="709" t="s">
        <v>701</v>
      </c>
      <c r="C24" s="709"/>
      <c r="D24" s="710">
        <f>D21-K22</f>
        <v>153800.18052764237</v>
      </c>
      <c r="K24" s="2145"/>
      <c r="L24" s="2145"/>
      <c r="P24" s="553"/>
      <c r="Q24" s="555"/>
      <c r="S24" s="552"/>
    </row>
    <row r="25" spans="2:21" ht="15" customHeight="1">
      <c r="B25" s="688" t="s">
        <v>440</v>
      </c>
      <c r="C25" s="688"/>
      <c r="D25" s="711">
        <f>D24+K14</f>
        <v>598504.88052764232</v>
      </c>
      <c r="J25" s="559"/>
      <c r="K25" s="2145"/>
      <c r="L25" s="2145"/>
      <c r="M25" s="551"/>
      <c r="N25" s="551"/>
      <c r="O25" s="551"/>
      <c r="P25" s="551"/>
      <c r="Q25" s="560">
        <f>167509.57</f>
        <v>167509.57</v>
      </c>
      <c r="R25" s="552"/>
    </row>
    <row r="26" spans="2:21" ht="15" customHeight="1">
      <c r="B26" s="2146" t="s">
        <v>441</v>
      </c>
      <c r="C26" s="2146"/>
      <c r="D26" s="711">
        <f>0.05*D21</f>
        <v>83456.035626382116</v>
      </c>
      <c r="K26" s="2147"/>
      <c r="L26" s="2147"/>
      <c r="Q26" s="552">
        <f>161531.157</f>
        <v>161531.15700000001</v>
      </c>
      <c r="R26" s="552">
        <f>Q25-Q26</f>
        <v>5978.4130000000005</v>
      </c>
      <c r="T26" s="555">
        <f>R17-T22</f>
        <v>341481.67999999993</v>
      </c>
    </row>
    <row r="27" spans="2:21" ht="15" customHeight="1">
      <c r="B27" s="2146" t="s">
        <v>442</v>
      </c>
      <c r="C27" s="2146"/>
      <c r="D27" s="711">
        <f>0.1*D21</f>
        <v>166912.07125276423</v>
      </c>
      <c r="J27" s="553"/>
      <c r="K27" s="2147"/>
      <c r="L27" s="2147"/>
      <c r="Q27" s="560"/>
      <c r="R27" s="552"/>
    </row>
    <row r="28" spans="2:21" ht="15" customHeight="1">
      <c r="B28" s="687" t="s">
        <v>443</v>
      </c>
      <c r="C28" s="709"/>
      <c r="D28" s="710">
        <f>D25-D26-D27</f>
        <v>348136.77364849602</v>
      </c>
      <c r="E28" s="554"/>
      <c r="F28" s="554"/>
      <c r="G28" s="554"/>
      <c r="K28" s="2145"/>
      <c r="L28" s="2145"/>
      <c r="Q28" s="560"/>
      <c r="R28" s="552"/>
      <c r="S28" s="85" t="s">
        <v>444</v>
      </c>
      <c r="T28" s="552">
        <v>5978.41</v>
      </c>
    </row>
    <row r="29" spans="2:21">
      <c r="K29" s="2145"/>
      <c r="L29" s="2145"/>
      <c r="Q29" s="560"/>
      <c r="R29" s="552"/>
      <c r="S29" s="85" t="s">
        <v>445</v>
      </c>
      <c r="T29" s="552">
        <f>32*1.15*440</f>
        <v>16191.999999999998</v>
      </c>
    </row>
    <row r="30" spans="2:21">
      <c r="K30" s="2145"/>
      <c r="L30" s="2145"/>
      <c r="O30" s="552">
        <f>402146.6/0.25</f>
        <v>1608586.4</v>
      </c>
      <c r="Q30" s="83"/>
      <c r="R30" s="552"/>
      <c r="S30" s="85" t="s">
        <v>446</v>
      </c>
      <c r="T30" s="552">
        <v>16515.103999999999</v>
      </c>
    </row>
    <row r="31" spans="2:21" s="688" customFormat="1">
      <c r="B31" s="2146" t="s">
        <v>447</v>
      </c>
      <c r="C31" s="2146"/>
      <c r="D31" s="2146"/>
      <c r="E31" s="2148" t="s">
        <v>673</v>
      </c>
      <c r="F31" s="2148"/>
      <c r="G31" s="2148"/>
      <c r="H31" s="2148"/>
      <c r="I31" s="2148"/>
      <c r="K31" s="688" t="s">
        <v>448</v>
      </c>
      <c r="Q31" s="715"/>
      <c r="R31" s="716"/>
      <c r="S31" s="688" t="s">
        <v>449</v>
      </c>
      <c r="T31" s="716">
        <v>53556.800000000003</v>
      </c>
    </row>
    <row r="32" spans="2:21" s="697" customFormat="1">
      <c r="C32" s="712" t="str">
        <f>'Summary (new)2'!G105</f>
        <v>Fasil N.</v>
      </c>
      <c r="D32" s="712"/>
      <c r="G32" s="697" t="s">
        <v>699</v>
      </c>
      <c r="L32" s="1597" t="str">
        <f>Summary!F18</f>
        <v>AMARE M.</v>
      </c>
      <c r="Q32" s="713"/>
      <c r="R32" s="714"/>
      <c r="S32" s="697" t="s">
        <v>450</v>
      </c>
      <c r="T32" s="714">
        <v>10458.36</v>
      </c>
    </row>
    <row r="33" spans="3:20" hidden="1">
      <c r="Q33" s="83"/>
      <c r="R33" s="561"/>
      <c r="T33" s="553">
        <f>SUM(T28:T32)</f>
        <v>102700.674</v>
      </c>
    </row>
    <row r="34" spans="3:20" hidden="1">
      <c r="C34" s="85" t="s">
        <v>451</v>
      </c>
      <c r="D34" s="552">
        <f>0.4*D21</f>
        <v>667648.28501105693</v>
      </c>
      <c r="J34" s="552"/>
    </row>
    <row r="35" spans="3:20" hidden="1">
      <c r="C35" s="85" t="s">
        <v>452</v>
      </c>
      <c r="D35" s="552">
        <f>0.05*D21</f>
        <v>83456.035626382116</v>
      </c>
      <c r="I35" s="553"/>
      <c r="J35" s="552"/>
    </row>
    <row r="36" spans="3:20" hidden="1">
      <c r="C36" s="85" t="s">
        <v>453</v>
      </c>
      <c r="D36" s="552">
        <f>D21*0.02</f>
        <v>33382.414250552843</v>
      </c>
      <c r="J36" s="552"/>
      <c r="K36" s="555"/>
    </row>
    <row r="37" spans="3:20" hidden="1">
      <c r="C37" s="85" t="s">
        <v>454</v>
      </c>
      <c r="D37" s="555">
        <f>0.25*(D21-D34-D35-D36)</f>
        <v>221158.49440991259</v>
      </c>
      <c r="Q37" s="85">
        <f>54*1.15</f>
        <v>62.099999999999994</v>
      </c>
      <c r="R37" s="552"/>
    </row>
    <row r="38" spans="3:20" hidden="1">
      <c r="D38" s="553">
        <f>D25-D34-D35-D36-D37</f>
        <v>-407140.34877026209</v>
      </c>
      <c r="Q38" s="85">
        <f>133.34*360/100</f>
        <v>480.024</v>
      </c>
      <c r="R38" s="555"/>
    </row>
    <row r="39" spans="3:20" hidden="1">
      <c r="D39" s="553"/>
      <c r="J39" s="553"/>
    </row>
    <row r="40" spans="3:20" hidden="1">
      <c r="P40" s="85">
        <f>35.34*360</f>
        <v>12722.400000000001</v>
      </c>
      <c r="Q40" s="85">
        <f>P40/100</f>
        <v>127.22400000000002</v>
      </c>
      <c r="R40" s="553">
        <f>Q40*450</f>
        <v>57250.80000000001</v>
      </c>
      <c r="S40" s="85" t="s">
        <v>455</v>
      </c>
    </row>
    <row r="41" spans="3:20" hidden="1">
      <c r="R41" s="85">
        <f>16.12*0.15*450</f>
        <v>1088.1000000000001</v>
      </c>
      <c r="S41" s="85" t="s">
        <v>456</v>
      </c>
    </row>
    <row r="42" spans="3:20" hidden="1">
      <c r="R42" s="85">
        <f>46.74*1.15*450</f>
        <v>24187.95</v>
      </c>
      <c r="S42" s="85" t="s">
        <v>457</v>
      </c>
    </row>
    <row r="43" spans="3:20" hidden="1">
      <c r="R43" s="552">
        <f>54*1.15*450</f>
        <v>27944.999999999996</v>
      </c>
      <c r="S43" s="85" t="s">
        <v>458</v>
      </c>
    </row>
    <row r="44" spans="3:20" hidden="1"/>
    <row r="45" spans="3:20" hidden="1">
      <c r="R45" s="553">
        <f>SUM(R40:R44)</f>
        <v>110471.85</v>
      </c>
    </row>
    <row r="46" spans="3:20" hidden="1"/>
    <row r="47" spans="3:20" hidden="1">
      <c r="R47" s="555">
        <f>R45-K20</f>
        <v>-15752.069999999992</v>
      </c>
    </row>
    <row r="48" spans="3:20" hidden="1"/>
    <row r="49" spans="17:21" hidden="1">
      <c r="R49" s="85" t="s">
        <v>459</v>
      </c>
    </row>
    <row r="50" spans="17:21" hidden="1">
      <c r="Q50" s="85">
        <v>18</v>
      </c>
      <c r="R50" s="552">
        <v>54018.57</v>
      </c>
    </row>
    <row r="51" spans="17:21" hidden="1">
      <c r="Q51" s="85">
        <v>19</v>
      </c>
      <c r="R51" s="552">
        <v>84188.63</v>
      </c>
    </row>
    <row r="52" spans="17:21" hidden="1">
      <c r="Q52" s="85">
        <v>20</v>
      </c>
      <c r="R52" s="552">
        <v>98225.94</v>
      </c>
    </row>
    <row r="53" spans="17:21" hidden="1">
      <c r="Q53" s="85">
        <v>21</v>
      </c>
      <c r="R53" s="552">
        <v>104489.81</v>
      </c>
    </row>
    <row r="54" spans="17:21" hidden="1">
      <c r="Q54" s="85">
        <v>22</v>
      </c>
      <c r="R54" s="552">
        <v>96227.99</v>
      </c>
    </row>
    <row r="55" spans="17:21" hidden="1">
      <c r="R55" s="552">
        <v>0</v>
      </c>
    </row>
    <row r="56" spans="17:21" hidden="1">
      <c r="R56" s="553">
        <f>SUM(R50:R55)</f>
        <v>437150.94</v>
      </c>
    </row>
    <row r="57" spans="17:21" hidden="1"/>
    <row r="58" spans="17:21" hidden="1"/>
    <row r="59" spans="17:21" hidden="1"/>
    <row r="60" spans="17:21" hidden="1">
      <c r="Q60" s="85" t="s">
        <v>460</v>
      </c>
      <c r="R60" s="85" t="s">
        <v>461</v>
      </c>
      <c r="S60" s="85">
        <f>25*360/100</f>
        <v>90</v>
      </c>
    </row>
    <row r="61" spans="17:21">
      <c r="R61" s="85" t="s">
        <v>462</v>
      </c>
      <c r="S61" s="85">
        <f>0.15*13.02</f>
        <v>1.9529999999999998</v>
      </c>
    </row>
    <row r="62" spans="17:21">
      <c r="R62" s="85" t="s">
        <v>463</v>
      </c>
      <c r="S62" s="85">
        <f>1.15*57.32</f>
        <v>65.917999999999992</v>
      </c>
    </row>
    <row r="63" spans="17:21">
      <c r="R63" s="85" t="s">
        <v>464</v>
      </c>
      <c r="S63" s="85">
        <f>56*1.15</f>
        <v>64.399999999999991</v>
      </c>
    </row>
    <row r="64" spans="17:21">
      <c r="U64" s="85" t="s">
        <v>465</v>
      </c>
    </row>
    <row r="65" spans="4:21">
      <c r="S65" s="85">
        <f>SUM(S60:S64)</f>
        <v>222.27099999999996</v>
      </c>
      <c r="T65" s="552">
        <f>S65*440</f>
        <v>97799.239999999976</v>
      </c>
      <c r="U65" s="552">
        <f>3712.7*13.36</f>
        <v>49601.671999999999</v>
      </c>
    </row>
    <row r="67" spans="4:21">
      <c r="S67" s="85">
        <f>413-222</f>
        <v>191</v>
      </c>
      <c r="U67" s="552">
        <v>108653</v>
      </c>
    </row>
    <row r="68" spans="4:21">
      <c r="S68" s="552">
        <f>S67*440</f>
        <v>84040</v>
      </c>
    </row>
    <row r="69" spans="4:21">
      <c r="N69" s="85" t="s">
        <v>422</v>
      </c>
      <c r="O69" s="85">
        <v>0</v>
      </c>
      <c r="U69" s="555">
        <f>U67-U65</f>
        <v>59051.328000000001</v>
      </c>
    </row>
    <row r="70" spans="4:21">
      <c r="N70" s="85" t="s">
        <v>424</v>
      </c>
      <c r="O70" s="85">
        <v>0</v>
      </c>
    </row>
    <row r="71" spans="4:21">
      <c r="N71" s="85" t="s">
        <v>426</v>
      </c>
      <c r="O71" s="85">
        <v>0</v>
      </c>
    </row>
    <row r="72" spans="4:21">
      <c r="N72" s="85" t="s">
        <v>428</v>
      </c>
      <c r="O72" s="85">
        <v>0</v>
      </c>
      <c r="S72" s="555">
        <f>T65+U69</f>
        <v>156850.56799999997</v>
      </c>
    </row>
    <row r="73" spans="4:21">
      <c r="N73" s="85" t="s">
        <v>430</v>
      </c>
      <c r="O73" s="85">
        <v>0</v>
      </c>
    </row>
    <row r="74" spans="4:21">
      <c r="N74" s="85" t="s">
        <v>432</v>
      </c>
      <c r="O74" s="85">
        <v>0</v>
      </c>
    </row>
    <row r="75" spans="4:21">
      <c r="N75" s="85" t="s">
        <v>276</v>
      </c>
      <c r="O75" s="85">
        <v>56093.799999999996</v>
      </c>
      <c r="T75" s="555">
        <f>S68+U69</f>
        <v>143091.32800000001</v>
      </c>
    </row>
    <row r="76" spans="4:21">
      <c r="N76" s="85" t="s">
        <v>293</v>
      </c>
      <c r="O76" s="85">
        <v>5609.38</v>
      </c>
    </row>
    <row r="77" spans="4:21">
      <c r="N77" s="85" t="s">
        <v>436</v>
      </c>
      <c r="O77" s="85">
        <v>0</v>
      </c>
      <c r="S77" s="555">
        <f>342747.7-T75</f>
        <v>199656.372</v>
      </c>
    </row>
    <row r="78" spans="4:21">
      <c r="D78" s="2145" t="s">
        <v>667</v>
      </c>
      <c r="E78" s="2145"/>
      <c r="N78" s="85" t="s">
        <v>400</v>
      </c>
      <c r="O78" s="85">
        <v>0</v>
      </c>
    </row>
    <row r="79" spans="4:21">
      <c r="M79" s="85" t="s">
        <v>421</v>
      </c>
      <c r="N79" s="85" t="s">
        <v>438</v>
      </c>
      <c r="O79" s="85">
        <v>0</v>
      </c>
    </row>
    <row r="80" spans="4:21">
      <c r="M80" s="85" t="s">
        <v>423</v>
      </c>
      <c r="N80" s="85">
        <v>0</v>
      </c>
    </row>
    <row r="81" spans="13:14">
      <c r="M81" s="85" t="s">
        <v>425</v>
      </c>
      <c r="N81" s="85">
        <v>0</v>
      </c>
    </row>
    <row r="82" spans="13:14">
      <c r="M82" s="85" t="s">
        <v>427</v>
      </c>
      <c r="N82" s="85">
        <v>61451.600000000006</v>
      </c>
    </row>
    <row r="83" spans="13:14">
      <c r="M83" s="85" t="s">
        <v>429</v>
      </c>
      <c r="N83" s="85">
        <v>0</v>
      </c>
    </row>
    <row r="84" spans="13:14">
      <c r="M84" s="85" t="s">
        <v>431</v>
      </c>
      <c r="N84" s="85">
        <v>0</v>
      </c>
    </row>
    <row r="85" spans="13:14">
      <c r="M85" s="85" t="s">
        <v>433</v>
      </c>
      <c r="N85" s="85">
        <v>0</v>
      </c>
    </row>
    <row r="86" spans="13:14">
      <c r="M86" s="85" t="s">
        <v>434</v>
      </c>
      <c r="N86" s="85">
        <v>59874.75</v>
      </c>
    </row>
    <row r="87" spans="13:14">
      <c r="M87" s="85" t="s">
        <v>435</v>
      </c>
      <c r="N87" s="85">
        <v>0</v>
      </c>
    </row>
    <row r="97" spans="4:5">
      <c r="D97" s="615"/>
    </row>
    <row r="98" spans="4:5">
      <c r="D98" s="553"/>
      <c r="E98" s="553"/>
    </row>
  </sheetData>
  <mergeCells count="86">
    <mergeCell ref="D78:E78"/>
    <mergeCell ref="B27:C27"/>
    <mergeCell ref="K27:L27"/>
    <mergeCell ref="K28:L28"/>
    <mergeCell ref="K29:L29"/>
    <mergeCell ref="K30:L30"/>
    <mergeCell ref="B31:D31"/>
    <mergeCell ref="E31:I31"/>
    <mergeCell ref="K23:L23"/>
    <mergeCell ref="K24:L24"/>
    <mergeCell ref="K25:L25"/>
    <mergeCell ref="B26:C26"/>
    <mergeCell ref="K26:L26"/>
    <mergeCell ref="B22:C22"/>
    <mergeCell ref="D22:F22"/>
    <mergeCell ref="I22:J22"/>
    <mergeCell ref="K22:L22"/>
    <mergeCell ref="M22:N22"/>
    <mergeCell ref="B21:C21"/>
    <mergeCell ref="D21:F21"/>
    <mergeCell ref="I21:J21"/>
    <mergeCell ref="K21:L21"/>
    <mergeCell ref="M21:N21"/>
    <mergeCell ref="B20:C20"/>
    <mergeCell ref="D20:F20"/>
    <mergeCell ref="I20:J20"/>
    <mergeCell ref="K20:L20"/>
    <mergeCell ref="M20:N20"/>
    <mergeCell ref="B19:C19"/>
    <mergeCell ref="D19:F19"/>
    <mergeCell ref="I19:J19"/>
    <mergeCell ref="K19:L19"/>
    <mergeCell ref="M19:N19"/>
    <mergeCell ref="B18:C18"/>
    <mergeCell ref="D18:F18"/>
    <mergeCell ref="I18:J18"/>
    <mergeCell ref="K18:L18"/>
    <mergeCell ref="M18:N18"/>
    <mergeCell ref="B17:C17"/>
    <mergeCell ref="D17:F17"/>
    <mergeCell ref="I17:J17"/>
    <mergeCell ref="K17:L17"/>
    <mergeCell ref="M17:N17"/>
    <mergeCell ref="B16:C16"/>
    <mergeCell ref="D16:F16"/>
    <mergeCell ref="I16:J16"/>
    <mergeCell ref="K16:L16"/>
    <mergeCell ref="M16:N16"/>
    <mergeCell ref="B15:C15"/>
    <mergeCell ref="D15:F15"/>
    <mergeCell ref="I15:J15"/>
    <mergeCell ref="K15:L15"/>
    <mergeCell ref="M15:N15"/>
    <mergeCell ref="B14:C14"/>
    <mergeCell ref="D14:F14"/>
    <mergeCell ref="I14:J14"/>
    <mergeCell ref="K14:L14"/>
    <mergeCell ref="M14:N14"/>
    <mergeCell ref="B13:C13"/>
    <mergeCell ref="D13:F13"/>
    <mergeCell ref="I13:J13"/>
    <mergeCell ref="K13:L13"/>
    <mergeCell ref="M13:N13"/>
    <mergeCell ref="B12:C12"/>
    <mergeCell ref="D12:F12"/>
    <mergeCell ref="I12:J12"/>
    <mergeCell ref="K12:L12"/>
    <mergeCell ref="M12:N12"/>
    <mergeCell ref="B11:C11"/>
    <mergeCell ref="D11:F11"/>
    <mergeCell ref="I11:J11"/>
    <mergeCell ref="K11:L11"/>
    <mergeCell ref="M11:N11"/>
    <mergeCell ref="B10:C10"/>
    <mergeCell ref="D10:F10"/>
    <mergeCell ref="I10:J10"/>
    <mergeCell ref="K10:L10"/>
    <mergeCell ref="M10:N10"/>
    <mergeCell ref="D2:K2"/>
    <mergeCell ref="D3:K3"/>
    <mergeCell ref="D4:K4"/>
    <mergeCell ref="K5:M5"/>
    <mergeCell ref="B8:C8"/>
    <mergeCell ref="I8:J8"/>
    <mergeCell ref="K6:L6"/>
    <mergeCell ref="K7:L7"/>
  </mergeCells>
  <pageMargins left="0.2" right="0.26" top="0.3" bottom="0.37013888888888902" header="0.2" footer="0.51180555555555496"/>
  <pageSetup paperSize="9" scale="64" firstPageNumber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C52"/>
  <sheetViews>
    <sheetView view="pageBreakPreview" topLeftCell="A16" zoomScale="85" zoomScaleNormal="85" zoomScaleSheetLayoutView="85" zoomScalePageLayoutView="60" workbookViewId="0">
      <selection activeCell="K15" sqref="K15"/>
    </sheetView>
  </sheetViews>
  <sheetFormatPr defaultRowHeight="12.75"/>
  <cols>
    <col min="1" max="1" width="4.85546875" style="551" bestFit="1" customWidth="1"/>
    <col min="2" max="2" width="16.85546875" style="551" customWidth="1"/>
    <col min="3" max="3" width="6.85546875" style="551" bestFit="1" customWidth="1"/>
    <col min="4" max="4" width="14.42578125" style="551" customWidth="1"/>
    <col min="5" max="5" width="9.42578125" style="551" bestFit="1" customWidth="1"/>
    <col min="6" max="6" width="9.42578125" style="551" customWidth="1"/>
    <col min="7" max="7" width="13.42578125" style="551" customWidth="1"/>
    <col min="8" max="9" width="14.85546875" style="551" hidden="1" customWidth="1"/>
    <col min="10" max="10" width="12.85546875" style="551" customWidth="1"/>
    <col min="11" max="11" width="66.5703125" style="551" customWidth="1"/>
    <col min="12" max="12" width="1" style="551" customWidth="1"/>
    <col min="13" max="13" width="10.7109375" style="551" customWidth="1"/>
    <col min="14" max="14" width="10.42578125" style="551" customWidth="1"/>
    <col min="15" max="1017" width="8.5703125" style="551"/>
  </cols>
  <sheetData>
    <row r="1" spans="1:14" ht="23.25">
      <c r="A1" s="2149" t="str">
        <f>Cons.Mat.Evalu.!A1</f>
        <v>Cross-land Construction Company</v>
      </c>
      <c r="B1" s="2149"/>
      <c r="C1" s="2149"/>
      <c r="D1" s="2149"/>
      <c r="E1" s="2149"/>
      <c r="F1" s="2149"/>
      <c r="G1" s="2149"/>
      <c r="H1" s="2149"/>
      <c r="I1" s="2149"/>
      <c r="J1" s="2149"/>
      <c r="K1" s="2149"/>
    </row>
    <row r="2" spans="1:14" ht="23.25">
      <c r="A2" s="2149" t="str">
        <f>'Summary (new)2'!A2</f>
        <v>Project: Haro sebu-Lelo-Qaqe</v>
      </c>
      <c r="B2" s="2149"/>
      <c r="C2" s="2149"/>
      <c r="D2" s="2149"/>
      <c r="E2" s="2149"/>
      <c r="F2" s="2149"/>
      <c r="G2" s="2149"/>
      <c r="H2" s="2149"/>
      <c r="I2" s="2149"/>
      <c r="J2" s="2149"/>
      <c r="K2" s="2149"/>
    </row>
    <row r="3" spans="1:14" ht="18">
      <c r="A3" s="2150" t="s">
        <v>466</v>
      </c>
      <c r="B3" s="2150"/>
      <c r="C3" s="2150"/>
      <c r="D3" s="2150"/>
      <c r="E3" s="2150"/>
      <c r="F3" s="2150"/>
      <c r="G3" s="2150"/>
      <c r="H3" s="2150"/>
      <c r="I3" s="2150"/>
      <c r="J3" s="2150"/>
      <c r="K3" s="2150"/>
    </row>
    <row r="4" spans="1:14" ht="22.5" thickBot="1">
      <c r="G4" s="625"/>
      <c r="H4" s="624"/>
      <c r="I4" s="562"/>
      <c r="J4" s="562"/>
      <c r="K4" s="626" t="str">
        <f>'Weekly Machinery Ex'!P3</f>
        <v>Week 32  ((23-29)-08-07)</v>
      </c>
    </row>
    <row r="5" spans="1:14" s="551" customFormat="1" ht="27.75" customHeight="1" thickTop="1">
      <c r="A5" s="821" t="s">
        <v>334</v>
      </c>
      <c r="B5" s="822" t="s">
        <v>301</v>
      </c>
      <c r="C5" s="822" t="s">
        <v>467</v>
      </c>
      <c r="D5" s="822" t="s">
        <v>468</v>
      </c>
      <c r="E5" s="822" t="s">
        <v>469</v>
      </c>
      <c r="F5" s="822" t="s">
        <v>470</v>
      </c>
      <c r="G5" s="822" t="s">
        <v>471</v>
      </c>
      <c r="H5" s="822" t="s">
        <v>725</v>
      </c>
      <c r="I5" s="823" t="s">
        <v>726</v>
      </c>
      <c r="J5" s="822" t="s">
        <v>728</v>
      </c>
      <c r="K5" s="824" t="s">
        <v>472</v>
      </c>
      <c r="N5" s="563"/>
    </row>
    <row r="6" spans="1:14" ht="15.75">
      <c r="A6" s="809">
        <v>1</v>
      </c>
      <c r="B6" s="810" t="s">
        <v>114</v>
      </c>
      <c r="C6" s="811">
        <v>3</v>
      </c>
      <c r="D6" s="812">
        <f>'Weekly Machinery Ex'!F11</f>
        <v>230.48000000000002</v>
      </c>
      <c r="E6" s="813">
        <f>'Weekly Machinery Ex'!G11</f>
        <v>74.66</v>
      </c>
      <c r="F6" s="813">
        <f>'Weekly Machinery Ex'!H11</f>
        <v>0.33</v>
      </c>
      <c r="G6" s="813">
        <f>'Weekly Machinery Ex'!S11</f>
        <v>11101</v>
      </c>
      <c r="H6" s="813"/>
      <c r="I6" s="813"/>
      <c r="J6" s="813">
        <f>IF((D6)&gt;0,G6/(D6),0)</f>
        <v>48.164699757028806</v>
      </c>
      <c r="K6" s="814" t="s">
        <v>800</v>
      </c>
      <c r="N6" s="563"/>
    </row>
    <row r="7" spans="1:14" ht="15.75">
      <c r="A7" s="809">
        <v>2</v>
      </c>
      <c r="B7" s="810" t="s">
        <v>120</v>
      </c>
      <c r="C7" s="811">
        <v>1</v>
      </c>
      <c r="D7" s="812">
        <f>'Weekly Machinery Ex'!F15</f>
        <v>47.830000000000005</v>
      </c>
      <c r="E7" s="813">
        <f>'Weekly Machinery Ex'!G15</f>
        <v>11.2</v>
      </c>
      <c r="F7" s="813">
        <f>'Weekly Machinery Ex'!H15</f>
        <v>0</v>
      </c>
      <c r="G7" s="813">
        <f>'Weekly Machinery Ex'!S15</f>
        <v>624</v>
      </c>
      <c r="H7" s="813"/>
      <c r="I7" s="813"/>
      <c r="J7" s="813">
        <f t="shared" ref="J7:J20" si="0">IF((D7)&gt;0,G7/(D7),0)</f>
        <v>13.046205310474596</v>
      </c>
      <c r="K7" s="814" t="s">
        <v>801</v>
      </c>
      <c r="N7" s="563"/>
    </row>
    <row r="8" spans="1:14" ht="15.75">
      <c r="A8" s="809">
        <v>3</v>
      </c>
      <c r="B8" s="810" t="s">
        <v>194</v>
      </c>
      <c r="C8" s="811">
        <v>2</v>
      </c>
      <c r="D8" s="812">
        <f>'Weekly Machinery Ex'!F19</f>
        <v>34.33</v>
      </c>
      <c r="E8" s="813">
        <f>'Weekly Machinery Ex'!G19</f>
        <v>61</v>
      </c>
      <c r="F8" s="813">
        <f>'Weekly Machinery Ex'!H19</f>
        <v>0</v>
      </c>
      <c r="G8" s="813">
        <f>'Weekly Machinery Ex'!S19</f>
        <v>285</v>
      </c>
      <c r="H8" s="813"/>
      <c r="I8" s="813"/>
      <c r="J8" s="813">
        <f t="shared" si="0"/>
        <v>8.3017768715409268</v>
      </c>
      <c r="K8" s="814" t="s">
        <v>802</v>
      </c>
      <c r="N8" s="563"/>
    </row>
    <row r="9" spans="1:14" ht="15.75">
      <c r="A9" s="809">
        <v>4</v>
      </c>
      <c r="B9" s="810" t="s">
        <v>126</v>
      </c>
      <c r="C9" s="811">
        <v>4</v>
      </c>
      <c r="D9" s="812">
        <f>'Weekly Machinery Ex'!F25</f>
        <v>115.82000000000001</v>
      </c>
      <c r="E9" s="813">
        <f>'Weekly Machinery Ex'!G25</f>
        <v>73.08</v>
      </c>
      <c r="F9" s="813">
        <f>'Weekly Machinery Ex'!H25</f>
        <v>0</v>
      </c>
      <c r="G9" s="813">
        <f>'Weekly Machinery Ex'!S25</f>
        <v>1450</v>
      </c>
      <c r="H9" s="813"/>
      <c r="I9" s="813"/>
      <c r="J9" s="813">
        <f t="shared" si="0"/>
        <v>12.519426696598169</v>
      </c>
      <c r="K9" s="814" t="s">
        <v>803</v>
      </c>
      <c r="L9" s="563"/>
      <c r="N9" s="563"/>
    </row>
    <row r="10" spans="1:14" ht="15.75">
      <c r="A10" s="809">
        <v>5</v>
      </c>
      <c r="B10" s="810" t="s">
        <v>195</v>
      </c>
      <c r="C10" s="811">
        <v>1</v>
      </c>
      <c r="D10" s="812">
        <f>'Weekly Machinery Ex'!F29</f>
        <v>38.5</v>
      </c>
      <c r="E10" s="813">
        <f>'Weekly Machinery Ex'!G29</f>
        <v>15.8</v>
      </c>
      <c r="F10" s="813">
        <f>'Weekly Machinery Ex'!H29:H29</f>
        <v>0</v>
      </c>
      <c r="G10" s="813">
        <f>'Weekly Machinery Ex'!S29</f>
        <v>586</v>
      </c>
      <c r="H10" s="813"/>
      <c r="I10" s="813"/>
      <c r="J10" s="813">
        <f t="shared" si="0"/>
        <v>15.220779220779221</v>
      </c>
      <c r="K10" s="814" t="s">
        <v>932</v>
      </c>
      <c r="M10" s="557"/>
      <c r="N10" s="1378"/>
    </row>
    <row r="11" spans="1:14" ht="15.75">
      <c r="A11" s="809">
        <v>6</v>
      </c>
      <c r="B11" s="810" t="s">
        <v>132</v>
      </c>
      <c r="C11" s="811">
        <v>1</v>
      </c>
      <c r="D11" s="812">
        <f>'Weekly Machinery Ex'!F32</f>
        <v>32.5</v>
      </c>
      <c r="E11" s="813">
        <f>'Weekly Machinery Ex'!G32</f>
        <v>24.5</v>
      </c>
      <c r="F11" s="813">
        <f>'Weekly Machinery Ex'!H32</f>
        <v>0</v>
      </c>
      <c r="G11" s="813">
        <f>'Weekly Machinery Ex'!S32</f>
        <v>21</v>
      </c>
      <c r="H11" s="813"/>
      <c r="I11" s="813"/>
      <c r="J11" s="813">
        <f t="shared" si="0"/>
        <v>0.64615384615384619</v>
      </c>
      <c r="K11" s="814" t="s">
        <v>804</v>
      </c>
      <c r="N11" s="563"/>
    </row>
    <row r="12" spans="1:14" ht="15.75">
      <c r="A12" s="809">
        <v>7</v>
      </c>
      <c r="B12" s="810" t="s">
        <v>141</v>
      </c>
      <c r="C12" s="811">
        <v>2</v>
      </c>
      <c r="D12" s="812">
        <f>'Weekly Machinery Ex'!F65</f>
        <v>102</v>
      </c>
      <c r="E12" s="813">
        <f>'Weekly Machinery Ex'!G65</f>
        <v>10</v>
      </c>
      <c r="F12" s="813">
        <f>'Weekly Machinery Ex'!H65</f>
        <v>48</v>
      </c>
      <c r="G12" s="813">
        <f>'Weekly Machinery Ex'!S65+'Weekly Machinery Ex'!S71</f>
        <v>645</v>
      </c>
      <c r="H12" s="813"/>
      <c r="I12" s="813"/>
      <c r="J12" s="813">
        <f t="shared" si="0"/>
        <v>6.3235294117647056</v>
      </c>
      <c r="K12" s="814" t="s">
        <v>933</v>
      </c>
      <c r="N12" s="1378"/>
    </row>
    <row r="13" spans="1:14" ht="15.75">
      <c r="A13" s="809">
        <v>8</v>
      </c>
      <c r="B13" s="810" t="s">
        <v>473</v>
      </c>
      <c r="C13" s="811">
        <v>3</v>
      </c>
      <c r="D13" s="812">
        <f>'Weekly Machinery Ex'!F69</f>
        <v>104</v>
      </c>
      <c r="E13" s="813">
        <f>'Weekly Machinery Ex'!G69</f>
        <v>19</v>
      </c>
      <c r="F13" s="813">
        <f>'Weekly Machinery Ex'!H69</f>
        <v>0</v>
      </c>
      <c r="G13" s="813">
        <f>'Weekly Machinery Ex'!S69</f>
        <v>396</v>
      </c>
      <c r="H13" s="813"/>
      <c r="I13" s="813"/>
      <c r="J13" s="813">
        <f t="shared" si="0"/>
        <v>3.8076923076923075</v>
      </c>
      <c r="K13" s="814" t="s">
        <v>932</v>
      </c>
      <c r="N13" s="563"/>
    </row>
    <row r="14" spans="1:14" ht="15.75">
      <c r="A14" s="809">
        <v>9</v>
      </c>
      <c r="B14" s="810" t="s">
        <v>347</v>
      </c>
      <c r="C14" s="811">
        <v>3</v>
      </c>
      <c r="D14" s="812">
        <f>'Weekly Machinery Ex'!F86</f>
        <v>92</v>
      </c>
      <c r="E14" s="813">
        <f>'Weekly Machinery Ex'!G86</f>
        <v>0</v>
      </c>
      <c r="F14" s="813">
        <f>'Weekly Machinery Ex'!H86</f>
        <v>0</v>
      </c>
      <c r="G14" s="813">
        <f>'Weekly Machinery Ex'!S86</f>
        <v>70</v>
      </c>
      <c r="H14" s="813"/>
      <c r="I14" s="813"/>
      <c r="J14" s="813">
        <f t="shared" si="0"/>
        <v>0.76086956521739135</v>
      </c>
      <c r="K14" s="814"/>
      <c r="N14" s="563"/>
    </row>
    <row r="15" spans="1:14" ht="18" customHeight="1">
      <c r="A15" s="809">
        <v>10</v>
      </c>
      <c r="B15" s="810" t="s">
        <v>196</v>
      </c>
      <c r="C15" s="811">
        <v>3</v>
      </c>
      <c r="D15" s="812">
        <f>'Weekly Machinery Ex'!F39</f>
        <v>0</v>
      </c>
      <c r="E15" s="813">
        <f>'Weekly Machinery Ex'!G39</f>
        <v>0</v>
      </c>
      <c r="F15" s="813">
        <f>'Weekly Machinery Ex'!H39</f>
        <v>0</v>
      </c>
      <c r="G15" s="813">
        <f>'Weekly Machinery Ex'!S39</f>
        <v>0</v>
      </c>
      <c r="H15" s="813"/>
      <c r="I15" s="813"/>
      <c r="J15" s="813">
        <f t="shared" si="0"/>
        <v>0</v>
      </c>
      <c r="K15" s="814"/>
      <c r="N15" s="563"/>
    </row>
    <row r="16" spans="1:14" ht="15.75">
      <c r="A16" s="809">
        <v>11</v>
      </c>
      <c r="B16" s="810" t="s">
        <v>474</v>
      </c>
      <c r="C16" s="811">
        <v>3</v>
      </c>
      <c r="D16" s="812">
        <f>'Weekly Machinery Ex'!F48</f>
        <v>0</v>
      </c>
      <c r="E16" s="813">
        <f>'Weekly Machinery Ex'!G48</f>
        <v>0</v>
      </c>
      <c r="F16" s="813">
        <f>'Weekly Machinery Ex'!H48</f>
        <v>0</v>
      </c>
      <c r="G16" s="813">
        <f>'Weekly Machinery Ex'!S48</f>
        <v>0</v>
      </c>
      <c r="H16" s="813"/>
      <c r="I16" s="813"/>
      <c r="J16" s="813">
        <f t="shared" si="0"/>
        <v>0</v>
      </c>
      <c r="K16" s="815"/>
      <c r="N16" s="563"/>
    </row>
    <row r="17" spans="1:1017" ht="15.75">
      <c r="A17" s="809">
        <v>12</v>
      </c>
      <c r="B17" s="810" t="s">
        <v>475</v>
      </c>
      <c r="C17" s="811">
        <v>1</v>
      </c>
      <c r="D17" s="812">
        <f>'Weekly Machinery Ex'!F78</f>
        <v>70</v>
      </c>
      <c r="E17" s="813">
        <f>'Weekly Machinery Ex'!G78</f>
        <v>0</v>
      </c>
      <c r="F17" s="813">
        <f>'Weekly Machinery Ex'!H78</f>
        <v>0</v>
      </c>
      <c r="G17" s="813">
        <f>'Weekly Machinery Ex'!S78</f>
        <v>0</v>
      </c>
      <c r="H17" s="813"/>
      <c r="I17" s="813"/>
      <c r="J17" s="813">
        <f t="shared" si="0"/>
        <v>0</v>
      </c>
      <c r="K17" s="814"/>
      <c r="M17" s="558">
        <f>G21-'Summary (new)2'!B15</f>
        <v>3414</v>
      </c>
      <c r="N17" s="564"/>
    </row>
    <row r="18" spans="1:1017" ht="15.75">
      <c r="A18" s="809">
        <v>13</v>
      </c>
      <c r="B18" s="810" t="s">
        <v>198</v>
      </c>
      <c r="C18" s="811">
        <v>1</v>
      </c>
      <c r="D18" s="812">
        <f>'Weekly Machinery Ex'!F59</f>
        <v>0</v>
      </c>
      <c r="E18" s="813">
        <f>'Weekly Machinery Ex'!G59</f>
        <v>0</v>
      </c>
      <c r="F18" s="813">
        <f>'Weekly Machinery Ex'!H59</f>
        <v>0</v>
      </c>
      <c r="G18" s="813">
        <f>'Weekly Machinery Ex'!S59</f>
        <v>0</v>
      </c>
      <c r="H18" s="813"/>
      <c r="I18" s="813"/>
      <c r="J18" s="813">
        <f t="shared" si="0"/>
        <v>0</v>
      </c>
      <c r="K18" s="762"/>
    </row>
    <row r="19" spans="1:1017" ht="15.75">
      <c r="A19" s="809">
        <v>14</v>
      </c>
      <c r="B19" s="810" t="s">
        <v>476</v>
      </c>
      <c r="C19" s="811"/>
      <c r="D19" s="812">
        <f>'Weekly Machinery Ex'!F93</f>
        <v>0</v>
      </c>
      <c r="E19" s="813">
        <f>'Weekly Machinery Ex'!G93</f>
        <v>0</v>
      </c>
      <c r="F19" s="813">
        <f>'Weekly Machinery Ex'!H93</f>
        <v>0</v>
      </c>
      <c r="G19" s="813">
        <f>'Weekly Machinery Ex'!S93</f>
        <v>0</v>
      </c>
      <c r="H19" s="813"/>
      <c r="I19" s="813"/>
      <c r="J19" s="813">
        <f t="shared" si="0"/>
        <v>0</v>
      </c>
      <c r="K19" s="815"/>
    </row>
    <row r="20" spans="1:1017" ht="15.75">
      <c r="A20" s="825">
        <v>15</v>
      </c>
      <c r="B20" s="816" t="s">
        <v>137</v>
      </c>
      <c r="C20" s="817">
        <v>1</v>
      </c>
      <c r="D20" s="818">
        <f>'Weekly Machinery Ex'!F50</f>
        <v>0</v>
      </c>
      <c r="E20" s="819"/>
      <c r="F20" s="819"/>
      <c r="G20" s="819">
        <f>'Weekly Machinery Ex'!S50</f>
        <v>0</v>
      </c>
      <c r="H20" s="819"/>
      <c r="I20" s="819"/>
      <c r="J20" s="819">
        <f t="shared" si="0"/>
        <v>0</v>
      </c>
      <c r="K20" s="826"/>
    </row>
    <row r="21" spans="1:1017" s="563" customFormat="1" ht="15.75">
      <c r="A21" s="832"/>
      <c r="B21" s="833" t="s">
        <v>477</v>
      </c>
      <c r="C21" s="834"/>
      <c r="D21" s="835"/>
      <c r="E21" s="833"/>
      <c r="F21" s="833"/>
      <c r="G21" s="836">
        <f>SUM(G6:G20)</f>
        <v>15178</v>
      </c>
      <c r="H21" s="836"/>
      <c r="I21" s="836"/>
      <c r="J21" s="836"/>
      <c r="K21" s="837"/>
      <c r="M21" s="564"/>
    </row>
    <row r="22" spans="1:1017" ht="16.5" customHeight="1">
      <c r="A22" s="1380"/>
      <c r="B22" s="833" t="s">
        <v>302</v>
      </c>
      <c r="C22" s="1381"/>
      <c r="D22" s="1382"/>
      <c r="E22" s="1383"/>
      <c r="F22" s="1383"/>
      <c r="G22" s="1383"/>
      <c r="H22" s="1383"/>
      <c r="I22" s="1383"/>
      <c r="J22" s="1384"/>
      <c r="K22" s="1385"/>
    </row>
    <row r="23" spans="1:1017" ht="15.75">
      <c r="A23" s="827">
        <v>1</v>
      </c>
      <c r="B23" s="829" t="s">
        <v>126</v>
      </c>
      <c r="C23" s="828">
        <v>1</v>
      </c>
      <c r="D23" s="1379">
        <f>'Weekly Machinery Ex'!F96</f>
        <v>45.49</v>
      </c>
      <c r="E23" s="1379">
        <f>'Weekly Machinery Ex'!G96</f>
        <v>0.27</v>
      </c>
      <c r="F23" s="1379">
        <f>'Weekly Machinery Ex'!H96</f>
        <v>0</v>
      </c>
      <c r="G23" s="830">
        <f>'Weekly Machinery Ex'!S96</f>
        <v>591</v>
      </c>
      <c r="H23" s="830"/>
      <c r="I23" s="830"/>
      <c r="J23" s="830">
        <f t="shared" ref="J23:J30" si="1">IF((D23+H23)&gt;0,G23/(D23+H23),0)</f>
        <v>12.991866344251484</v>
      </c>
      <c r="K23" s="831" t="s">
        <v>776</v>
      </c>
    </row>
    <row r="24" spans="1:1017" s="85" customFormat="1" ht="15.75">
      <c r="A24" s="2154">
        <v>2</v>
      </c>
      <c r="B24" s="2156" t="s">
        <v>141</v>
      </c>
      <c r="C24" s="2158">
        <v>5</v>
      </c>
      <c r="D24" s="2160">
        <f>'Weekly Machinery Ex'!F97+'Weekly Machinery Ex'!F98+'Weekly Machinery Ex'!F102+'Weekly Machinery Ex'!F103+'Weekly Machinery Ex'!F104</f>
        <v>140.95999999999998</v>
      </c>
      <c r="E24" s="2160">
        <f>'Weekly Machinery Ex'!G97+'Weekly Machinery Ex'!G98+'Weekly Machinery Ex'!G102+'Weekly Machinery Ex'!G103+'Weekly Machinery Ex'!G104</f>
        <v>5.1899999999999995</v>
      </c>
      <c r="F24" s="2160">
        <f>'Weekly Machinery Ex'!H97+'Weekly Machinery Ex'!H98+'Weekly Machinery Ex'!H102+'Weekly Machinery Ex'!H103+'Weekly Machinery Ex'!H104</f>
        <v>0</v>
      </c>
      <c r="G24" s="2160">
        <f>'Weekly Machinery Ex'!S97+'Weekly Machinery Ex'!S98+'Weekly Machinery Ex'!S102+'Weekly Machinery Ex'!S103+'Weekly Machinery Ex'!S104</f>
        <v>915</v>
      </c>
      <c r="H24" s="901"/>
      <c r="I24" s="901"/>
      <c r="J24" s="2160">
        <f>IF((D24+H25)&gt;0,G24/(D24+H25),0)</f>
        <v>6.4912031782065842</v>
      </c>
      <c r="K24" s="762" t="s">
        <v>805</v>
      </c>
      <c r="L24" s="551"/>
      <c r="M24" s="551"/>
      <c r="N24" s="551"/>
      <c r="O24" s="551"/>
      <c r="P24" s="551"/>
      <c r="Q24" s="551"/>
      <c r="R24" s="551"/>
      <c r="S24" s="551"/>
      <c r="T24" s="551"/>
      <c r="U24" s="551"/>
      <c r="V24" s="551"/>
      <c r="W24" s="551"/>
      <c r="X24" s="551"/>
      <c r="Y24" s="551"/>
      <c r="Z24" s="551"/>
      <c r="AA24" s="551"/>
      <c r="AB24" s="551"/>
      <c r="AC24" s="551"/>
      <c r="AD24" s="551"/>
      <c r="AE24" s="551"/>
      <c r="AF24" s="551"/>
      <c r="AG24" s="551"/>
      <c r="AH24" s="551"/>
      <c r="AI24" s="551"/>
      <c r="AJ24" s="551"/>
      <c r="AK24" s="551"/>
      <c r="AL24" s="551"/>
      <c r="AM24" s="551"/>
      <c r="AN24" s="551"/>
      <c r="AO24" s="551"/>
      <c r="AP24" s="551"/>
      <c r="AQ24" s="551"/>
      <c r="AR24" s="551"/>
      <c r="AS24" s="551"/>
      <c r="AT24" s="551"/>
      <c r="AU24" s="551"/>
      <c r="AV24" s="551"/>
      <c r="AW24" s="551"/>
      <c r="AX24" s="551"/>
      <c r="AY24" s="551"/>
      <c r="AZ24" s="551"/>
      <c r="BA24" s="551"/>
      <c r="BB24" s="551"/>
      <c r="BC24" s="551"/>
      <c r="BD24" s="551"/>
      <c r="BE24" s="551"/>
      <c r="BF24" s="551"/>
      <c r="BG24" s="551"/>
      <c r="BH24" s="551"/>
      <c r="BI24" s="551"/>
      <c r="BJ24" s="551"/>
      <c r="BK24" s="551"/>
      <c r="BL24" s="551"/>
      <c r="BM24" s="551"/>
      <c r="BN24" s="551"/>
      <c r="BO24" s="551"/>
      <c r="BP24" s="551"/>
      <c r="BQ24" s="551"/>
      <c r="BR24" s="551"/>
      <c r="BS24" s="551"/>
      <c r="BT24" s="551"/>
      <c r="BU24" s="551"/>
      <c r="BV24" s="551"/>
      <c r="BW24" s="551"/>
      <c r="BX24" s="551"/>
      <c r="BY24" s="551"/>
      <c r="BZ24" s="551"/>
      <c r="CA24" s="551"/>
      <c r="CB24" s="551"/>
      <c r="CC24" s="551"/>
      <c r="CD24" s="551"/>
      <c r="CE24" s="551"/>
      <c r="CF24" s="551"/>
      <c r="CG24" s="551"/>
      <c r="CH24" s="551"/>
      <c r="CI24" s="551"/>
      <c r="CJ24" s="551"/>
      <c r="CK24" s="551"/>
      <c r="CL24" s="551"/>
      <c r="CM24" s="551"/>
      <c r="CN24" s="551"/>
      <c r="CO24" s="551"/>
      <c r="CP24" s="551"/>
      <c r="CQ24" s="551"/>
      <c r="CR24" s="551"/>
      <c r="CS24" s="551"/>
      <c r="CT24" s="551"/>
      <c r="CU24" s="551"/>
      <c r="CV24" s="551"/>
      <c r="CW24" s="551"/>
      <c r="CX24" s="551"/>
      <c r="CY24" s="551"/>
      <c r="CZ24" s="551"/>
      <c r="DA24" s="551"/>
      <c r="DB24" s="551"/>
      <c r="DC24" s="551"/>
      <c r="DD24" s="551"/>
      <c r="DE24" s="551"/>
      <c r="DF24" s="551"/>
      <c r="DG24" s="551"/>
      <c r="DH24" s="551"/>
      <c r="DI24" s="551"/>
      <c r="DJ24" s="551"/>
      <c r="DK24" s="551"/>
      <c r="DL24" s="551"/>
      <c r="DM24" s="551"/>
      <c r="DN24" s="551"/>
      <c r="DO24" s="551"/>
      <c r="DP24" s="551"/>
      <c r="DQ24" s="551"/>
      <c r="DR24" s="551"/>
      <c r="DS24" s="551"/>
      <c r="DT24" s="551"/>
      <c r="DU24" s="551"/>
      <c r="DV24" s="551"/>
      <c r="DW24" s="551"/>
      <c r="DX24" s="551"/>
      <c r="DY24" s="551"/>
      <c r="DZ24" s="551"/>
      <c r="EA24" s="551"/>
      <c r="EB24" s="551"/>
      <c r="EC24" s="551"/>
      <c r="ED24" s="551"/>
      <c r="EE24" s="551"/>
      <c r="EF24" s="551"/>
      <c r="EG24" s="551"/>
      <c r="EH24" s="551"/>
      <c r="EI24" s="551"/>
      <c r="EJ24" s="551"/>
      <c r="EK24" s="551"/>
      <c r="EL24" s="551"/>
      <c r="EM24" s="551"/>
      <c r="EN24" s="551"/>
      <c r="EO24" s="551"/>
      <c r="EP24" s="551"/>
      <c r="EQ24" s="551"/>
      <c r="ER24" s="551"/>
      <c r="ES24" s="551"/>
      <c r="ET24" s="551"/>
      <c r="EU24" s="551"/>
      <c r="EV24" s="551"/>
      <c r="EW24" s="551"/>
      <c r="EX24" s="551"/>
      <c r="EY24" s="551"/>
      <c r="EZ24" s="551"/>
      <c r="FA24" s="551"/>
      <c r="FB24" s="551"/>
      <c r="FC24" s="551"/>
      <c r="FD24" s="551"/>
      <c r="FE24" s="551"/>
      <c r="FF24" s="551"/>
      <c r="FG24" s="551"/>
      <c r="FH24" s="551"/>
      <c r="FI24" s="551"/>
      <c r="FJ24" s="551"/>
      <c r="FK24" s="551"/>
      <c r="FL24" s="551"/>
      <c r="FM24" s="551"/>
      <c r="FN24" s="551"/>
      <c r="FO24" s="551"/>
      <c r="FP24" s="551"/>
      <c r="FQ24" s="551"/>
      <c r="FR24" s="551"/>
      <c r="FS24" s="551"/>
      <c r="FT24" s="551"/>
      <c r="FU24" s="551"/>
      <c r="FV24" s="551"/>
      <c r="FW24" s="551"/>
      <c r="FX24" s="551"/>
      <c r="FY24" s="551"/>
      <c r="FZ24" s="551"/>
      <c r="GA24" s="551"/>
      <c r="GB24" s="551"/>
      <c r="GC24" s="551"/>
      <c r="GD24" s="551"/>
      <c r="GE24" s="551"/>
      <c r="GF24" s="551"/>
      <c r="GG24" s="551"/>
      <c r="GH24" s="551"/>
      <c r="GI24" s="551"/>
      <c r="GJ24" s="551"/>
      <c r="GK24" s="551"/>
      <c r="GL24" s="551"/>
      <c r="GM24" s="551"/>
      <c r="GN24" s="551"/>
      <c r="GO24" s="551"/>
      <c r="GP24" s="551"/>
      <c r="GQ24" s="551"/>
      <c r="GR24" s="551"/>
      <c r="GS24" s="551"/>
      <c r="GT24" s="551"/>
      <c r="GU24" s="551"/>
      <c r="GV24" s="551"/>
      <c r="GW24" s="551"/>
      <c r="GX24" s="551"/>
      <c r="GY24" s="551"/>
      <c r="GZ24" s="551"/>
      <c r="HA24" s="551"/>
      <c r="HB24" s="551"/>
      <c r="HC24" s="551"/>
      <c r="HD24" s="551"/>
      <c r="HE24" s="551"/>
      <c r="HF24" s="551"/>
      <c r="HG24" s="551"/>
      <c r="HH24" s="551"/>
      <c r="HI24" s="551"/>
      <c r="HJ24" s="551"/>
      <c r="HK24" s="551"/>
      <c r="HL24" s="551"/>
      <c r="HM24" s="551"/>
      <c r="HN24" s="551"/>
      <c r="HO24" s="551"/>
      <c r="HP24" s="551"/>
      <c r="HQ24" s="551"/>
      <c r="HR24" s="551"/>
      <c r="HS24" s="551"/>
      <c r="HT24" s="551"/>
      <c r="HU24" s="551"/>
      <c r="HV24" s="551"/>
      <c r="HW24" s="551"/>
      <c r="HX24" s="551"/>
      <c r="HY24" s="551"/>
      <c r="HZ24" s="551"/>
      <c r="IA24" s="551"/>
      <c r="IB24" s="551"/>
      <c r="IC24" s="551"/>
      <c r="ID24" s="551"/>
      <c r="IE24" s="551"/>
      <c r="IF24" s="551"/>
      <c r="IG24" s="551"/>
      <c r="IH24" s="551"/>
      <c r="II24" s="551"/>
      <c r="IJ24" s="551"/>
      <c r="IK24" s="551"/>
      <c r="IL24" s="551"/>
      <c r="IM24" s="551"/>
      <c r="IN24" s="551"/>
      <c r="IO24" s="551"/>
      <c r="IP24" s="551"/>
      <c r="IQ24" s="551"/>
      <c r="IR24" s="551"/>
      <c r="IS24" s="551"/>
      <c r="IT24" s="551"/>
      <c r="IU24" s="551"/>
      <c r="IV24" s="551"/>
      <c r="IW24" s="551"/>
      <c r="IX24" s="551"/>
      <c r="IY24" s="551"/>
      <c r="IZ24" s="551"/>
      <c r="JA24" s="551"/>
      <c r="JB24" s="551"/>
      <c r="JC24" s="551"/>
      <c r="JD24" s="551"/>
      <c r="JE24" s="551"/>
      <c r="JF24" s="551"/>
      <c r="JG24" s="551"/>
      <c r="JH24" s="551"/>
      <c r="JI24" s="551"/>
      <c r="JJ24" s="551"/>
      <c r="JK24" s="551"/>
      <c r="JL24" s="551"/>
      <c r="JM24" s="551"/>
      <c r="JN24" s="551"/>
      <c r="JO24" s="551"/>
      <c r="JP24" s="551"/>
      <c r="JQ24" s="551"/>
      <c r="JR24" s="551"/>
      <c r="JS24" s="551"/>
      <c r="JT24" s="551"/>
      <c r="JU24" s="551"/>
      <c r="JV24" s="551"/>
      <c r="JW24" s="551"/>
      <c r="JX24" s="551"/>
      <c r="JY24" s="551"/>
      <c r="JZ24" s="551"/>
      <c r="KA24" s="551"/>
      <c r="KB24" s="551"/>
      <c r="KC24" s="551"/>
      <c r="KD24" s="551"/>
      <c r="KE24" s="551"/>
      <c r="KF24" s="551"/>
      <c r="KG24" s="551"/>
      <c r="KH24" s="551"/>
      <c r="KI24" s="551"/>
      <c r="KJ24" s="551"/>
      <c r="KK24" s="551"/>
      <c r="KL24" s="551"/>
      <c r="KM24" s="551"/>
      <c r="KN24" s="551"/>
      <c r="KO24" s="551"/>
      <c r="KP24" s="551"/>
      <c r="KQ24" s="551"/>
      <c r="KR24" s="551"/>
      <c r="KS24" s="551"/>
      <c r="KT24" s="551"/>
      <c r="KU24" s="551"/>
      <c r="KV24" s="551"/>
      <c r="KW24" s="551"/>
      <c r="KX24" s="551"/>
      <c r="KY24" s="551"/>
      <c r="KZ24" s="551"/>
      <c r="LA24" s="551"/>
      <c r="LB24" s="551"/>
      <c r="LC24" s="551"/>
      <c r="LD24" s="551"/>
      <c r="LE24" s="551"/>
      <c r="LF24" s="551"/>
      <c r="LG24" s="551"/>
      <c r="LH24" s="551"/>
      <c r="LI24" s="551"/>
      <c r="LJ24" s="551"/>
      <c r="LK24" s="551"/>
      <c r="LL24" s="551"/>
      <c r="LM24" s="551"/>
      <c r="LN24" s="551"/>
      <c r="LO24" s="551"/>
      <c r="LP24" s="551"/>
      <c r="LQ24" s="551"/>
      <c r="LR24" s="551"/>
      <c r="LS24" s="551"/>
      <c r="LT24" s="551"/>
      <c r="LU24" s="551"/>
      <c r="LV24" s="551"/>
      <c r="LW24" s="551"/>
      <c r="LX24" s="551"/>
      <c r="LY24" s="551"/>
      <c r="LZ24" s="551"/>
      <c r="MA24" s="551"/>
      <c r="MB24" s="551"/>
      <c r="MC24" s="551"/>
      <c r="MD24" s="551"/>
      <c r="ME24" s="551"/>
      <c r="MF24" s="551"/>
      <c r="MG24" s="551"/>
      <c r="MH24" s="551"/>
      <c r="MI24" s="551"/>
      <c r="MJ24" s="551"/>
      <c r="MK24" s="551"/>
      <c r="ML24" s="551"/>
      <c r="MM24" s="551"/>
      <c r="MN24" s="551"/>
      <c r="MO24" s="551"/>
      <c r="MP24" s="551"/>
      <c r="MQ24" s="551"/>
      <c r="MR24" s="551"/>
      <c r="MS24" s="551"/>
      <c r="MT24" s="551"/>
      <c r="MU24" s="551"/>
      <c r="MV24" s="551"/>
      <c r="MW24" s="551"/>
      <c r="MX24" s="551"/>
      <c r="MY24" s="551"/>
      <c r="MZ24" s="551"/>
      <c r="NA24" s="551"/>
      <c r="NB24" s="551"/>
      <c r="NC24" s="551"/>
      <c r="ND24" s="551"/>
      <c r="NE24" s="551"/>
      <c r="NF24" s="551"/>
      <c r="NG24" s="551"/>
      <c r="NH24" s="551"/>
      <c r="NI24" s="551"/>
      <c r="NJ24" s="551"/>
      <c r="NK24" s="551"/>
      <c r="NL24" s="551"/>
      <c r="NM24" s="551"/>
      <c r="NN24" s="551"/>
      <c r="NO24" s="551"/>
      <c r="NP24" s="551"/>
      <c r="NQ24" s="551"/>
      <c r="NR24" s="551"/>
      <c r="NS24" s="551"/>
      <c r="NT24" s="551"/>
      <c r="NU24" s="551"/>
      <c r="NV24" s="551"/>
      <c r="NW24" s="551"/>
      <c r="NX24" s="551"/>
      <c r="NY24" s="551"/>
      <c r="NZ24" s="551"/>
      <c r="OA24" s="551"/>
      <c r="OB24" s="551"/>
      <c r="OC24" s="551"/>
      <c r="OD24" s="551"/>
      <c r="OE24" s="551"/>
      <c r="OF24" s="551"/>
      <c r="OG24" s="551"/>
      <c r="OH24" s="551"/>
      <c r="OI24" s="551"/>
      <c r="OJ24" s="551"/>
      <c r="OK24" s="551"/>
      <c r="OL24" s="551"/>
      <c r="OM24" s="551"/>
      <c r="ON24" s="551"/>
      <c r="OO24" s="551"/>
      <c r="OP24" s="551"/>
      <c r="OQ24" s="551"/>
      <c r="OR24" s="551"/>
      <c r="OS24" s="551"/>
      <c r="OT24" s="551"/>
      <c r="OU24" s="551"/>
      <c r="OV24" s="551"/>
      <c r="OW24" s="551"/>
      <c r="OX24" s="551"/>
      <c r="OY24" s="551"/>
      <c r="OZ24" s="551"/>
      <c r="PA24" s="551"/>
      <c r="PB24" s="551"/>
      <c r="PC24" s="551"/>
      <c r="PD24" s="551"/>
      <c r="PE24" s="551"/>
      <c r="PF24" s="551"/>
      <c r="PG24" s="551"/>
      <c r="PH24" s="551"/>
      <c r="PI24" s="551"/>
      <c r="PJ24" s="551"/>
      <c r="PK24" s="551"/>
      <c r="PL24" s="551"/>
      <c r="PM24" s="551"/>
      <c r="PN24" s="551"/>
      <c r="PO24" s="551"/>
      <c r="PP24" s="551"/>
      <c r="PQ24" s="551"/>
      <c r="PR24" s="551"/>
      <c r="PS24" s="551"/>
      <c r="PT24" s="551"/>
      <c r="PU24" s="551"/>
      <c r="PV24" s="551"/>
      <c r="PW24" s="551"/>
      <c r="PX24" s="551"/>
      <c r="PY24" s="551"/>
      <c r="PZ24" s="551"/>
      <c r="QA24" s="551"/>
      <c r="QB24" s="551"/>
      <c r="QC24" s="551"/>
      <c r="QD24" s="551"/>
      <c r="QE24" s="551"/>
      <c r="QF24" s="551"/>
      <c r="QG24" s="551"/>
      <c r="QH24" s="551"/>
      <c r="QI24" s="551"/>
      <c r="QJ24" s="551"/>
      <c r="QK24" s="551"/>
      <c r="QL24" s="551"/>
      <c r="QM24" s="551"/>
      <c r="QN24" s="551"/>
      <c r="QO24" s="551"/>
      <c r="QP24" s="551"/>
      <c r="QQ24" s="551"/>
      <c r="QR24" s="551"/>
      <c r="QS24" s="551"/>
      <c r="QT24" s="551"/>
      <c r="QU24" s="551"/>
      <c r="QV24" s="551"/>
      <c r="QW24" s="551"/>
      <c r="QX24" s="551"/>
      <c r="QY24" s="551"/>
      <c r="QZ24" s="551"/>
      <c r="RA24" s="551"/>
      <c r="RB24" s="551"/>
      <c r="RC24" s="551"/>
      <c r="RD24" s="551"/>
      <c r="RE24" s="551"/>
      <c r="RF24" s="551"/>
      <c r="RG24" s="551"/>
      <c r="RH24" s="551"/>
      <c r="RI24" s="551"/>
      <c r="RJ24" s="551"/>
      <c r="RK24" s="551"/>
      <c r="RL24" s="551"/>
      <c r="RM24" s="551"/>
      <c r="RN24" s="551"/>
      <c r="RO24" s="551"/>
      <c r="RP24" s="551"/>
      <c r="RQ24" s="551"/>
      <c r="RR24" s="551"/>
      <c r="RS24" s="551"/>
      <c r="RT24" s="551"/>
      <c r="RU24" s="551"/>
      <c r="RV24" s="551"/>
      <c r="RW24" s="551"/>
      <c r="RX24" s="551"/>
      <c r="RY24" s="551"/>
      <c r="RZ24" s="551"/>
      <c r="SA24" s="551"/>
      <c r="SB24" s="551"/>
      <c r="SC24" s="551"/>
      <c r="SD24" s="551"/>
      <c r="SE24" s="551"/>
      <c r="SF24" s="551"/>
      <c r="SG24" s="551"/>
      <c r="SH24" s="551"/>
      <c r="SI24" s="551"/>
      <c r="SJ24" s="551"/>
      <c r="SK24" s="551"/>
      <c r="SL24" s="551"/>
      <c r="SM24" s="551"/>
      <c r="SN24" s="551"/>
      <c r="SO24" s="551"/>
      <c r="SP24" s="551"/>
      <c r="SQ24" s="551"/>
      <c r="SR24" s="551"/>
      <c r="SS24" s="551"/>
      <c r="ST24" s="551"/>
      <c r="SU24" s="551"/>
      <c r="SV24" s="551"/>
      <c r="SW24" s="551"/>
      <c r="SX24" s="551"/>
      <c r="SY24" s="551"/>
      <c r="SZ24" s="551"/>
      <c r="TA24" s="551"/>
      <c r="TB24" s="551"/>
      <c r="TC24" s="551"/>
      <c r="TD24" s="551"/>
      <c r="TE24" s="551"/>
      <c r="TF24" s="551"/>
      <c r="TG24" s="551"/>
      <c r="TH24" s="551"/>
      <c r="TI24" s="551"/>
      <c r="TJ24" s="551"/>
      <c r="TK24" s="551"/>
      <c r="TL24" s="551"/>
      <c r="TM24" s="551"/>
      <c r="TN24" s="551"/>
      <c r="TO24" s="551"/>
      <c r="TP24" s="551"/>
      <c r="TQ24" s="551"/>
      <c r="TR24" s="551"/>
      <c r="TS24" s="551"/>
      <c r="TT24" s="551"/>
      <c r="TU24" s="551"/>
      <c r="TV24" s="551"/>
      <c r="TW24" s="551"/>
      <c r="TX24" s="551"/>
      <c r="TY24" s="551"/>
      <c r="TZ24" s="551"/>
      <c r="UA24" s="551"/>
      <c r="UB24" s="551"/>
      <c r="UC24" s="551"/>
      <c r="UD24" s="551"/>
      <c r="UE24" s="551"/>
      <c r="UF24" s="551"/>
      <c r="UG24" s="551"/>
      <c r="UH24" s="551"/>
      <c r="UI24" s="551"/>
      <c r="UJ24" s="551"/>
      <c r="UK24" s="551"/>
      <c r="UL24" s="551"/>
      <c r="UM24" s="551"/>
      <c r="UN24" s="551"/>
      <c r="UO24" s="551"/>
      <c r="UP24" s="551"/>
      <c r="UQ24" s="551"/>
      <c r="UR24" s="551"/>
      <c r="US24" s="551"/>
      <c r="UT24" s="551"/>
      <c r="UU24" s="551"/>
      <c r="UV24" s="551"/>
      <c r="UW24" s="551"/>
      <c r="UX24" s="551"/>
      <c r="UY24" s="551"/>
      <c r="UZ24" s="551"/>
      <c r="VA24" s="551"/>
      <c r="VB24" s="551"/>
      <c r="VC24" s="551"/>
      <c r="VD24" s="551"/>
      <c r="VE24" s="551"/>
      <c r="VF24" s="551"/>
      <c r="VG24" s="551"/>
      <c r="VH24" s="551"/>
      <c r="VI24" s="551"/>
      <c r="VJ24" s="551"/>
      <c r="VK24" s="551"/>
      <c r="VL24" s="551"/>
      <c r="VM24" s="551"/>
      <c r="VN24" s="551"/>
      <c r="VO24" s="551"/>
      <c r="VP24" s="551"/>
      <c r="VQ24" s="551"/>
      <c r="VR24" s="551"/>
      <c r="VS24" s="551"/>
      <c r="VT24" s="551"/>
      <c r="VU24" s="551"/>
      <c r="VV24" s="551"/>
      <c r="VW24" s="551"/>
      <c r="VX24" s="551"/>
      <c r="VY24" s="551"/>
      <c r="VZ24" s="551"/>
      <c r="WA24" s="551"/>
      <c r="WB24" s="551"/>
      <c r="WC24" s="551"/>
      <c r="WD24" s="551"/>
      <c r="WE24" s="551"/>
      <c r="WF24" s="551"/>
      <c r="WG24" s="551"/>
      <c r="WH24" s="551"/>
      <c r="WI24" s="551"/>
      <c r="WJ24" s="551"/>
      <c r="WK24" s="551"/>
      <c r="WL24" s="551"/>
      <c r="WM24" s="551"/>
      <c r="WN24" s="551"/>
      <c r="WO24" s="551"/>
      <c r="WP24" s="551"/>
      <c r="WQ24" s="551"/>
      <c r="WR24" s="551"/>
      <c r="WS24" s="551"/>
      <c r="WT24" s="551"/>
      <c r="WU24" s="551"/>
      <c r="WV24" s="551"/>
      <c r="WW24" s="551"/>
      <c r="WX24" s="551"/>
      <c r="WY24" s="551"/>
      <c r="WZ24" s="551"/>
      <c r="XA24" s="551"/>
      <c r="XB24" s="551"/>
      <c r="XC24" s="551"/>
      <c r="XD24" s="551"/>
      <c r="XE24" s="551"/>
      <c r="XF24" s="551"/>
      <c r="XG24" s="551"/>
      <c r="XH24" s="551"/>
      <c r="XI24" s="551"/>
      <c r="XJ24" s="551"/>
      <c r="XK24" s="551"/>
      <c r="XL24" s="551"/>
      <c r="XM24" s="551"/>
      <c r="XN24" s="551"/>
      <c r="XO24" s="551"/>
      <c r="XP24" s="551"/>
      <c r="XQ24" s="551"/>
      <c r="XR24" s="551"/>
      <c r="XS24" s="551"/>
      <c r="XT24" s="551"/>
      <c r="XU24" s="551"/>
      <c r="XV24" s="551"/>
      <c r="XW24" s="551"/>
      <c r="XX24" s="551"/>
      <c r="XY24" s="551"/>
      <c r="XZ24" s="551"/>
      <c r="YA24" s="551"/>
      <c r="YB24" s="551"/>
      <c r="YC24" s="551"/>
      <c r="YD24" s="551"/>
      <c r="YE24" s="551"/>
      <c r="YF24" s="551"/>
      <c r="YG24" s="551"/>
      <c r="YH24" s="551"/>
      <c r="YI24" s="551"/>
      <c r="YJ24" s="551"/>
      <c r="YK24" s="551"/>
      <c r="YL24" s="551"/>
      <c r="YM24" s="551"/>
      <c r="YN24" s="551"/>
      <c r="YO24" s="551"/>
      <c r="YP24" s="551"/>
      <c r="YQ24" s="551"/>
      <c r="YR24" s="551"/>
      <c r="YS24" s="551"/>
      <c r="YT24" s="551"/>
      <c r="YU24" s="551"/>
      <c r="YV24" s="551"/>
      <c r="YW24" s="551"/>
      <c r="YX24" s="551"/>
      <c r="YY24" s="551"/>
      <c r="YZ24" s="551"/>
      <c r="ZA24" s="551"/>
      <c r="ZB24" s="551"/>
      <c r="ZC24" s="551"/>
      <c r="ZD24" s="551"/>
      <c r="ZE24" s="551"/>
      <c r="ZF24" s="551"/>
      <c r="ZG24" s="551"/>
      <c r="ZH24" s="551"/>
      <c r="ZI24" s="551"/>
      <c r="ZJ24" s="551"/>
      <c r="ZK24" s="551"/>
      <c r="ZL24" s="551"/>
      <c r="ZM24" s="551"/>
      <c r="ZN24" s="551"/>
      <c r="ZO24" s="551"/>
      <c r="ZP24" s="551"/>
      <c r="ZQ24" s="551"/>
      <c r="ZR24" s="551"/>
      <c r="ZS24" s="551"/>
      <c r="ZT24" s="551"/>
      <c r="ZU24" s="551"/>
      <c r="ZV24" s="551"/>
      <c r="ZW24" s="551"/>
      <c r="ZX24" s="551"/>
      <c r="ZY24" s="551"/>
      <c r="ZZ24" s="551"/>
      <c r="AAA24" s="551"/>
      <c r="AAB24" s="551"/>
      <c r="AAC24" s="551"/>
      <c r="AAD24" s="551"/>
      <c r="AAE24" s="551"/>
      <c r="AAF24" s="551"/>
      <c r="AAG24" s="551"/>
      <c r="AAH24" s="551"/>
      <c r="AAI24" s="551"/>
      <c r="AAJ24" s="551"/>
      <c r="AAK24" s="551"/>
      <c r="AAL24" s="551"/>
      <c r="AAM24" s="551"/>
      <c r="AAN24" s="551"/>
      <c r="AAO24" s="551"/>
      <c r="AAP24" s="551"/>
      <c r="AAQ24" s="551"/>
      <c r="AAR24" s="551"/>
      <c r="AAS24" s="551"/>
      <c r="AAT24" s="551"/>
      <c r="AAU24" s="551"/>
      <c r="AAV24" s="551"/>
      <c r="AAW24" s="551"/>
      <c r="AAX24" s="551"/>
      <c r="AAY24" s="551"/>
      <c r="AAZ24" s="551"/>
      <c r="ABA24" s="551"/>
      <c r="ABB24" s="551"/>
      <c r="ABC24" s="551"/>
      <c r="ABD24" s="551"/>
      <c r="ABE24" s="551"/>
      <c r="ABF24" s="551"/>
      <c r="ABG24" s="551"/>
      <c r="ABH24" s="551"/>
      <c r="ABI24" s="551"/>
      <c r="ABJ24" s="551"/>
      <c r="ABK24" s="551"/>
      <c r="ABL24" s="551"/>
      <c r="ABM24" s="551"/>
      <c r="ABN24" s="551"/>
      <c r="ABO24" s="551"/>
      <c r="ABP24" s="551"/>
      <c r="ABQ24" s="551"/>
      <c r="ABR24" s="551"/>
      <c r="ABS24" s="551"/>
      <c r="ABT24" s="551"/>
      <c r="ABU24" s="551"/>
      <c r="ABV24" s="551"/>
      <c r="ABW24" s="551"/>
      <c r="ABX24" s="551"/>
      <c r="ABY24" s="551"/>
      <c r="ABZ24" s="551"/>
      <c r="ACA24" s="551"/>
      <c r="ACB24" s="551"/>
      <c r="ACC24" s="551"/>
      <c r="ACD24" s="551"/>
      <c r="ACE24" s="551"/>
      <c r="ACF24" s="551"/>
      <c r="ACG24" s="551"/>
      <c r="ACH24" s="551"/>
      <c r="ACI24" s="551"/>
      <c r="ACJ24" s="551"/>
      <c r="ACK24" s="551"/>
      <c r="ACL24" s="551"/>
      <c r="ACM24" s="551"/>
      <c r="ACN24" s="551"/>
      <c r="ACO24" s="551"/>
      <c r="ACP24" s="551"/>
      <c r="ACQ24" s="551"/>
      <c r="ACR24" s="551"/>
      <c r="ACS24" s="551"/>
      <c r="ACT24" s="551"/>
      <c r="ACU24" s="551"/>
      <c r="ACV24" s="551"/>
      <c r="ACW24" s="551"/>
      <c r="ACX24" s="551"/>
      <c r="ACY24" s="551"/>
      <c r="ACZ24" s="551"/>
      <c r="ADA24" s="551"/>
      <c r="ADB24" s="551"/>
      <c r="ADC24" s="551"/>
      <c r="ADD24" s="551"/>
      <c r="ADE24" s="551"/>
      <c r="ADF24" s="551"/>
      <c r="ADG24" s="551"/>
      <c r="ADH24" s="551"/>
      <c r="ADI24" s="551"/>
      <c r="ADJ24" s="551"/>
      <c r="ADK24" s="551"/>
      <c r="ADL24" s="551"/>
      <c r="ADM24" s="551"/>
      <c r="ADN24" s="551"/>
      <c r="ADO24" s="551"/>
      <c r="ADP24" s="551"/>
      <c r="ADQ24" s="551"/>
      <c r="ADR24" s="551"/>
      <c r="ADS24" s="551"/>
      <c r="ADT24" s="551"/>
      <c r="ADU24" s="551"/>
      <c r="ADV24" s="551"/>
      <c r="ADW24" s="551"/>
      <c r="ADX24" s="551"/>
      <c r="ADY24" s="551"/>
      <c r="ADZ24" s="551"/>
      <c r="AEA24" s="551"/>
      <c r="AEB24" s="551"/>
      <c r="AEC24" s="551"/>
      <c r="AED24" s="551"/>
      <c r="AEE24" s="551"/>
      <c r="AEF24" s="551"/>
      <c r="AEG24" s="551"/>
      <c r="AEH24" s="551"/>
      <c r="AEI24" s="551"/>
      <c r="AEJ24" s="551"/>
      <c r="AEK24" s="551"/>
      <c r="AEL24" s="551"/>
      <c r="AEM24" s="551"/>
      <c r="AEN24" s="551"/>
      <c r="AEO24" s="551"/>
      <c r="AEP24" s="551"/>
      <c r="AEQ24" s="551"/>
      <c r="AER24" s="551"/>
      <c r="AES24" s="551"/>
      <c r="AET24" s="551"/>
      <c r="AEU24" s="551"/>
      <c r="AEV24" s="551"/>
      <c r="AEW24" s="551"/>
      <c r="AEX24" s="551"/>
      <c r="AEY24" s="551"/>
      <c r="AEZ24" s="551"/>
      <c r="AFA24" s="551"/>
      <c r="AFB24" s="551"/>
      <c r="AFC24" s="551"/>
      <c r="AFD24" s="551"/>
      <c r="AFE24" s="551"/>
      <c r="AFF24" s="551"/>
      <c r="AFG24" s="551"/>
      <c r="AFH24" s="551"/>
      <c r="AFI24" s="551"/>
      <c r="AFJ24" s="551"/>
      <c r="AFK24" s="551"/>
      <c r="AFL24" s="551"/>
      <c r="AFM24" s="551"/>
      <c r="AFN24" s="551"/>
      <c r="AFO24" s="551"/>
      <c r="AFP24" s="551"/>
      <c r="AFQ24" s="551"/>
      <c r="AFR24" s="551"/>
      <c r="AFS24" s="551"/>
      <c r="AFT24" s="551"/>
      <c r="AFU24" s="551"/>
      <c r="AFV24" s="551"/>
      <c r="AFW24" s="551"/>
      <c r="AFX24" s="551"/>
      <c r="AFY24" s="551"/>
      <c r="AFZ24" s="551"/>
      <c r="AGA24" s="551"/>
      <c r="AGB24" s="551"/>
      <c r="AGC24" s="551"/>
      <c r="AGD24" s="551"/>
      <c r="AGE24" s="551"/>
      <c r="AGF24" s="551"/>
      <c r="AGG24" s="551"/>
      <c r="AGH24" s="551"/>
      <c r="AGI24" s="551"/>
      <c r="AGJ24" s="551"/>
      <c r="AGK24" s="551"/>
      <c r="AGL24" s="551"/>
      <c r="AGM24" s="551"/>
      <c r="AGN24" s="551"/>
      <c r="AGO24" s="551"/>
      <c r="AGP24" s="551"/>
      <c r="AGQ24" s="551"/>
      <c r="AGR24" s="551"/>
      <c r="AGS24" s="551"/>
      <c r="AGT24" s="551"/>
      <c r="AGU24" s="551"/>
      <c r="AGV24" s="551"/>
      <c r="AGW24" s="551"/>
      <c r="AGX24" s="551"/>
      <c r="AGY24" s="551"/>
      <c r="AGZ24" s="551"/>
      <c r="AHA24" s="551"/>
      <c r="AHB24" s="551"/>
      <c r="AHC24" s="551"/>
      <c r="AHD24" s="551"/>
      <c r="AHE24" s="551"/>
      <c r="AHF24" s="551"/>
      <c r="AHG24" s="551"/>
      <c r="AHH24" s="551"/>
      <c r="AHI24" s="551"/>
      <c r="AHJ24" s="551"/>
      <c r="AHK24" s="551"/>
      <c r="AHL24" s="551"/>
      <c r="AHM24" s="551"/>
      <c r="AHN24" s="551"/>
      <c r="AHO24" s="551"/>
      <c r="AHP24" s="551"/>
      <c r="AHQ24" s="551"/>
      <c r="AHR24" s="551"/>
      <c r="AHS24" s="551"/>
      <c r="AHT24" s="551"/>
      <c r="AHU24" s="551"/>
      <c r="AHV24" s="551"/>
      <c r="AHW24" s="551"/>
      <c r="AHX24" s="551"/>
      <c r="AHY24" s="551"/>
      <c r="AHZ24" s="551"/>
      <c r="AIA24" s="551"/>
      <c r="AIB24" s="551"/>
      <c r="AIC24" s="551"/>
      <c r="AID24" s="551"/>
      <c r="AIE24" s="551"/>
      <c r="AIF24" s="551"/>
      <c r="AIG24" s="551"/>
      <c r="AIH24" s="551"/>
      <c r="AII24" s="551"/>
      <c r="AIJ24" s="551"/>
      <c r="AIK24" s="551"/>
      <c r="AIL24" s="551"/>
      <c r="AIM24" s="551"/>
      <c r="AIN24" s="551"/>
      <c r="AIO24" s="551"/>
      <c r="AIP24" s="551"/>
      <c r="AIQ24" s="551"/>
      <c r="AIR24" s="551"/>
      <c r="AIS24" s="551"/>
      <c r="AIT24" s="551"/>
      <c r="AIU24" s="551"/>
      <c r="AIV24" s="551"/>
      <c r="AIW24" s="551"/>
      <c r="AIX24" s="551"/>
      <c r="AIY24" s="551"/>
      <c r="AIZ24" s="551"/>
      <c r="AJA24" s="551"/>
      <c r="AJB24" s="551"/>
      <c r="AJC24" s="551"/>
      <c r="AJD24" s="551"/>
      <c r="AJE24" s="551"/>
      <c r="AJF24" s="551"/>
      <c r="AJG24" s="551"/>
      <c r="AJH24" s="551"/>
      <c r="AJI24" s="551"/>
      <c r="AJJ24" s="551"/>
      <c r="AJK24" s="551"/>
      <c r="AJL24" s="551"/>
      <c r="AJM24" s="551"/>
      <c r="AJN24" s="551"/>
      <c r="AJO24" s="551"/>
      <c r="AJP24" s="551"/>
      <c r="AJQ24" s="551"/>
      <c r="AJR24" s="551"/>
      <c r="AJS24" s="551"/>
      <c r="AJT24" s="551"/>
      <c r="AJU24" s="551"/>
      <c r="AJV24" s="551"/>
      <c r="AJW24" s="551"/>
      <c r="AJX24" s="551"/>
      <c r="AJY24" s="551"/>
      <c r="AJZ24" s="551"/>
      <c r="AKA24" s="551"/>
      <c r="AKB24" s="551"/>
      <c r="AKC24" s="551"/>
      <c r="AKD24" s="551"/>
      <c r="AKE24" s="551"/>
      <c r="AKF24" s="551"/>
      <c r="AKG24" s="551"/>
      <c r="AKH24" s="551"/>
      <c r="AKI24" s="551"/>
      <c r="AKJ24" s="551"/>
      <c r="AKK24" s="551"/>
      <c r="AKL24" s="551"/>
      <c r="AKM24" s="551"/>
      <c r="AKN24" s="551"/>
      <c r="AKO24" s="551"/>
      <c r="AKP24" s="551"/>
      <c r="AKQ24" s="551"/>
      <c r="AKR24" s="551"/>
      <c r="AKS24" s="551"/>
      <c r="AKT24" s="551"/>
      <c r="AKU24" s="551"/>
      <c r="AKV24" s="551"/>
      <c r="AKW24" s="551"/>
      <c r="AKX24" s="551"/>
      <c r="AKY24" s="551"/>
      <c r="AKZ24" s="551"/>
      <c r="ALA24" s="551"/>
      <c r="ALB24" s="551"/>
      <c r="ALC24" s="551"/>
      <c r="ALD24" s="551"/>
      <c r="ALE24" s="551"/>
      <c r="ALF24" s="551"/>
      <c r="ALG24" s="551"/>
      <c r="ALH24" s="551"/>
      <c r="ALI24" s="551"/>
      <c r="ALJ24" s="551"/>
      <c r="ALK24" s="551"/>
      <c r="ALL24" s="551"/>
      <c r="ALM24" s="551"/>
      <c r="ALN24" s="551"/>
      <c r="ALO24" s="551"/>
      <c r="ALP24" s="551"/>
      <c r="ALQ24" s="551"/>
      <c r="ALR24" s="551"/>
      <c r="ALS24" s="551"/>
      <c r="ALT24" s="551"/>
      <c r="ALU24" s="551"/>
      <c r="ALV24" s="551"/>
      <c r="ALW24" s="551"/>
      <c r="ALX24" s="551"/>
      <c r="ALY24" s="551"/>
      <c r="ALZ24" s="551"/>
      <c r="AMA24" s="551"/>
      <c r="AMB24" s="551"/>
      <c r="AMC24" s="551"/>
    </row>
    <row r="25" spans="1:1017" ht="13.5" customHeight="1">
      <c r="A25" s="2155"/>
      <c r="B25" s="2157"/>
      <c r="C25" s="2159"/>
      <c r="D25" s="2161"/>
      <c r="E25" s="2161"/>
      <c r="F25" s="2161"/>
      <c r="G25" s="2161"/>
      <c r="H25" s="901"/>
      <c r="I25" s="901"/>
      <c r="J25" s="2161"/>
      <c r="K25" s="905"/>
    </row>
    <row r="26" spans="1:1017" ht="15.75">
      <c r="A26" s="809">
        <v>3</v>
      </c>
      <c r="B26" s="810" t="s">
        <v>114</v>
      </c>
      <c r="C26" s="811">
        <v>1</v>
      </c>
      <c r="D26" s="812">
        <f>'Weekly Machinery Ex'!F99</f>
        <v>0</v>
      </c>
      <c r="E26" s="812">
        <f>'Weekly Machinery Ex'!G99</f>
        <v>0</v>
      </c>
      <c r="F26" s="812">
        <f>'Weekly Machinery Ex'!H99</f>
        <v>0</v>
      </c>
      <c r="G26" s="813">
        <f>'Weekly Machinery Ex'!S99</f>
        <v>0</v>
      </c>
      <c r="H26" s="813"/>
      <c r="I26" s="813"/>
      <c r="J26" s="813">
        <f t="shared" si="1"/>
        <v>0</v>
      </c>
      <c r="K26" s="814"/>
    </row>
    <row r="27" spans="1:1017" s="85" customFormat="1" ht="15.75">
      <c r="A27" s="809">
        <v>4</v>
      </c>
      <c r="B27" s="810" t="s">
        <v>120</v>
      </c>
      <c r="C27" s="811">
        <v>1</v>
      </c>
      <c r="D27" s="812">
        <f>'Weekly Machinery Ex'!F100</f>
        <v>42.34</v>
      </c>
      <c r="E27" s="812">
        <f>'Weekly Machinery Ex'!G100</f>
        <v>2</v>
      </c>
      <c r="F27" s="812">
        <f>'Weekly Machinery Ex'!H100</f>
        <v>0</v>
      </c>
      <c r="G27" s="813"/>
      <c r="H27" s="813"/>
      <c r="I27" s="813"/>
      <c r="J27" s="906">
        <f t="shared" si="1"/>
        <v>0</v>
      </c>
      <c r="K27" s="814" t="s">
        <v>796</v>
      </c>
      <c r="L27" s="551"/>
      <c r="M27" s="551"/>
      <c r="N27" s="551"/>
      <c r="O27" s="551"/>
      <c r="P27" s="551"/>
      <c r="Q27" s="551"/>
      <c r="R27" s="551"/>
      <c r="S27" s="551"/>
      <c r="T27" s="551"/>
      <c r="U27" s="551"/>
      <c r="V27" s="551"/>
      <c r="W27" s="551"/>
      <c r="X27" s="551"/>
      <c r="Y27" s="551"/>
      <c r="Z27" s="551"/>
      <c r="AA27" s="551"/>
      <c r="AB27" s="551"/>
      <c r="AC27" s="551"/>
      <c r="AD27" s="551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1"/>
      <c r="AR27" s="551"/>
      <c r="AS27" s="551"/>
      <c r="AT27" s="551"/>
      <c r="AU27" s="551"/>
      <c r="AV27" s="551"/>
      <c r="AW27" s="551"/>
      <c r="AX27" s="551"/>
      <c r="AY27" s="551"/>
      <c r="AZ27" s="551"/>
      <c r="BA27" s="551"/>
      <c r="BB27" s="551"/>
      <c r="BC27" s="551"/>
      <c r="BD27" s="551"/>
      <c r="BE27" s="551"/>
      <c r="BF27" s="551"/>
      <c r="BG27" s="551"/>
      <c r="BH27" s="551"/>
      <c r="BI27" s="551"/>
      <c r="BJ27" s="551"/>
      <c r="BK27" s="551"/>
      <c r="BL27" s="551"/>
      <c r="BM27" s="551"/>
      <c r="BN27" s="551"/>
      <c r="BO27" s="551"/>
      <c r="BP27" s="551"/>
      <c r="BQ27" s="551"/>
      <c r="BR27" s="551"/>
      <c r="BS27" s="551"/>
      <c r="BT27" s="551"/>
      <c r="BU27" s="551"/>
      <c r="BV27" s="551"/>
      <c r="BW27" s="551"/>
      <c r="BX27" s="551"/>
      <c r="BY27" s="551"/>
      <c r="BZ27" s="551"/>
      <c r="CA27" s="551"/>
      <c r="CB27" s="551"/>
      <c r="CC27" s="551"/>
      <c r="CD27" s="551"/>
      <c r="CE27" s="551"/>
      <c r="CF27" s="551"/>
      <c r="CG27" s="551"/>
      <c r="CH27" s="551"/>
      <c r="CI27" s="551"/>
      <c r="CJ27" s="551"/>
      <c r="CK27" s="551"/>
      <c r="CL27" s="551"/>
      <c r="CM27" s="551"/>
      <c r="CN27" s="551"/>
      <c r="CO27" s="551"/>
      <c r="CP27" s="551"/>
      <c r="CQ27" s="551"/>
      <c r="CR27" s="551"/>
      <c r="CS27" s="551"/>
      <c r="CT27" s="551"/>
      <c r="CU27" s="551"/>
      <c r="CV27" s="551"/>
      <c r="CW27" s="551"/>
      <c r="CX27" s="551"/>
      <c r="CY27" s="551"/>
      <c r="CZ27" s="551"/>
      <c r="DA27" s="551"/>
      <c r="DB27" s="551"/>
      <c r="DC27" s="551"/>
      <c r="DD27" s="551"/>
      <c r="DE27" s="551"/>
      <c r="DF27" s="551"/>
      <c r="DG27" s="551"/>
      <c r="DH27" s="551"/>
      <c r="DI27" s="551"/>
      <c r="DJ27" s="551"/>
      <c r="DK27" s="551"/>
      <c r="DL27" s="551"/>
      <c r="DM27" s="551"/>
      <c r="DN27" s="551"/>
      <c r="DO27" s="551"/>
      <c r="DP27" s="551"/>
      <c r="DQ27" s="551"/>
      <c r="DR27" s="551"/>
      <c r="DS27" s="551"/>
      <c r="DT27" s="551"/>
      <c r="DU27" s="551"/>
      <c r="DV27" s="551"/>
      <c r="DW27" s="551"/>
      <c r="DX27" s="551"/>
      <c r="DY27" s="551"/>
      <c r="DZ27" s="551"/>
      <c r="EA27" s="551"/>
      <c r="EB27" s="551"/>
      <c r="EC27" s="551"/>
      <c r="ED27" s="551"/>
      <c r="EE27" s="551"/>
      <c r="EF27" s="551"/>
      <c r="EG27" s="551"/>
      <c r="EH27" s="551"/>
      <c r="EI27" s="551"/>
      <c r="EJ27" s="551"/>
      <c r="EK27" s="551"/>
      <c r="EL27" s="551"/>
      <c r="EM27" s="551"/>
      <c r="EN27" s="551"/>
      <c r="EO27" s="551"/>
      <c r="EP27" s="551"/>
      <c r="EQ27" s="551"/>
      <c r="ER27" s="551"/>
      <c r="ES27" s="551"/>
      <c r="ET27" s="551"/>
      <c r="EU27" s="551"/>
      <c r="EV27" s="551"/>
      <c r="EW27" s="551"/>
      <c r="EX27" s="551"/>
      <c r="EY27" s="551"/>
      <c r="EZ27" s="551"/>
      <c r="FA27" s="551"/>
      <c r="FB27" s="551"/>
      <c r="FC27" s="551"/>
      <c r="FD27" s="551"/>
      <c r="FE27" s="551"/>
      <c r="FF27" s="551"/>
      <c r="FG27" s="551"/>
      <c r="FH27" s="551"/>
      <c r="FI27" s="551"/>
      <c r="FJ27" s="551"/>
      <c r="FK27" s="551"/>
      <c r="FL27" s="551"/>
      <c r="FM27" s="551"/>
      <c r="FN27" s="551"/>
      <c r="FO27" s="551"/>
      <c r="FP27" s="551"/>
      <c r="FQ27" s="551"/>
      <c r="FR27" s="551"/>
      <c r="FS27" s="551"/>
      <c r="FT27" s="551"/>
      <c r="FU27" s="551"/>
      <c r="FV27" s="551"/>
      <c r="FW27" s="551"/>
      <c r="FX27" s="551"/>
      <c r="FY27" s="551"/>
      <c r="FZ27" s="551"/>
      <c r="GA27" s="551"/>
      <c r="GB27" s="551"/>
      <c r="GC27" s="551"/>
      <c r="GD27" s="551"/>
      <c r="GE27" s="551"/>
      <c r="GF27" s="551"/>
      <c r="GG27" s="551"/>
      <c r="GH27" s="551"/>
      <c r="GI27" s="551"/>
      <c r="GJ27" s="551"/>
      <c r="GK27" s="551"/>
      <c r="GL27" s="551"/>
      <c r="GM27" s="551"/>
      <c r="GN27" s="551"/>
      <c r="GO27" s="551"/>
      <c r="GP27" s="551"/>
      <c r="GQ27" s="551"/>
      <c r="GR27" s="551"/>
      <c r="GS27" s="551"/>
      <c r="GT27" s="551"/>
      <c r="GU27" s="551"/>
      <c r="GV27" s="551"/>
      <c r="GW27" s="551"/>
      <c r="GX27" s="551"/>
      <c r="GY27" s="551"/>
      <c r="GZ27" s="551"/>
      <c r="HA27" s="551"/>
      <c r="HB27" s="551"/>
      <c r="HC27" s="551"/>
      <c r="HD27" s="551"/>
      <c r="HE27" s="551"/>
      <c r="HF27" s="551"/>
      <c r="HG27" s="551"/>
      <c r="HH27" s="551"/>
      <c r="HI27" s="551"/>
      <c r="HJ27" s="551"/>
      <c r="HK27" s="551"/>
      <c r="HL27" s="551"/>
      <c r="HM27" s="551"/>
      <c r="HN27" s="551"/>
      <c r="HO27" s="551"/>
      <c r="HP27" s="551"/>
      <c r="HQ27" s="551"/>
      <c r="HR27" s="551"/>
      <c r="HS27" s="551"/>
      <c r="HT27" s="551"/>
      <c r="HU27" s="551"/>
      <c r="HV27" s="551"/>
      <c r="HW27" s="551"/>
      <c r="HX27" s="551"/>
      <c r="HY27" s="551"/>
      <c r="HZ27" s="551"/>
      <c r="IA27" s="551"/>
      <c r="IB27" s="551"/>
      <c r="IC27" s="551"/>
      <c r="ID27" s="551"/>
      <c r="IE27" s="551"/>
      <c r="IF27" s="551"/>
      <c r="IG27" s="551"/>
      <c r="IH27" s="551"/>
      <c r="II27" s="551"/>
      <c r="IJ27" s="551"/>
      <c r="IK27" s="551"/>
      <c r="IL27" s="551"/>
      <c r="IM27" s="551"/>
      <c r="IN27" s="551"/>
      <c r="IO27" s="551"/>
      <c r="IP27" s="551"/>
      <c r="IQ27" s="551"/>
      <c r="IR27" s="551"/>
      <c r="IS27" s="551"/>
      <c r="IT27" s="551"/>
      <c r="IU27" s="551"/>
      <c r="IV27" s="551"/>
      <c r="IW27" s="551"/>
      <c r="IX27" s="551"/>
      <c r="IY27" s="551"/>
      <c r="IZ27" s="551"/>
      <c r="JA27" s="551"/>
      <c r="JB27" s="551"/>
      <c r="JC27" s="551"/>
      <c r="JD27" s="551"/>
      <c r="JE27" s="551"/>
      <c r="JF27" s="551"/>
      <c r="JG27" s="551"/>
      <c r="JH27" s="551"/>
      <c r="JI27" s="551"/>
      <c r="JJ27" s="551"/>
      <c r="JK27" s="551"/>
      <c r="JL27" s="551"/>
      <c r="JM27" s="551"/>
      <c r="JN27" s="551"/>
      <c r="JO27" s="551"/>
      <c r="JP27" s="551"/>
      <c r="JQ27" s="551"/>
      <c r="JR27" s="551"/>
      <c r="JS27" s="551"/>
      <c r="JT27" s="551"/>
      <c r="JU27" s="551"/>
      <c r="JV27" s="551"/>
      <c r="JW27" s="551"/>
      <c r="JX27" s="551"/>
      <c r="JY27" s="551"/>
      <c r="JZ27" s="551"/>
      <c r="KA27" s="551"/>
      <c r="KB27" s="551"/>
      <c r="KC27" s="551"/>
      <c r="KD27" s="551"/>
      <c r="KE27" s="551"/>
      <c r="KF27" s="551"/>
      <c r="KG27" s="551"/>
      <c r="KH27" s="551"/>
      <c r="KI27" s="551"/>
      <c r="KJ27" s="551"/>
      <c r="KK27" s="551"/>
      <c r="KL27" s="551"/>
      <c r="KM27" s="551"/>
      <c r="KN27" s="551"/>
      <c r="KO27" s="551"/>
      <c r="KP27" s="551"/>
      <c r="KQ27" s="551"/>
      <c r="KR27" s="551"/>
      <c r="KS27" s="551"/>
      <c r="KT27" s="551"/>
      <c r="KU27" s="551"/>
      <c r="KV27" s="551"/>
      <c r="KW27" s="551"/>
      <c r="KX27" s="551"/>
      <c r="KY27" s="551"/>
      <c r="KZ27" s="551"/>
      <c r="LA27" s="551"/>
      <c r="LB27" s="551"/>
      <c r="LC27" s="551"/>
      <c r="LD27" s="551"/>
      <c r="LE27" s="551"/>
      <c r="LF27" s="551"/>
      <c r="LG27" s="551"/>
      <c r="LH27" s="551"/>
      <c r="LI27" s="551"/>
      <c r="LJ27" s="551"/>
      <c r="LK27" s="551"/>
      <c r="LL27" s="551"/>
      <c r="LM27" s="551"/>
      <c r="LN27" s="551"/>
      <c r="LO27" s="551"/>
      <c r="LP27" s="551"/>
      <c r="LQ27" s="551"/>
      <c r="LR27" s="551"/>
      <c r="LS27" s="551"/>
      <c r="LT27" s="551"/>
      <c r="LU27" s="551"/>
      <c r="LV27" s="551"/>
      <c r="LW27" s="551"/>
      <c r="LX27" s="551"/>
      <c r="LY27" s="551"/>
      <c r="LZ27" s="551"/>
      <c r="MA27" s="551"/>
      <c r="MB27" s="551"/>
      <c r="MC27" s="551"/>
      <c r="MD27" s="551"/>
      <c r="ME27" s="551"/>
      <c r="MF27" s="551"/>
      <c r="MG27" s="551"/>
      <c r="MH27" s="551"/>
      <c r="MI27" s="551"/>
      <c r="MJ27" s="551"/>
      <c r="MK27" s="551"/>
      <c r="ML27" s="551"/>
      <c r="MM27" s="551"/>
      <c r="MN27" s="551"/>
      <c r="MO27" s="551"/>
      <c r="MP27" s="551"/>
      <c r="MQ27" s="551"/>
      <c r="MR27" s="551"/>
      <c r="MS27" s="551"/>
      <c r="MT27" s="551"/>
      <c r="MU27" s="551"/>
      <c r="MV27" s="551"/>
      <c r="MW27" s="551"/>
      <c r="MX27" s="551"/>
      <c r="MY27" s="551"/>
      <c r="MZ27" s="551"/>
      <c r="NA27" s="551"/>
      <c r="NB27" s="551"/>
      <c r="NC27" s="551"/>
      <c r="ND27" s="551"/>
      <c r="NE27" s="551"/>
      <c r="NF27" s="551"/>
      <c r="NG27" s="551"/>
      <c r="NH27" s="551"/>
      <c r="NI27" s="551"/>
      <c r="NJ27" s="551"/>
      <c r="NK27" s="551"/>
      <c r="NL27" s="551"/>
      <c r="NM27" s="551"/>
      <c r="NN27" s="551"/>
      <c r="NO27" s="551"/>
      <c r="NP27" s="551"/>
      <c r="NQ27" s="551"/>
      <c r="NR27" s="551"/>
      <c r="NS27" s="551"/>
      <c r="NT27" s="551"/>
      <c r="NU27" s="551"/>
      <c r="NV27" s="551"/>
      <c r="NW27" s="551"/>
      <c r="NX27" s="551"/>
      <c r="NY27" s="551"/>
      <c r="NZ27" s="551"/>
      <c r="OA27" s="551"/>
      <c r="OB27" s="551"/>
      <c r="OC27" s="551"/>
      <c r="OD27" s="551"/>
      <c r="OE27" s="551"/>
      <c r="OF27" s="551"/>
      <c r="OG27" s="551"/>
      <c r="OH27" s="551"/>
      <c r="OI27" s="551"/>
      <c r="OJ27" s="551"/>
      <c r="OK27" s="551"/>
      <c r="OL27" s="551"/>
      <c r="OM27" s="551"/>
      <c r="ON27" s="551"/>
      <c r="OO27" s="551"/>
      <c r="OP27" s="551"/>
      <c r="OQ27" s="551"/>
      <c r="OR27" s="551"/>
      <c r="OS27" s="551"/>
      <c r="OT27" s="551"/>
      <c r="OU27" s="551"/>
      <c r="OV27" s="551"/>
      <c r="OW27" s="551"/>
      <c r="OX27" s="551"/>
      <c r="OY27" s="551"/>
      <c r="OZ27" s="551"/>
      <c r="PA27" s="551"/>
      <c r="PB27" s="551"/>
      <c r="PC27" s="551"/>
      <c r="PD27" s="551"/>
      <c r="PE27" s="551"/>
      <c r="PF27" s="551"/>
      <c r="PG27" s="551"/>
      <c r="PH27" s="551"/>
      <c r="PI27" s="551"/>
      <c r="PJ27" s="551"/>
      <c r="PK27" s="551"/>
      <c r="PL27" s="551"/>
      <c r="PM27" s="551"/>
      <c r="PN27" s="551"/>
      <c r="PO27" s="551"/>
      <c r="PP27" s="551"/>
      <c r="PQ27" s="551"/>
      <c r="PR27" s="551"/>
      <c r="PS27" s="551"/>
      <c r="PT27" s="551"/>
      <c r="PU27" s="551"/>
      <c r="PV27" s="551"/>
      <c r="PW27" s="551"/>
      <c r="PX27" s="551"/>
      <c r="PY27" s="551"/>
      <c r="PZ27" s="551"/>
      <c r="QA27" s="551"/>
      <c r="QB27" s="551"/>
      <c r="QC27" s="551"/>
      <c r="QD27" s="551"/>
      <c r="QE27" s="551"/>
      <c r="QF27" s="551"/>
      <c r="QG27" s="551"/>
      <c r="QH27" s="551"/>
      <c r="QI27" s="551"/>
      <c r="QJ27" s="551"/>
      <c r="QK27" s="551"/>
      <c r="QL27" s="551"/>
      <c r="QM27" s="551"/>
      <c r="QN27" s="551"/>
      <c r="QO27" s="551"/>
      <c r="QP27" s="551"/>
      <c r="QQ27" s="551"/>
      <c r="QR27" s="551"/>
      <c r="QS27" s="551"/>
      <c r="QT27" s="551"/>
      <c r="QU27" s="551"/>
      <c r="QV27" s="551"/>
      <c r="QW27" s="551"/>
      <c r="QX27" s="551"/>
      <c r="QY27" s="551"/>
      <c r="QZ27" s="551"/>
      <c r="RA27" s="551"/>
      <c r="RB27" s="551"/>
      <c r="RC27" s="551"/>
      <c r="RD27" s="551"/>
      <c r="RE27" s="551"/>
      <c r="RF27" s="551"/>
      <c r="RG27" s="551"/>
      <c r="RH27" s="551"/>
      <c r="RI27" s="551"/>
      <c r="RJ27" s="551"/>
      <c r="RK27" s="551"/>
      <c r="RL27" s="551"/>
      <c r="RM27" s="551"/>
      <c r="RN27" s="551"/>
      <c r="RO27" s="551"/>
      <c r="RP27" s="551"/>
      <c r="RQ27" s="551"/>
      <c r="RR27" s="551"/>
      <c r="RS27" s="551"/>
      <c r="RT27" s="551"/>
      <c r="RU27" s="551"/>
      <c r="RV27" s="551"/>
      <c r="RW27" s="551"/>
      <c r="RX27" s="551"/>
      <c r="RY27" s="551"/>
      <c r="RZ27" s="551"/>
      <c r="SA27" s="551"/>
      <c r="SB27" s="551"/>
      <c r="SC27" s="551"/>
      <c r="SD27" s="551"/>
      <c r="SE27" s="551"/>
      <c r="SF27" s="551"/>
      <c r="SG27" s="551"/>
      <c r="SH27" s="551"/>
      <c r="SI27" s="551"/>
      <c r="SJ27" s="551"/>
      <c r="SK27" s="551"/>
      <c r="SL27" s="551"/>
      <c r="SM27" s="551"/>
      <c r="SN27" s="551"/>
      <c r="SO27" s="551"/>
      <c r="SP27" s="551"/>
      <c r="SQ27" s="551"/>
      <c r="SR27" s="551"/>
      <c r="SS27" s="551"/>
      <c r="ST27" s="551"/>
      <c r="SU27" s="551"/>
      <c r="SV27" s="551"/>
      <c r="SW27" s="551"/>
      <c r="SX27" s="551"/>
      <c r="SY27" s="551"/>
      <c r="SZ27" s="551"/>
      <c r="TA27" s="551"/>
      <c r="TB27" s="551"/>
      <c r="TC27" s="551"/>
      <c r="TD27" s="551"/>
      <c r="TE27" s="551"/>
      <c r="TF27" s="551"/>
      <c r="TG27" s="551"/>
      <c r="TH27" s="551"/>
      <c r="TI27" s="551"/>
      <c r="TJ27" s="551"/>
      <c r="TK27" s="551"/>
      <c r="TL27" s="551"/>
      <c r="TM27" s="551"/>
      <c r="TN27" s="551"/>
      <c r="TO27" s="551"/>
      <c r="TP27" s="551"/>
      <c r="TQ27" s="551"/>
      <c r="TR27" s="551"/>
      <c r="TS27" s="551"/>
      <c r="TT27" s="551"/>
      <c r="TU27" s="551"/>
      <c r="TV27" s="551"/>
      <c r="TW27" s="551"/>
      <c r="TX27" s="551"/>
      <c r="TY27" s="551"/>
      <c r="TZ27" s="551"/>
      <c r="UA27" s="551"/>
      <c r="UB27" s="551"/>
      <c r="UC27" s="551"/>
      <c r="UD27" s="551"/>
      <c r="UE27" s="551"/>
      <c r="UF27" s="551"/>
      <c r="UG27" s="551"/>
      <c r="UH27" s="551"/>
      <c r="UI27" s="551"/>
      <c r="UJ27" s="551"/>
      <c r="UK27" s="551"/>
      <c r="UL27" s="551"/>
      <c r="UM27" s="551"/>
      <c r="UN27" s="551"/>
      <c r="UO27" s="551"/>
      <c r="UP27" s="551"/>
      <c r="UQ27" s="551"/>
      <c r="UR27" s="551"/>
      <c r="US27" s="551"/>
      <c r="UT27" s="551"/>
      <c r="UU27" s="551"/>
      <c r="UV27" s="551"/>
      <c r="UW27" s="551"/>
      <c r="UX27" s="551"/>
      <c r="UY27" s="551"/>
      <c r="UZ27" s="551"/>
      <c r="VA27" s="551"/>
      <c r="VB27" s="551"/>
      <c r="VC27" s="551"/>
      <c r="VD27" s="551"/>
      <c r="VE27" s="551"/>
      <c r="VF27" s="551"/>
      <c r="VG27" s="551"/>
      <c r="VH27" s="551"/>
      <c r="VI27" s="551"/>
      <c r="VJ27" s="551"/>
      <c r="VK27" s="551"/>
      <c r="VL27" s="551"/>
      <c r="VM27" s="551"/>
      <c r="VN27" s="551"/>
      <c r="VO27" s="551"/>
      <c r="VP27" s="551"/>
      <c r="VQ27" s="551"/>
      <c r="VR27" s="551"/>
      <c r="VS27" s="551"/>
      <c r="VT27" s="551"/>
      <c r="VU27" s="551"/>
      <c r="VV27" s="551"/>
      <c r="VW27" s="551"/>
      <c r="VX27" s="551"/>
      <c r="VY27" s="551"/>
      <c r="VZ27" s="551"/>
      <c r="WA27" s="551"/>
      <c r="WB27" s="551"/>
      <c r="WC27" s="551"/>
      <c r="WD27" s="551"/>
      <c r="WE27" s="551"/>
      <c r="WF27" s="551"/>
      <c r="WG27" s="551"/>
      <c r="WH27" s="551"/>
      <c r="WI27" s="551"/>
      <c r="WJ27" s="551"/>
      <c r="WK27" s="551"/>
      <c r="WL27" s="551"/>
      <c r="WM27" s="551"/>
      <c r="WN27" s="551"/>
      <c r="WO27" s="551"/>
      <c r="WP27" s="551"/>
      <c r="WQ27" s="551"/>
      <c r="WR27" s="551"/>
      <c r="WS27" s="551"/>
      <c r="WT27" s="551"/>
      <c r="WU27" s="551"/>
      <c r="WV27" s="551"/>
      <c r="WW27" s="551"/>
      <c r="WX27" s="551"/>
      <c r="WY27" s="551"/>
      <c r="WZ27" s="551"/>
      <c r="XA27" s="551"/>
      <c r="XB27" s="551"/>
      <c r="XC27" s="551"/>
      <c r="XD27" s="551"/>
      <c r="XE27" s="551"/>
      <c r="XF27" s="551"/>
      <c r="XG27" s="551"/>
      <c r="XH27" s="551"/>
      <c r="XI27" s="551"/>
      <c r="XJ27" s="551"/>
      <c r="XK27" s="551"/>
      <c r="XL27" s="551"/>
      <c r="XM27" s="551"/>
      <c r="XN27" s="551"/>
      <c r="XO27" s="551"/>
      <c r="XP27" s="551"/>
      <c r="XQ27" s="551"/>
      <c r="XR27" s="551"/>
      <c r="XS27" s="551"/>
      <c r="XT27" s="551"/>
      <c r="XU27" s="551"/>
      <c r="XV27" s="551"/>
      <c r="XW27" s="551"/>
      <c r="XX27" s="551"/>
      <c r="XY27" s="551"/>
      <c r="XZ27" s="551"/>
      <c r="YA27" s="551"/>
      <c r="YB27" s="551"/>
      <c r="YC27" s="551"/>
      <c r="YD27" s="551"/>
      <c r="YE27" s="551"/>
      <c r="YF27" s="551"/>
      <c r="YG27" s="551"/>
      <c r="YH27" s="551"/>
      <c r="YI27" s="551"/>
      <c r="YJ27" s="551"/>
      <c r="YK27" s="551"/>
      <c r="YL27" s="551"/>
      <c r="YM27" s="551"/>
      <c r="YN27" s="551"/>
      <c r="YO27" s="551"/>
      <c r="YP27" s="551"/>
      <c r="YQ27" s="551"/>
      <c r="YR27" s="551"/>
      <c r="YS27" s="551"/>
      <c r="YT27" s="551"/>
      <c r="YU27" s="551"/>
      <c r="YV27" s="551"/>
      <c r="YW27" s="551"/>
      <c r="YX27" s="551"/>
      <c r="YY27" s="551"/>
      <c r="YZ27" s="551"/>
      <c r="ZA27" s="551"/>
      <c r="ZB27" s="551"/>
      <c r="ZC27" s="551"/>
      <c r="ZD27" s="551"/>
      <c r="ZE27" s="551"/>
      <c r="ZF27" s="551"/>
      <c r="ZG27" s="551"/>
      <c r="ZH27" s="551"/>
      <c r="ZI27" s="551"/>
      <c r="ZJ27" s="551"/>
      <c r="ZK27" s="551"/>
      <c r="ZL27" s="551"/>
      <c r="ZM27" s="551"/>
      <c r="ZN27" s="551"/>
      <c r="ZO27" s="551"/>
      <c r="ZP27" s="551"/>
      <c r="ZQ27" s="551"/>
      <c r="ZR27" s="551"/>
      <c r="ZS27" s="551"/>
      <c r="ZT27" s="551"/>
      <c r="ZU27" s="551"/>
      <c r="ZV27" s="551"/>
      <c r="ZW27" s="551"/>
      <c r="ZX27" s="551"/>
      <c r="ZY27" s="551"/>
      <c r="ZZ27" s="551"/>
      <c r="AAA27" s="551"/>
      <c r="AAB27" s="551"/>
      <c r="AAC27" s="551"/>
      <c r="AAD27" s="551"/>
      <c r="AAE27" s="551"/>
      <c r="AAF27" s="551"/>
      <c r="AAG27" s="551"/>
      <c r="AAH27" s="551"/>
      <c r="AAI27" s="551"/>
      <c r="AAJ27" s="551"/>
      <c r="AAK27" s="551"/>
      <c r="AAL27" s="551"/>
      <c r="AAM27" s="551"/>
      <c r="AAN27" s="551"/>
      <c r="AAO27" s="551"/>
      <c r="AAP27" s="551"/>
      <c r="AAQ27" s="551"/>
      <c r="AAR27" s="551"/>
      <c r="AAS27" s="551"/>
      <c r="AAT27" s="551"/>
      <c r="AAU27" s="551"/>
      <c r="AAV27" s="551"/>
      <c r="AAW27" s="551"/>
      <c r="AAX27" s="551"/>
      <c r="AAY27" s="551"/>
      <c r="AAZ27" s="551"/>
      <c r="ABA27" s="551"/>
      <c r="ABB27" s="551"/>
      <c r="ABC27" s="551"/>
      <c r="ABD27" s="551"/>
      <c r="ABE27" s="551"/>
      <c r="ABF27" s="551"/>
      <c r="ABG27" s="551"/>
      <c r="ABH27" s="551"/>
      <c r="ABI27" s="551"/>
      <c r="ABJ27" s="551"/>
      <c r="ABK27" s="551"/>
      <c r="ABL27" s="551"/>
      <c r="ABM27" s="551"/>
      <c r="ABN27" s="551"/>
      <c r="ABO27" s="551"/>
      <c r="ABP27" s="551"/>
      <c r="ABQ27" s="551"/>
      <c r="ABR27" s="551"/>
      <c r="ABS27" s="551"/>
      <c r="ABT27" s="551"/>
      <c r="ABU27" s="551"/>
      <c r="ABV27" s="551"/>
      <c r="ABW27" s="551"/>
      <c r="ABX27" s="551"/>
      <c r="ABY27" s="551"/>
      <c r="ABZ27" s="551"/>
      <c r="ACA27" s="551"/>
      <c r="ACB27" s="551"/>
      <c r="ACC27" s="551"/>
      <c r="ACD27" s="551"/>
      <c r="ACE27" s="551"/>
      <c r="ACF27" s="551"/>
      <c r="ACG27" s="551"/>
      <c r="ACH27" s="551"/>
      <c r="ACI27" s="551"/>
      <c r="ACJ27" s="551"/>
      <c r="ACK27" s="551"/>
      <c r="ACL27" s="551"/>
      <c r="ACM27" s="551"/>
      <c r="ACN27" s="551"/>
      <c r="ACO27" s="551"/>
      <c r="ACP27" s="551"/>
      <c r="ACQ27" s="551"/>
      <c r="ACR27" s="551"/>
      <c r="ACS27" s="551"/>
      <c r="ACT27" s="551"/>
      <c r="ACU27" s="551"/>
      <c r="ACV27" s="551"/>
      <c r="ACW27" s="551"/>
      <c r="ACX27" s="551"/>
      <c r="ACY27" s="551"/>
      <c r="ACZ27" s="551"/>
      <c r="ADA27" s="551"/>
      <c r="ADB27" s="551"/>
      <c r="ADC27" s="551"/>
      <c r="ADD27" s="551"/>
      <c r="ADE27" s="551"/>
      <c r="ADF27" s="551"/>
      <c r="ADG27" s="551"/>
      <c r="ADH27" s="551"/>
      <c r="ADI27" s="551"/>
      <c r="ADJ27" s="551"/>
      <c r="ADK27" s="551"/>
      <c r="ADL27" s="551"/>
      <c r="ADM27" s="551"/>
      <c r="ADN27" s="551"/>
      <c r="ADO27" s="551"/>
      <c r="ADP27" s="551"/>
      <c r="ADQ27" s="551"/>
      <c r="ADR27" s="551"/>
      <c r="ADS27" s="551"/>
      <c r="ADT27" s="551"/>
      <c r="ADU27" s="551"/>
      <c r="ADV27" s="551"/>
      <c r="ADW27" s="551"/>
      <c r="ADX27" s="551"/>
      <c r="ADY27" s="551"/>
      <c r="ADZ27" s="551"/>
      <c r="AEA27" s="551"/>
      <c r="AEB27" s="551"/>
      <c r="AEC27" s="551"/>
      <c r="AED27" s="551"/>
      <c r="AEE27" s="551"/>
      <c r="AEF27" s="551"/>
      <c r="AEG27" s="551"/>
      <c r="AEH27" s="551"/>
      <c r="AEI27" s="551"/>
      <c r="AEJ27" s="551"/>
      <c r="AEK27" s="551"/>
      <c r="AEL27" s="551"/>
      <c r="AEM27" s="551"/>
      <c r="AEN27" s="551"/>
      <c r="AEO27" s="551"/>
      <c r="AEP27" s="551"/>
      <c r="AEQ27" s="551"/>
      <c r="AER27" s="551"/>
      <c r="AES27" s="551"/>
      <c r="AET27" s="551"/>
      <c r="AEU27" s="551"/>
      <c r="AEV27" s="551"/>
      <c r="AEW27" s="551"/>
      <c r="AEX27" s="551"/>
      <c r="AEY27" s="551"/>
      <c r="AEZ27" s="551"/>
      <c r="AFA27" s="551"/>
      <c r="AFB27" s="551"/>
      <c r="AFC27" s="551"/>
      <c r="AFD27" s="551"/>
      <c r="AFE27" s="551"/>
      <c r="AFF27" s="551"/>
      <c r="AFG27" s="551"/>
      <c r="AFH27" s="551"/>
      <c r="AFI27" s="551"/>
      <c r="AFJ27" s="551"/>
      <c r="AFK27" s="551"/>
      <c r="AFL27" s="551"/>
      <c r="AFM27" s="551"/>
      <c r="AFN27" s="551"/>
      <c r="AFO27" s="551"/>
      <c r="AFP27" s="551"/>
      <c r="AFQ27" s="551"/>
      <c r="AFR27" s="551"/>
      <c r="AFS27" s="551"/>
      <c r="AFT27" s="551"/>
      <c r="AFU27" s="551"/>
      <c r="AFV27" s="551"/>
      <c r="AFW27" s="551"/>
      <c r="AFX27" s="551"/>
      <c r="AFY27" s="551"/>
      <c r="AFZ27" s="551"/>
      <c r="AGA27" s="551"/>
      <c r="AGB27" s="551"/>
      <c r="AGC27" s="551"/>
      <c r="AGD27" s="551"/>
      <c r="AGE27" s="551"/>
      <c r="AGF27" s="551"/>
      <c r="AGG27" s="551"/>
      <c r="AGH27" s="551"/>
      <c r="AGI27" s="551"/>
      <c r="AGJ27" s="551"/>
      <c r="AGK27" s="551"/>
      <c r="AGL27" s="551"/>
      <c r="AGM27" s="551"/>
      <c r="AGN27" s="551"/>
      <c r="AGO27" s="551"/>
      <c r="AGP27" s="551"/>
      <c r="AGQ27" s="551"/>
      <c r="AGR27" s="551"/>
      <c r="AGS27" s="551"/>
      <c r="AGT27" s="551"/>
      <c r="AGU27" s="551"/>
      <c r="AGV27" s="551"/>
      <c r="AGW27" s="551"/>
      <c r="AGX27" s="551"/>
      <c r="AGY27" s="551"/>
      <c r="AGZ27" s="551"/>
      <c r="AHA27" s="551"/>
      <c r="AHB27" s="551"/>
      <c r="AHC27" s="551"/>
      <c r="AHD27" s="551"/>
      <c r="AHE27" s="551"/>
      <c r="AHF27" s="551"/>
      <c r="AHG27" s="551"/>
      <c r="AHH27" s="551"/>
      <c r="AHI27" s="551"/>
      <c r="AHJ27" s="551"/>
      <c r="AHK27" s="551"/>
      <c r="AHL27" s="551"/>
      <c r="AHM27" s="551"/>
      <c r="AHN27" s="551"/>
      <c r="AHO27" s="551"/>
      <c r="AHP27" s="551"/>
      <c r="AHQ27" s="551"/>
      <c r="AHR27" s="551"/>
      <c r="AHS27" s="551"/>
      <c r="AHT27" s="551"/>
      <c r="AHU27" s="551"/>
      <c r="AHV27" s="551"/>
      <c r="AHW27" s="551"/>
      <c r="AHX27" s="551"/>
      <c r="AHY27" s="551"/>
      <c r="AHZ27" s="551"/>
      <c r="AIA27" s="551"/>
      <c r="AIB27" s="551"/>
      <c r="AIC27" s="551"/>
      <c r="AID27" s="551"/>
      <c r="AIE27" s="551"/>
      <c r="AIF27" s="551"/>
      <c r="AIG27" s="551"/>
      <c r="AIH27" s="551"/>
      <c r="AII27" s="551"/>
      <c r="AIJ27" s="551"/>
      <c r="AIK27" s="551"/>
      <c r="AIL27" s="551"/>
      <c r="AIM27" s="551"/>
      <c r="AIN27" s="551"/>
      <c r="AIO27" s="551"/>
      <c r="AIP27" s="551"/>
      <c r="AIQ27" s="551"/>
      <c r="AIR27" s="551"/>
      <c r="AIS27" s="551"/>
      <c r="AIT27" s="551"/>
      <c r="AIU27" s="551"/>
      <c r="AIV27" s="551"/>
      <c r="AIW27" s="551"/>
      <c r="AIX27" s="551"/>
      <c r="AIY27" s="551"/>
      <c r="AIZ27" s="551"/>
      <c r="AJA27" s="551"/>
      <c r="AJB27" s="551"/>
      <c r="AJC27" s="551"/>
      <c r="AJD27" s="551"/>
      <c r="AJE27" s="551"/>
      <c r="AJF27" s="551"/>
      <c r="AJG27" s="551"/>
      <c r="AJH27" s="551"/>
      <c r="AJI27" s="551"/>
      <c r="AJJ27" s="551"/>
      <c r="AJK27" s="551"/>
      <c r="AJL27" s="551"/>
      <c r="AJM27" s="551"/>
      <c r="AJN27" s="551"/>
      <c r="AJO27" s="551"/>
      <c r="AJP27" s="551"/>
      <c r="AJQ27" s="551"/>
      <c r="AJR27" s="551"/>
      <c r="AJS27" s="551"/>
      <c r="AJT27" s="551"/>
      <c r="AJU27" s="551"/>
      <c r="AJV27" s="551"/>
      <c r="AJW27" s="551"/>
      <c r="AJX27" s="551"/>
      <c r="AJY27" s="551"/>
      <c r="AJZ27" s="551"/>
      <c r="AKA27" s="551"/>
      <c r="AKB27" s="551"/>
      <c r="AKC27" s="551"/>
      <c r="AKD27" s="551"/>
      <c r="AKE27" s="551"/>
      <c r="AKF27" s="551"/>
      <c r="AKG27" s="551"/>
      <c r="AKH27" s="551"/>
      <c r="AKI27" s="551"/>
      <c r="AKJ27" s="551"/>
      <c r="AKK27" s="551"/>
      <c r="AKL27" s="551"/>
      <c r="AKM27" s="551"/>
      <c r="AKN27" s="551"/>
      <c r="AKO27" s="551"/>
      <c r="AKP27" s="551"/>
      <c r="AKQ27" s="551"/>
      <c r="AKR27" s="551"/>
      <c r="AKS27" s="551"/>
      <c r="AKT27" s="551"/>
      <c r="AKU27" s="551"/>
      <c r="AKV27" s="551"/>
      <c r="AKW27" s="551"/>
      <c r="AKX27" s="551"/>
      <c r="AKY27" s="551"/>
      <c r="AKZ27" s="551"/>
      <c r="ALA27" s="551"/>
      <c r="ALB27" s="551"/>
      <c r="ALC27" s="551"/>
      <c r="ALD27" s="551"/>
      <c r="ALE27" s="551"/>
      <c r="ALF27" s="551"/>
      <c r="ALG27" s="551"/>
      <c r="ALH27" s="551"/>
      <c r="ALI27" s="551"/>
      <c r="ALJ27" s="551"/>
      <c r="ALK27" s="551"/>
      <c r="ALL27" s="551"/>
      <c r="ALM27" s="551"/>
      <c r="ALN27" s="551"/>
      <c r="ALO27" s="551"/>
      <c r="ALP27" s="551"/>
      <c r="ALQ27" s="551"/>
      <c r="ALR27" s="551"/>
      <c r="ALS27" s="551"/>
      <c r="ALT27" s="551"/>
      <c r="ALU27" s="551"/>
      <c r="ALV27" s="551"/>
      <c r="ALW27" s="551"/>
      <c r="ALX27" s="551"/>
      <c r="ALY27" s="551"/>
      <c r="ALZ27" s="551"/>
      <c r="AMA27" s="551"/>
      <c r="AMB27" s="551"/>
      <c r="AMC27" s="551"/>
    </row>
    <row r="28" spans="1:1017" s="85" customFormat="1" ht="15.75">
      <c r="A28" s="809">
        <v>5</v>
      </c>
      <c r="B28" s="810" t="s">
        <v>792</v>
      </c>
      <c r="C28" s="811">
        <v>1</v>
      </c>
      <c r="D28" s="812">
        <f>'Weekly Machinery Ex'!F101</f>
        <v>55</v>
      </c>
      <c r="E28" s="812">
        <f>'Weekly Machinery Ex'!G101</f>
        <v>0</v>
      </c>
      <c r="F28" s="812">
        <f>'Weekly Machinery Ex'!H101</f>
        <v>0</v>
      </c>
      <c r="G28" s="813">
        <f>'Weekly Machinery Ex'!S101</f>
        <v>184</v>
      </c>
      <c r="H28" s="813"/>
      <c r="I28" s="813"/>
      <c r="J28" s="906">
        <f t="shared" si="1"/>
        <v>3.3454545454545452</v>
      </c>
      <c r="K28" s="762"/>
      <c r="L28" s="551"/>
      <c r="M28" s="551"/>
      <c r="N28" s="551"/>
      <c r="O28" s="551"/>
      <c r="P28" s="551"/>
      <c r="Q28" s="551"/>
      <c r="R28" s="551"/>
      <c r="S28" s="551"/>
      <c r="T28" s="551"/>
      <c r="U28" s="551"/>
      <c r="V28" s="551"/>
      <c r="W28" s="551"/>
      <c r="X28" s="551"/>
      <c r="Y28" s="551"/>
      <c r="Z28" s="551"/>
      <c r="AA28" s="551"/>
      <c r="AB28" s="551"/>
      <c r="AC28" s="551"/>
      <c r="AD28" s="551"/>
      <c r="AE28" s="551"/>
      <c r="AF28" s="551"/>
      <c r="AG28" s="551"/>
      <c r="AH28" s="551"/>
      <c r="AI28" s="551"/>
      <c r="AJ28" s="551"/>
      <c r="AK28" s="551"/>
      <c r="AL28" s="551"/>
      <c r="AM28" s="551"/>
      <c r="AN28" s="551"/>
      <c r="AO28" s="551"/>
      <c r="AP28" s="551"/>
      <c r="AQ28" s="551"/>
      <c r="AR28" s="551"/>
      <c r="AS28" s="551"/>
      <c r="AT28" s="551"/>
      <c r="AU28" s="551"/>
      <c r="AV28" s="551"/>
      <c r="AW28" s="551"/>
      <c r="AX28" s="551"/>
      <c r="AY28" s="551"/>
      <c r="AZ28" s="551"/>
      <c r="BA28" s="551"/>
      <c r="BB28" s="551"/>
      <c r="BC28" s="551"/>
      <c r="BD28" s="551"/>
      <c r="BE28" s="551"/>
      <c r="BF28" s="551"/>
      <c r="BG28" s="551"/>
      <c r="BH28" s="551"/>
      <c r="BI28" s="551"/>
      <c r="BJ28" s="551"/>
      <c r="BK28" s="551"/>
      <c r="BL28" s="551"/>
      <c r="BM28" s="551"/>
      <c r="BN28" s="551"/>
      <c r="BO28" s="551"/>
      <c r="BP28" s="551"/>
      <c r="BQ28" s="551"/>
      <c r="BR28" s="551"/>
      <c r="BS28" s="551"/>
      <c r="BT28" s="551"/>
      <c r="BU28" s="551"/>
      <c r="BV28" s="551"/>
      <c r="BW28" s="551"/>
      <c r="BX28" s="551"/>
      <c r="BY28" s="551"/>
      <c r="BZ28" s="551"/>
      <c r="CA28" s="551"/>
      <c r="CB28" s="551"/>
      <c r="CC28" s="551"/>
      <c r="CD28" s="551"/>
      <c r="CE28" s="551"/>
      <c r="CF28" s="551"/>
      <c r="CG28" s="551"/>
      <c r="CH28" s="551"/>
      <c r="CI28" s="551"/>
      <c r="CJ28" s="551"/>
      <c r="CK28" s="551"/>
      <c r="CL28" s="551"/>
      <c r="CM28" s="551"/>
      <c r="CN28" s="551"/>
      <c r="CO28" s="551"/>
      <c r="CP28" s="551"/>
      <c r="CQ28" s="551"/>
      <c r="CR28" s="551"/>
      <c r="CS28" s="551"/>
      <c r="CT28" s="551"/>
      <c r="CU28" s="551"/>
      <c r="CV28" s="551"/>
      <c r="CW28" s="551"/>
      <c r="CX28" s="551"/>
      <c r="CY28" s="551"/>
      <c r="CZ28" s="551"/>
      <c r="DA28" s="551"/>
      <c r="DB28" s="551"/>
      <c r="DC28" s="551"/>
      <c r="DD28" s="551"/>
      <c r="DE28" s="551"/>
      <c r="DF28" s="551"/>
      <c r="DG28" s="551"/>
      <c r="DH28" s="551"/>
      <c r="DI28" s="551"/>
      <c r="DJ28" s="551"/>
      <c r="DK28" s="551"/>
      <c r="DL28" s="551"/>
      <c r="DM28" s="551"/>
      <c r="DN28" s="551"/>
      <c r="DO28" s="551"/>
      <c r="DP28" s="551"/>
      <c r="DQ28" s="551"/>
      <c r="DR28" s="551"/>
      <c r="DS28" s="551"/>
      <c r="DT28" s="551"/>
      <c r="DU28" s="551"/>
      <c r="DV28" s="551"/>
      <c r="DW28" s="551"/>
      <c r="DX28" s="551"/>
      <c r="DY28" s="551"/>
      <c r="DZ28" s="551"/>
      <c r="EA28" s="551"/>
      <c r="EB28" s="551"/>
      <c r="EC28" s="551"/>
      <c r="ED28" s="551"/>
      <c r="EE28" s="551"/>
      <c r="EF28" s="551"/>
      <c r="EG28" s="551"/>
      <c r="EH28" s="551"/>
      <c r="EI28" s="551"/>
      <c r="EJ28" s="551"/>
      <c r="EK28" s="551"/>
      <c r="EL28" s="551"/>
      <c r="EM28" s="551"/>
      <c r="EN28" s="551"/>
      <c r="EO28" s="551"/>
      <c r="EP28" s="551"/>
      <c r="EQ28" s="551"/>
      <c r="ER28" s="551"/>
      <c r="ES28" s="551"/>
      <c r="ET28" s="551"/>
      <c r="EU28" s="551"/>
      <c r="EV28" s="551"/>
      <c r="EW28" s="551"/>
      <c r="EX28" s="551"/>
      <c r="EY28" s="551"/>
      <c r="EZ28" s="551"/>
      <c r="FA28" s="551"/>
      <c r="FB28" s="551"/>
      <c r="FC28" s="551"/>
      <c r="FD28" s="551"/>
      <c r="FE28" s="551"/>
      <c r="FF28" s="551"/>
      <c r="FG28" s="551"/>
      <c r="FH28" s="551"/>
      <c r="FI28" s="551"/>
      <c r="FJ28" s="551"/>
      <c r="FK28" s="551"/>
      <c r="FL28" s="551"/>
      <c r="FM28" s="551"/>
      <c r="FN28" s="551"/>
      <c r="FO28" s="551"/>
      <c r="FP28" s="551"/>
      <c r="FQ28" s="551"/>
      <c r="FR28" s="551"/>
      <c r="FS28" s="551"/>
      <c r="FT28" s="551"/>
      <c r="FU28" s="551"/>
      <c r="FV28" s="551"/>
      <c r="FW28" s="551"/>
      <c r="FX28" s="551"/>
      <c r="FY28" s="551"/>
      <c r="FZ28" s="551"/>
      <c r="GA28" s="551"/>
      <c r="GB28" s="551"/>
      <c r="GC28" s="551"/>
      <c r="GD28" s="551"/>
      <c r="GE28" s="551"/>
      <c r="GF28" s="551"/>
      <c r="GG28" s="551"/>
      <c r="GH28" s="551"/>
      <c r="GI28" s="551"/>
      <c r="GJ28" s="551"/>
      <c r="GK28" s="551"/>
      <c r="GL28" s="551"/>
      <c r="GM28" s="551"/>
      <c r="GN28" s="551"/>
      <c r="GO28" s="551"/>
      <c r="GP28" s="551"/>
      <c r="GQ28" s="551"/>
      <c r="GR28" s="551"/>
      <c r="GS28" s="551"/>
      <c r="GT28" s="551"/>
      <c r="GU28" s="551"/>
      <c r="GV28" s="551"/>
      <c r="GW28" s="551"/>
      <c r="GX28" s="551"/>
      <c r="GY28" s="551"/>
      <c r="GZ28" s="551"/>
      <c r="HA28" s="551"/>
      <c r="HB28" s="551"/>
      <c r="HC28" s="551"/>
      <c r="HD28" s="551"/>
      <c r="HE28" s="551"/>
      <c r="HF28" s="551"/>
      <c r="HG28" s="551"/>
      <c r="HH28" s="551"/>
      <c r="HI28" s="551"/>
      <c r="HJ28" s="551"/>
      <c r="HK28" s="551"/>
      <c r="HL28" s="551"/>
      <c r="HM28" s="551"/>
      <c r="HN28" s="551"/>
      <c r="HO28" s="551"/>
      <c r="HP28" s="551"/>
      <c r="HQ28" s="551"/>
      <c r="HR28" s="551"/>
      <c r="HS28" s="551"/>
      <c r="HT28" s="551"/>
      <c r="HU28" s="551"/>
      <c r="HV28" s="551"/>
      <c r="HW28" s="551"/>
      <c r="HX28" s="551"/>
      <c r="HY28" s="551"/>
      <c r="HZ28" s="551"/>
      <c r="IA28" s="551"/>
      <c r="IB28" s="551"/>
      <c r="IC28" s="551"/>
      <c r="ID28" s="551"/>
      <c r="IE28" s="551"/>
      <c r="IF28" s="551"/>
      <c r="IG28" s="551"/>
      <c r="IH28" s="551"/>
      <c r="II28" s="551"/>
      <c r="IJ28" s="551"/>
      <c r="IK28" s="551"/>
      <c r="IL28" s="551"/>
      <c r="IM28" s="551"/>
      <c r="IN28" s="551"/>
      <c r="IO28" s="551"/>
      <c r="IP28" s="551"/>
      <c r="IQ28" s="551"/>
      <c r="IR28" s="551"/>
      <c r="IS28" s="551"/>
      <c r="IT28" s="551"/>
      <c r="IU28" s="551"/>
      <c r="IV28" s="551"/>
      <c r="IW28" s="551"/>
      <c r="IX28" s="551"/>
      <c r="IY28" s="551"/>
      <c r="IZ28" s="551"/>
      <c r="JA28" s="551"/>
      <c r="JB28" s="551"/>
      <c r="JC28" s="551"/>
      <c r="JD28" s="551"/>
      <c r="JE28" s="551"/>
      <c r="JF28" s="551"/>
      <c r="JG28" s="551"/>
      <c r="JH28" s="551"/>
      <c r="JI28" s="551"/>
      <c r="JJ28" s="551"/>
      <c r="JK28" s="551"/>
      <c r="JL28" s="551"/>
      <c r="JM28" s="551"/>
      <c r="JN28" s="551"/>
      <c r="JO28" s="551"/>
      <c r="JP28" s="551"/>
      <c r="JQ28" s="551"/>
      <c r="JR28" s="551"/>
      <c r="JS28" s="551"/>
      <c r="JT28" s="551"/>
      <c r="JU28" s="551"/>
      <c r="JV28" s="551"/>
      <c r="JW28" s="551"/>
      <c r="JX28" s="551"/>
      <c r="JY28" s="551"/>
      <c r="JZ28" s="551"/>
      <c r="KA28" s="551"/>
      <c r="KB28" s="551"/>
      <c r="KC28" s="551"/>
      <c r="KD28" s="551"/>
      <c r="KE28" s="551"/>
      <c r="KF28" s="551"/>
      <c r="KG28" s="551"/>
      <c r="KH28" s="551"/>
      <c r="KI28" s="551"/>
      <c r="KJ28" s="551"/>
      <c r="KK28" s="551"/>
      <c r="KL28" s="551"/>
      <c r="KM28" s="551"/>
      <c r="KN28" s="551"/>
      <c r="KO28" s="551"/>
      <c r="KP28" s="551"/>
      <c r="KQ28" s="551"/>
      <c r="KR28" s="551"/>
      <c r="KS28" s="551"/>
      <c r="KT28" s="551"/>
      <c r="KU28" s="551"/>
      <c r="KV28" s="551"/>
      <c r="KW28" s="551"/>
      <c r="KX28" s="551"/>
      <c r="KY28" s="551"/>
      <c r="KZ28" s="551"/>
      <c r="LA28" s="551"/>
      <c r="LB28" s="551"/>
      <c r="LC28" s="551"/>
      <c r="LD28" s="551"/>
      <c r="LE28" s="551"/>
      <c r="LF28" s="551"/>
      <c r="LG28" s="551"/>
      <c r="LH28" s="551"/>
      <c r="LI28" s="551"/>
      <c r="LJ28" s="551"/>
      <c r="LK28" s="551"/>
      <c r="LL28" s="551"/>
      <c r="LM28" s="551"/>
      <c r="LN28" s="551"/>
      <c r="LO28" s="551"/>
      <c r="LP28" s="551"/>
      <c r="LQ28" s="551"/>
      <c r="LR28" s="551"/>
      <c r="LS28" s="551"/>
      <c r="LT28" s="551"/>
      <c r="LU28" s="551"/>
      <c r="LV28" s="551"/>
      <c r="LW28" s="551"/>
      <c r="LX28" s="551"/>
      <c r="LY28" s="551"/>
      <c r="LZ28" s="551"/>
      <c r="MA28" s="551"/>
      <c r="MB28" s="551"/>
      <c r="MC28" s="551"/>
      <c r="MD28" s="551"/>
      <c r="ME28" s="551"/>
      <c r="MF28" s="551"/>
      <c r="MG28" s="551"/>
      <c r="MH28" s="551"/>
      <c r="MI28" s="551"/>
      <c r="MJ28" s="551"/>
      <c r="MK28" s="551"/>
      <c r="ML28" s="551"/>
      <c r="MM28" s="551"/>
      <c r="MN28" s="551"/>
      <c r="MO28" s="551"/>
      <c r="MP28" s="551"/>
      <c r="MQ28" s="551"/>
      <c r="MR28" s="551"/>
      <c r="MS28" s="551"/>
      <c r="MT28" s="551"/>
      <c r="MU28" s="551"/>
      <c r="MV28" s="551"/>
      <c r="MW28" s="551"/>
      <c r="MX28" s="551"/>
      <c r="MY28" s="551"/>
      <c r="MZ28" s="551"/>
      <c r="NA28" s="551"/>
      <c r="NB28" s="551"/>
      <c r="NC28" s="551"/>
      <c r="ND28" s="551"/>
      <c r="NE28" s="551"/>
      <c r="NF28" s="551"/>
      <c r="NG28" s="551"/>
      <c r="NH28" s="551"/>
      <c r="NI28" s="551"/>
      <c r="NJ28" s="551"/>
      <c r="NK28" s="551"/>
      <c r="NL28" s="551"/>
      <c r="NM28" s="551"/>
      <c r="NN28" s="551"/>
      <c r="NO28" s="551"/>
      <c r="NP28" s="551"/>
      <c r="NQ28" s="551"/>
      <c r="NR28" s="551"/>
      <c r="NS28" s="551"/>
      <c r="NT28" s="551"/>
      <c r="NU28" s="551"/>
      <c r="NV28" s="551"/>
      <c r="NW28" s="551"/>
      <c r="NX28" s="551"/>
      <c r="NY28" s="551"/>
      <c r="NZ28" s="551"/>
      <c r="OA28" s="551"/>
      <c r="OB28" s="551"/>
      <c r="OC28" s="551"/>
      <c r="OD28" s="551"/>
      <c r="OE28" s="551"/>
      <c r="OF28" s="551"/>
      <c r="OG28" s="551"/>
      <c r="OH28" s="551"/>
      <c r="OI28" s="551"/>
      <c r="OJ28" s="551"/>
      <c r="OK28" s="551"/>
      <c r="OL28" s="551"/>
      <c r="OM28" s="551"/>
      <c r="ON28" s="551"/>
      <c r="OO28" s="551"/>
      <c r="OP28" s="551"/>
      <c r="OQ28" s="551"/>
      <c r="OR28" s="551"/>
      <c r="OS28" s="551"/>
      <c r="OT28" s="551"/>
      <c r="OU28" s="551"/>
      <c r="OV28" s="551"/>
      <c r="OW28" s="551"/>
      <c r="OX28" s="551"/>
      <c r="OY28" s="551"/>
      <c r="OZ28" s="551"/>
      <c r="PA28" s="551"/>
      <c r="PB28" s="551"/>
      <c r="PC28" s="551"/>
      <c r="PD28" s="551"/>
      <c r="PE28" s="551"/>
      <c r="PF28" s="551"/>
      <c r="PG28" s="551"/>
      <c r="PH28" s="551"/>
      <c r="PI28" s="551"/>
      <c r="PJ28" s="551"/>
      <c r="PK28" s="551"/>
      <c r="PL28" s="551"/>
      <c r="PM28" s="551"/>
      <c r="PN28" s="551"/>
      <c r="PO28" s="551"/>
      <c r="PP28" s="551"/>
      <c r="PQ28" s="551"/>
      <c r="PR28" s="551"/>
      <c r="PS28" s="551"/>
      <c r="PT28" s="551"/>
      <c r="PU28" s="551"/>
      <c r="PV28" s="551"/>
      <c r="PW28" s="551"/>
      <c r="PX28" s="551"/>
      <c r="PY28" s="551"/>
      <c r="PZ28" s="551"/>
      <c r="QA28" s="551"/>
      <c r="QB28" s="551"/>
      <c r="QC28" s="551"/>
      <c r="QD28" s="551"/>
      <c r="QE28" s="551"/>
      <c r="QF28" s="551"/>
      <c r="QG28" s="551"/>
      <c r="QH28" s="551"/>
      <c r="QI28" s="551"/>
      <c r="QJ28" s="551"/>
      <c r="QK28" s="551"/>
      <c r="QL28" s="551"/>
      <c r="QM28" s="551"/>
      <c r="QN28" s="551"/>
      <c r="QO28" s="551"/>
      <c r="QP28" s="551"/>
      <c r="QQ28" s="551"/>
      <c r="QR28" s="551"/>
      <c r="QS28" s="551"/>
      <c r="QT28" s="551"/>
      <c r="QU28" s="551"/>
      <c r="QV28" s="551"/>
      <c r="QW28" s="551"/>
      <c r="QX28" s="551"/>
      <c r="QY28" s="551"/>
      <c r="QZ28" s="551"/>
      <c r="RA28" s="551"/>
      <c r="RB28" s="551"/>
      <c r="RC28" s="551"/>
      <c r="RD28" s="551"/>
      <c r="RE28" s="551"/>
      <c r="RF28" s="551"/>
      <c r="RG28" s="551"/>
      <c r="RH28" s="551"/>
      <c r="RI28" s="551"/>
      <c r="RJ28" s="551"/>
      <c r="RK28" s="551"/>
      <c r="RL28" s="551"/>
      <c r="RM28" s="551"/>
      <c r="RN28" s="551"/>
      <c r="RO28" s="551"/>
      <c r="RP28" s="551"/>
      <c r="RQ28" s="551"/>
      <c r="RR28" s="551"/>
      <c r="RS28" s="551"/>
      <c r="RT28" s="551"/>
      <c r="RU28" s="551"/>
      <c r="RV28" s="551"/>
      <c r="RW28" s="551"/>
      <c r="RX28" s="551"/>
      <c r="RY28" s="551"/>
      <c r="RZ28" s="551"/>
      <c r="SA28" s="551"/>
      <c r="SB28" s="551"/>
      <c r="SC28" s="551"/>
      <c r="SD28" s="551"/>
      <c r="SE28" s="551"/>
      <c r="SF28" s="551"/>
      <c r="SG28" s="551"/>
      <c r="SH28" s="551"/>
      <c r="SI28" s="551"/>
      <c r="SJ28" s="551"/>
      <c r="SK28" s="551"/>
      <c r="SL28" s="551"/>
      <c r="SM28" s="551"/>
      <c r="SN28" s="551"/>
      <c r="SO28" s="551"/>
      <c r="SP28" s="551"/>
      <c r="SQ28" s="551"/>
      <c r="SR28" s="551"/>
      <c r="SS28" s="551"/>
      <c r="ST28" s="551"/>
      <c r="SU28" s="551"/>
      <c r="SV28" s="551"/>
      <c r="SW28" s="551"/>
      <c r="SX28" s="551"/>
      <c r="SY28" s="551"/>
      <c r="SZ28" s="551"/>
      <c r="TA28" s="551"/>
      <c r="TB28" s="551"/>
      <c r="TC28" s="551"/>
      <c r="TD28" s="551"/>
      <c r="TE28" s="551"/>
      <c r="TF28" s="551"/>
      <c r="TG28" s="551"/>
      <c r="TH28" s="551"/>
      <c r="TI28" s="551"/>
      <c r="TJ28" s="551"/>
      <c r="TK28" s="551"/>
      <c r="TL28" s="551"/>
      <c r="TM28" s="551"/>
      <c r="TN28" s="551"/>
      <c r="TO28" s="551"/>
      <c r="TP28" s="551"/>
      <c r="TQ28" s="551"/>
      <c r="TR28" s="551"/>
      <c r="TS28" s="551"/>
      <c r="TT28" s="551"/>
      <c r="TU28" s="551"/>
      <c r="TV28" s="551"/>
      <c r="TW28" s="551"/>
      <c r="TX28" s="551"/>
      <c r="TY28" s="551"/>
      <c r="TZ28" s="551"/>
      <c r="UA28" s="551"/>
      <c r="UB28" s="551"/>
      <c r="UC28" s="551"/>
      <c r="UD28" s="551"/>
      <c r="UE28" s="551"/>
      <c r="UF28" s="551"/>
      <c r="UG28" s="551"/>
      <c r="UH28" s="551"/>
      <c r="UI28" s="551"/>
      <c r="UJ28" s="551"/>
      <c r="UK28" s="551"/>
      <c r="UL28" s="551"/>
      <c r="UM28" s="551"/>
      <c r="UN28" s="551"/>
      <c r="UO28" s="551"/>
      <c r="UP28" s="551"/>
      <c r="UQ28" s="551"/>
      <c r="UR28" s="551"/>
      <c r="US28" s="551"/>
      <c r="UT28" s="551"/>
      <c r="UU28" s="551"/>
      <c r="UV28" s="551"/>
      <c r="UW28" s="551"/>
      <c r="UX28" s="551"/>
      <c r="UY28" s="551"/>
      <c r="UZ28" s="551"/>
      <c r="VA28" s="551"/>
      <c r="VB28" s="551"/>
      <c r="VC28" s="551"/>
      <c r="VD28" s="551"/>
      <c r="VE28" s="551"/>
      <c r="VF28" s="551"/>
      <c r="VG28" s="551"/>
      <c r="VH28" s="551"/>
      <c r="VI28" s="551"/>
      <c r="VJ28" s="551"/>
      <c r="VK28" s="551"/>
      <c r="VL28" s="551"/>
      <c r="VM28" s="551"/>
      <c r="VN28" s="551"/>
      <c r="VO28" s="551"/>
      <c r="VP28" s="551"/>
      <c r="VQ28" s="551"/>
      <c r="VR28" s="551"/>
      <c r="VS28" s="551"/>
      <c r="VT28" s="551"/>
      <c r="VU28" s="551"/>
      <c r="VV28" s="551"/>
      <c r="VW28" s="551"/>
      <c r="VX28" s="551"/>
      <c r="VY28" s="551"/>
      <c r="VZ28" s="551"/>
      <c r="WA28" s="551"/>
      <c r="WB28" s="551"/>
      <c r="WC28" s="551"/>
      <c r="WD28" s="551"/>
      <c r="WE28" s="551"/>
      <c r="WF28" s="551"/>
      <c r="WG28" s="551"/>
      <c r="WH28" s="551"/>
      <c r="WI28" s="551"/>
      <c r="WJ28" s="551"/>
      <c r="WK28" s="551"/>
      <c r="WL28" s="551"/>
      <c r="WM28" s="551"/>
      <c r="WN28" s="551"/>
      <c r="WO28" s="551"/>
      <c r="WP28" s="551"/>
      <c r="WQ28" s="551"/>
      <c r="WR28" s="551"/>
      <c r="WS28" s="551"/>
      <c r="WT28" s="551"/>
      <c r="WU28" s="551"/>
      <c r="WV28" s="551"/>
      <c r="WW28" s="551"/>
      <c r="WX28" s="551"/>
      <c r="WY28" s="551"/>
      <c r="WZ28" s="551"/>
      <c r="XA28" s="551"/>
      <c r="XB28" s="551"/>
      <c r="XC28" s="551"/>
      <c r="XD28" s="551"/>
      <c r="XE28" s="551"/>
      <c r="XF28" s="551"/>
      <c r="XG28" s="551"/>
      <c r="XH28" s="551"/>
      <c r="XI28" s="551"/>
      <c r="XJ28" s="551"/>
      <c r="XK28" s="551"/>
      <c r="XL28" s="551"/>
      <c r="XM28" s="551"/>
      <c r="XN28" s="551"/>
      <c r="XO28" s="551"/>
      <c r="XP28" s="551"/>
      <c r="XQ28" s="551"/>
      <c r="XR28" s="551"/>
      <c r="XS28" s="551"/>
      <c r="XT28" s="551"/>
      <c r="XU28" s="551"/>
      <c r="XV28" s="551"/>
      <c r="XW28" s="551"/>
      <c r="XX28" s="551"/>
      <c r="XY28" s="551"/>
      <c r="XZ28" s="551"/>
      <c r="YA28" s="551"/>
      <c r="YB28" s="551"/>
      <c r="YC28" s="551"/>
      <c r="YD28" s="551"/>
      <c r="YE28" s="551"/>
      <c r="YF28" s="551"/>
      <c r="YG28" s="551"/>
      <c r="YH28" s="551"/>
      <c r="YI28" s="551"/>
      <c r="YJ28" s="551"/>
      <c r="YK28" s="551"/>
      <c r="YL28" s="551"/>
      <c r="YM28" s="551"/>
      <c r="YN28" s="551"/>
      <c r="YO28" s="551"/>
      <c r="YP28" s="551"/>
      <c r="YQ28" s="551"/>
      <c r="YR28" s="551"/>
      <c r="YS28" s="551"/>
      <c r="YT28" s="551"/>
      <c r="YU28" s="551"/>
      <c r="YV28" s="551"/>
      <c r="YW28" s="551"/>
      <c r="YX28" s="551"/>
      <c r="YY28" s="551"/>
      <c r="YZ28" s="551"/>
      <c r="ZA28" s="551"/>
      <c r="ZB28" s="551"/>
      <c r="ZC28" s="551"/>
      <c r="ZD28" s="551"/>
      <c r="ZE28" s="551"/>
      <c r="ZF28" s="551"/>
      <c r="ZG28" s="551"/>
      <c r="ZH28" s="551"/>
      <c r="ZI28" s="551"/>
      <c r="ZJ28" s="551"/>
      <c r="ZK28" s="551"/>
      <c r="ZL28" s="551"/>
      <c r="ZM28" s="551"/>
      <c r="ZN28" s="551"/>
      <c r="ZO28" s="551"/>
      <c r="ZP28" s="551"/>
      <c r="ZQ28" s="551"/>
      <c r="ZR28" s="551"/>
      <c r="ZS28" s="551"/>
      <c r="ZT28" s="551"/>
      <c r="ZU28" s="551"/>
      <c r="ZV28" s="551"/>
      <c r="ZW28" s="551"/>
      <c r="ZX28" s="551"/>
      <c r="ZY28" s="551"/>
      <c r="ZZ28" s="551"/>
      <c r="AAA28" s="551"/>
      <c r="AAB28" s="551"/>
      <c r="AAC28" s="551"/>
      <c r="AAD28" s="551"/>
      <c r="AAE28" s="551"/>
      <c r="AAF28" s="551"/>
      <c r="AAG28" s="551"/>
      <c r="AAH28" s="551"/>
      <c r="AAI28" s="551"/>
      <c r="AAJ28" s="551"/>
      <c r="AAK28" s="551"/>
      <c r="AAL28" s="551"/>
      <c r="AAM28" s="551"/>
      <c r="AAN28" s="551"/>
      <c r="AAO28" s="551"/>
      <c r="AAP28" s="551"/>
      <c r="AAQ28" s="551"/>
      <c r="AAR28" s="551"/>
      <c r="AAS28" s="551"/>
      <c r="AAT28" s="551"/>
      <c r="AAU28" s="551"/>
      <c r="AAV28" s="551"/>
      <c r="AAW28" s="551"/>
      <c r="AAX28" s="551"/>
      <c r="AAY28" s="551"/>
      <c r="AAZ28" s="551"/>
      <c r="ABA28" s="551"/>
      <c r="ABB28" s="551"/>
      <c r="ABC28" s="551"/>
      <c r="ABD28" s="551"/>
      <c r="ABE28" s="551"/>
      <c r="ABF28" s="551"/>
      <c r="ABG28" s="551"/>
      <c r="ABH28" s="551"/>
      <c r="ABI28" s="551"/>
      <c r="ABJ28" s="551"/>
      <c r="ABK28" s="551"/>
      <c r="ABL28" s="551"/>
      <c r="ABM28" s="551"/>
      <c r="ABN28" s="551"/>
      <c r="ABO28" s="551"/>
      <c r="ABP28" s="551"/>
      <c r="ABQ28" s="551"/>
      <c r="ABR28" s="551"/>
      <c r="ABS28" s="551"/>
      <c r="ABT28" s="551"/>
      <c r="ABU28" s="551"/>
      <c r="ABV28" s="551"/>
      <c r="ABW28" s="551"/>
      <c r="ABX28" s="551"/>
      <c r="ABY28" s="551"/>
      <c r="ABZ28" s="551"/>
      <c r="ACA28" s="551"/>
      <c r="ACB28" s="551"/>
      <c r="ACC28" s="551"/>
      <c r="ACD28" s="551"/>
      <c r="ACE28" s="551"/>
      <c r="ACF28" s="551"/>
      <c r="ACG28" s="551"/>
      <c r="ACH28" s="551"/>
      <c r="ACI28" s="551"/>
      <c r="ACJ28" s="551"/>
      <c r="ACK28" s="551"/>
      <c r="ACL28" s="551"/>
      <c r="ACM28" s="551"/>
      <c r="ACN28" s="551"/>
      <c r="ACO28" s="551"/>
      <c r="ACP28" s="551"/>
      <c r="ACQ28" s="551"/>
      <c r="ACR28" s="551"/>
      <c r="ACS28" s="551"/>
      <c r="ACT28" s="551"/>
      <c r="ACU28" s="551"/>
      <c r="ACV28" s="551"/>
      <c r="ACW28" s="551"/>
      <c r="ACX28" s="551"/>
      <c r="ACY28" s="551"/>
      <c r="ACZ28" s="551"/>
      <c r="ADA28" s="551"/>
      <c r="ADB28" s="551"/>
      <c r="ADC28" s="551"/>
      <c r="ADD28" s="551"/>
      <c r="ADE28" s="551"/>
      <c r="ADF28" s="551"/>
      <c r="ADG28" s="551"/>
      <c r="ADH28" s="551"/>
      <c r="ADI28" s="551"/>
      <c r="ADJ28" s="551"/>
      <c r="ADK28" s="551"/>
      <c r="ADL28" s="551"/>
      <c r="ADM28" s="551"/>
      <c r="ADN28" s="551"/>
      <c r="ADO28" s="551"/>
      <c r="ADP28" s="551"/>
      <c r="ADQ28" s="551"/>
      <c r="ADR28" s="551"/>
      <c r="ADS28" s="551"/>
      <c r="ADT28" s="551"/>
      <c r="ADU28" s="551"/>
      <c r="ADV28" s="551"/>
      <c r="ADW28" s="551"/>
      <c r="ADX28" s="551"/>
      <c r="ADY28" s="551"/>
      <c r="ADZ28" s="551"/>
      <c r="AEA28" s="551"/>
      <c r="AEB28" s="551"/>
      <c r="AEC28" s="551"/>
      <c r="AED28" s="551"/>
      <c r="AEE28" s="551"/>
      <c r="AEF28" s="551"/>
      <c r="AEG28" s="551"/>
      <c r="AEH28" s="551"/>
      <c r="AEI28" s="551"/>
      <c r="AEJ28" s="551"/>
      <c r="AEK28" s="551"/>
      <c r="AEL28" s="551"/>
      <c r="AEM28" s="551"/>
      <c r="AEN28" s="551"/>
      <c r="AEO28" s="551"/>
      <c r="AEP28" s="551"/>
      <c r="AEQ28" s="551"/>
      <c r="AER28" s="551"/>
      <c r="AES28" s="551"/>
      <c r="AET28" s="551"/>
      <c r="AEU28" s="551"/>
      <c r="AEV28" s="551"/>
      <c r="AEW28" s="551"/>
      <c r="AEX28" s="551"/>
      <c r="AEY28" s="551"/>
      <c r="AEZ28" s="551"/>
      <c r="AFA28" s="551"/>
      <c r="AFB28" s="551"/>
      <c r="AFC28" s="551"/>
      <c r="AFD28" s="551"/>
      <c r="AFE28" s="551"/>
      <c r="AFF28" s="551"/>
      <c r="AFG28" s="551"/>
      <c r="AFH28" s="551"/>
      <c r="AFI28" s="551"/>
      <c r="AFJ28" s="551"/>
      <c r="AFK28" s="551"/>
      <c r="AFL28" s="551"/>
      <c r="AFM28" s="551"/>
      <c r="AFN28" s="551"/>
      <c r="AFO28" s="551"/>
      <c r="AFP28" s="551"/>
      <c r="AFQ28" s="551"/>
      <c r="AFR28" s="551"/>
      <c r="AFS28" s="551"/>
      <c r="AFT28" s="551"/>
      <c r="AFU28" s="551"/>
      <c r="AFV28" s="551"/>
      <c r="AFW28" s="551"/>
      <c r="AFX28" s="551"/>
      <c r="AFY28" s="551"/>
      <c r="AFZ28" s="551"/>
      <c r="AGA28" s="551"/>
      <c r="AGB28" s="551"/>
      <c r="AGC28" s="551"/>
      <c r="AGD28" s="551"/>
      <c r="AGE28" s="551"/>
      <c r="AGF28" s="551"/>
      <c r="AGG28" s="551"/>
      <c r="AGH28" s="551"/>
      <c r="AGI28" s="551"/>
      <c r="AGJ28" s="551"/>
      <c r="AGK28" s="551"/>
      <c r="AGL28" s="551"/>
      <c r="AGM28" s="551"/>
      <c r="AGN28" s="551"/>
      <c r="AGO28" s="551"/>
      <c r="AGP28" s="551"/>
      <c r="AGQ28" s="551"/>
      <c r="AGR28" s="551"/>
      <c r="AGS28" s="551"/>
      <c r="AGT28" s="551"/>
      <c r="AGU28" s="551"/>
      <c r="AGV28" s="551"/>
      <c r="AGW28" s="551"/>
      <c r="AGX28" s="551"/>
      <c r="AGY28" s="551"/>
      <c r="AGZ28" s="551"/>
      <c r="AHA28" s="551"/>
      <c r="AHB28" s="551"/>
      <c r="AHC28" s="551"/>
      <c r="AHD28" s="551"/>
      <c r="AHE28" s="551"/>
      <c r="AHF28" s="551"/>
      <c r="AHG28" s="551"/>
      <c r="AHH28" s="551"/>
      <c r="AHI28" s="551"/>
      <c r="AHJ28" s="551"/>
      <c r="AHK28" s="551"/>
      <c r="AHL28" s="551"/>
      <c r="AHM28" s="551"/>
      <c r="AHN28" s="551"/>
      <c r="AHO28" s="551"/>
      <c r="AHP28" s="551"/>
      <c r="AHQ28" s="551"/>
      <c r="AHR28" s="551"/>
      <c r="AHS28" s="551"/>
      <c r="AHT28" s="551"/>
      <c r="AHU28" s="551"/>
      <c r="AHV28" s="551"/>
      <c r="AHW28" s="551"/>
      <c r="AHX28" s="551"/>
      <c r="AHY28" s="551"/>
      <c r="AHZ28" s="551"/>
      <c r="AIA28" s="551"/>
      <c r="AIB28" s="551"/>
      <c r="AIC28" s="551"/>
      <c r="AID28" s="551"/>
      <c r="AIE28" s="551"/>
      <c r="AIF28" s="551"/>
      <c r="AIG28" s="551"/>
      <c r="AIH28" s="551"/>
      <c r="AII28" s="551"/>
      <c r="AIJ28" s="551"/>
      <c r="AIK28" s="551"/>
      <c r="AIL28" s="551"/>
      <c r="AIM28" s="551"/>
      <c r="AIN28" s="551"/>
      <c r="AIO28" s="551"/>
      <c r="AIP28" s="551"/>
      <c r="AIQ28" s="551"/>
      <c r="AIR28" s="551"/>
      <c r="AIS28" s="551"/>
      <c r="AIT28" s="551"/>
      <c r="AIU28" s="551"/>
      <c r="AIV28" s="551"/>
      <c r="AIW28" s="551"/>
      <c r="AIX28" s="551"/>
      <c r="AIY28" s="551"/>
      <c r="AIZ28" s="551"/>
      <c r="AJA28" s="551"/>
      <c r="AJB28" s="551"/>
      <c r="AJC28" s="551"/>
      <c r="AJD28" s="551"/>
      <c r="AJE28" s="551"/>
      <c r="AJF28" s="551"/>
      <c r="AJG28" s="551"/>
      <c r="AJH28" s="551"/>
      <c r="AJI28" s="551"/>
      <c r="AJJ28" s="551"/>
      <c r="AJK28" s="551"/>
      <c r="AJL28" s="551"/>
      <c r="AJM28" s="551"/>
      <c r="AJN28" s="551"/>
      <c r="AJO28" s="551"/>
      <c r="AJP28" s="551"/>
      <c r="AJQ28" s="551"/>
      <c r="AJR28" s="551"/>
      <c r="AJS28" s="551"/>
      <c r="AJT28" s="551"/>
      <c r="AJU28" s="551"/>
      <c r="AJV28" s="551"/>
      <c r="AJW28" s="551"/>
      <c r="AJX28" s="551"/>
      <c r="AJY28" s="551"/>
      <c r="AJZ28" s="551"/>
      <c r="AKA28" s="551"/>
      <c r="AKB28" s="551"/>
      <c r="AKC28" s="551"/>
      <c r="AKD28" s="551"/>
      <c r="AKE28" s="551"/>
      <c r="AKF28" s="551"/>
      <c r="AKG28" s="551"/>
      <c r="AKH28" s="551"/>
      <c r="AKI28" s="551"/>
      <c r="AKJ28" s="551"/>
      <c r="AKK28" s="551"/>
      <c r="AKL28" s="551"/>
      <c r="AKM28" s="551"/>
      <c r="AKN28" s="551"/>
      <c r="AKO28" s="551"/>
      <c r="AKP28" s="551"/>
      <c r="AKQ28" s="551"/>
      <c r="AKR28" s="551"/>
      <c r="AKS28" s="551"/>
      <c r="AKT28" s="551"/>
      <c r="AKU28" s="551"/>
      <c r="AKV28" s="551"/>
      <c r="AKW28" s="551"/>
      <c r="AKX28" s="551"/>
      <c r="AKY28" s="551"/>
      <c r="AKZ28" s="551"/>
      <c r="ALA28" s="551"/>
      <c r="ALB28" s="551"/>
      <c r="ALC28" s="551"/>
      <c r="ALD28" s="551"/>
      <c r="ALE28" s="551"/>
      <c r="ALF28" s="551"/>
      <c r="ALG28" s="551"/>
      <c r="ALH28" s="551"/>
      <c r="ALI28" s="551"/>
      <c r="ALJ28" s="551"/>
      <c r="ALK28" s="551"/>
      <c r="ALL28" s="551"/>
      <c r="ALM28" s="551"/>
      <c r="ALN28" s="551"/>
      <c r="ALO28" s="551"/>
      <c r="ALP28" s="551"/>
      <c r="ALQ28" s="551"/>
      <c r="ALR28" s="551"/>
      <c r="ALS28" s="551"/>
      <c r="ALT28" s="551"/>
      <c r="ALU28" s="551"/>
      <c r="ALV28" s="551"/>
      <c r="ALW28" s="551"/>
      <c r="ALX28" s="551"/>
      <c r="ALY28" s="551"/>
      <c r="ALZ28" s="551"/>
      <c r="AMA28" s="551"/>
      <c r="AMB28" s="551"/>
      <c r="AMC28" s="551"/>
    </row>
    <row r="29" spans="1:1017" ht="15.75">
      <c r="A29" s="809">
        <v>5</v>
      </c>
      <c r="B29" s="810" t="s">
        <v>475</v>
      </c>
      <c r="C29" s="811">
        <v>5</v>
      </c>
      <c r="D29" s="812">
        <f>'Weekly Machinery Ex'!F142</f>
        <v>210</v>
      </c>
      <c r="E29" s="813">
        <f>'Weekly Machinery Ex'!G142</f>
        <v>0</v>
      </c>
      <c r="F29" s="813">
        <f>'Weekly Machinery Ex'!H142</f>
        <v>0</v>
      </c>
      <c r="G29" s="813">
        <f>'Weekly Machinery Ex'!S142</f>
        <v>675</v>
      </c>
      <c r="H29" s="813"/>
      <c r="I29" s="813"/>
      <c r="J29" s="813">
        <f t="shared" si="1"/>
        <v>3.2142857142857144</v>
      </c>
      <c r="K29" s="814"/>
    </row>
    <row r="30" spans="1:1017" s="85" customFormat="1" ht="15.75">
      <c r="A30" s="825">
        <v>6</v>
      </c>
      <c r="B30" s="816" t="s">
        <v>473</v>
      </c>
      <c r="C30" s="817">
        <v>1</v>
      </c>
      <c r="D30" s="818">
        <f>'Weekly Machinery Ex'!F115</f>
        <v>88</v>
      </c>
      <c r="E30" s="818">
        <f>'Weekly Machinery Ex'!G115</f>
        <v>0</v>
      </c>
      <c r="F30" s="818">
        <f>'Weekly Machinery Ex'!H115</f>
        <v>0</v>
      </c>
      <c r="G30" s="819">
        <f>'Weekly Machinery Ex'!S115</f>
        <v>350</v>
      </c>
      <c r="H30" s="819"/>
      <c r="I30" s="819"/>
      <c r="J30" s="819">
        <f t="shared" si="1"/>
        <v>3.9772727272727271</v>
      </c>
      <c r="K30" s="820"/>
      <c r="L30" s="551"/>
      <c r="M30" s="551"/>
      <c r="N30" s="551"/>
      <c r="O30" s="551"/>
      <c r="P30" s="551"/>
      <c r="Q30" s="551"/>
      <c r="R30" s="551"/>
      <c r="S30" s="551"/>
      <c r="T30" s="551"/>
      <c r="U30" s="551"/>
      <c r="V30" s="551"/>
      <c r="W30" s="551"/>
      <c r="X30" s="551"/>
      <c r="Y30" s="551"/>
      <c r="Z30" s="551"/>
      <c r="AA30" s="551"/>
      <c r="AB30" s="551"/>
      <c r="AC30" s="551"/>
      <c r="AD30" s="551"/>
      <c r="AE30" s="551"/>
      <c r="AF30" s="551"/>
      <c r="AG30" s="551"/>
      <c r="AH30" s="551"/>
      <c r="AI30" s="551"/>
      <c r="AJ30" s="551"/>
      <c r="AK30" s="551"/>
      <c r="AL30" s="551"/>
      <c r="AM30" s="551"/>
      <c r="AN30" s="551"/>
      <c r="AO30" s="551"/>
      <c r="AP30" s="551"/>
      <c r="AQ30" s="551"/>
      <c r="AR30" s="551"/>
      <c r="AS30" s="551"/>
      <c r="AT30" s="551"/>
      <c r="AU30" s="551"/>
      <c r="AV30" s="551"/>
      <c r="AW30" s="551"/>
      <c r="AX30" s="551"/>
      <c r="AY30" s="551"/>
      <c r="AZ30" s="551"/>
      <c r="BA30" s="551"/>
      <c r="BB30" s="551"/>
      <c r="BC30" s="551"/>
      <c r="BD30" s="551"/>
      <c r="BE30" s="551"/>
      <c r="BF30" s="551"/>
      <c r="BG30" s="551"/>
      <c r="BH30" s="551"/>
      <c r="BI30" s="551"/>
      <c r="BJ30" s="551"/>
      <c r="BK30" s="551"/>
      <c r="BL30" s="551"/>
      <c r="BM30" s="551"/>
      <c r="BN30" s="551"/>
      <c r="BO30" s="551"/>
      <c r="BP30" s="551"/>
      <c r="BQ30" s="551"/>
      <c r="BR30" s="551"/>
      <c r="BS30" s="551"/>
      <c r="BT30" s="551"/>
      <c r="BU30" s="551"/>
      <c r="BV30" s="551"/>
      <c r="BW30" s="551"/>
      <c r="BX30" s="551"/>
      <c r="BY30" s="551"/>
      <c r="BZ30" s="551"/>
      <c r="CA30" s="551"/>
      <c r="CB30" s="551"/>
      <c r="CC30" s="551"/>
      <c r="CD30" s="551"/>
      <c r="CE30" s="551"/>
      <c r="CF30" s="551"/>
      <c r="CG30" s="551"/>
      <c r="CH30" s="551"/>
      <c r="CI30" s="551"/>
      <c r="CJ30" s="551"/>
      <c r="CK30" s="551"/>
      <c r="CL30" s="551"/>
      <c r="CM30" s="551"/>
      <c r="CN30" s="551"/>
      <c r="CO30" s="551"/>
      <c r="CP30" s="551"/>
      <c r="CQ30" s="551"/>
      <c r="CR30" s="551"/>
      <c r="CS30" s="551"/>
      <c r="CT30" s="551"/>
      <c r="CU30" s="551"/>
      <c r="CV30" s="551"/>
      <c r="CW30" s="551"/>
      <c r="CX30" s="551"/>
      <c r="CY30" s="551"/>
      <c r="CZ30" s="551"/>
      <c r="DA30" s="551"/>
      <c r="DB30" s="551"/>
      <c r="DC30" s="551"/>
      <c r="DD30" s="551"/>
      <c r="DE30" s="551"/>
      <c r="DF30" s="551"/>
      <c r="DG30" s="551"/>
      <c r="DH30" s="551"/>
      <c r="DI30" s="551"/>
      <c r="DJ30" s="551"/>
      <c r="DK30" s="551"/>
      <c r="DL30" s="551"/>
      <c r="DM30" s="551"/>
      <c r="DN30" s="551"/>
      <c r="DO30" s="551"/>
      <c r="DP30" s="551"/>
      <c r="DQ30" s="551"/>
      <c r="DR30" s="551"/>
      <c r="DS30" s="551"/>
      <c r="DT30" s="551"/>
      <c r="DU30" s="551"/>
      <c r="DV30" s="551"/>
      <c r="DW30" s="551"/>
      <c r="DX30" s="551"/>
      <c r="DY30" s="551"/>
      <c r="DZ30" s="551"/>
      <c r="EA30" s="551"/>
      <c r="EB30" s="551"/>
      <c r="EC30" s="551"/>
      <c r="ED30" s="551"/>
      <c r="EE30" s="551"/>
      <c r="EF30" s="551"/>
      <c r="EG30" s="551"/>
      <c r="EH30" s="551"/>
      <c r="EI30" s="551"/>
      <c r="EJ30" s="551"/>
      <c r="EK30" s="551"/>
      <c r="EL30" s="551"/>
      <c r="EM30" s="551"/>
      <c r="EN30" s="551"/>
      <c r="EO30" s="551"/>
      <c r="EP30" s="551"/>
      <c r="EQ30" s="551"/>
      <c r="ER30" s="551"/>
      <c r="ES30" s="551"/>
      <c r="ET30" s="551"/>
      <c r="EU30" s="551"/>
      <c r="EV30" s="551"/>
      <c r="EW30" s="551"/>
      <c r="EX30" s="551"/>
      <c r="EY30" s="551"/>
      <c r="EZ30" s="551"/>
      <c r="FA30" s="551"/>
      <c r="FB30" s="551"/>
      <c r="FC30" s="551"/>
      <c r="FD30" s="551"/>
      <c r="FE30" s="551"/>
      <c r="FF30" s="551"/>
      <c r="FG30" s="551"/>
      <c r="FH30" s="551"/>
      <c r="FI30" s="551"/>
      <c r="FJ30" s="551"/>
      <c r="FK30" s="551"/>
      <c r="FL30" s="551"/>
      <c r="FM30" s="551"/>
      <c r="FN30" s="551"/>
      <c r="FO30" s="551"/>
      <c r="FP30" s="551"/>
      <c r="FQ30" s="551"/>
      <c r="FR30" s="551"/>
      <c r="FS30" s="551"/>
      <c r="FT30" s="551"/>
      <c r="FU30" s="551"/>
      <c r="FV30" s="551"/>
      <c r="FW30" s="551"/>
      <c r="FX30" s="551"/>
      <c r="FY30" s="551"/>
      <c r="FZ30" s="551"/>
      <c r="GA30" s="551"/>
      <c r="GB30" s="551"/>
      <c r="GC30" s="551"/>
      <c r="GD30" s="551"/>
      <c r="GE30" s="551"/>
      <c r="GF30" s="551"/>
      <c r="GG30" s="551"/>
      <c r="GH30" s="551"/>
      <c r="GI30" s="551"/>
      <c r="GJ30" s="551"/>
      <c r="GK30" s="551"/>
      <c r="GL30" s="551"/>
      <c r="GM30" s="551"/>
      <c r="GN30" s="551"/>
      <c r="GO30" s="551"/>
      <c r="GP30" s="551"/>
      <c r="GQ30" s="551"/>
      <c r="GR30" s="551"/>
      <c r="GS30" s="551"/>
      <c r="GT30" s="551"/>
      <c r="GU30" s="551"/>
      <c r="GV30" s="551"/>
      <c r="GW30" s="551"/>
      <c r="GX30" s="551"/>
      <c r="GY30" s="551"/>
      <c r="GZ30" s="551"/>
      <c r="HA30" s="551"/>
      <c r="HB30" s="551"/>
      <c r="HC30" s="551"/>
      <c r="HD30" s="551"/>
      <c r="HE30" s="551"/>
      <c r="HF30" s="551"/>
      <c r="HG30" s="551"/>
      <c r="HH30" s="551"/>
      <c r="HI30" s="551"/>
      <c r="HJ30" s="551"/>
      <c r="HK30" s="551"/>
      <c r="HL30" s="551"/>
      <c r="HM30" s="551"/>
      <c r="HN30" s="551"/>
      <c r="HO30" s="551"/>
      <c r="HP30" s="551"/>
      <c r="HQ30" s="551"/>
      <c r="HR30" s="551"/>
      <c r="HS30" s="551"/>
      <c r="HT30" s="551"/>
      <c r="HU30" s="551"/>
      <c r="HV30" s="551"/>
      <c r="HW30" s="551"/>
      <c r="HX30" s="551"/>
      <c r="HY30" s="551"/>
      <c r="HZ30" s="551"/>
      <c r="IA30" s="551"/>
      <c r="IB30" s="551"/>
      <c r="IC30" s="551"/>
      <c r="ID30" s="551"/>
      <c r="IE30" s="551"/>
      <c r="IF30" s="551"/>
      <c r="IG30" s="551"/>
      <c r="IH30" s="551"/>
      <c r="II30" s="551"/>
      <c r="IJ30" s="551"/>
      <c r="IK30" s="551"/>
      <c r="IL30" s="551"/>
      <c r="IM30" s="551"/>
      <c r="IN30" s="551"/>
      <c r="IO30" s="551"/>
      <c r="IP30" s="551"/>
      <c r="IQ30" s="551"/>
      <c r="IR30" s="551"/>
      <c r="IS30" s="551"/>
      <c r="IT30" s="551"/>
      <c r="IU30" s="551"/>
      <c r="IV30" s="551"/>
      <c r="IW30" s="551"/>
      <c r="IX30" s="551"/>
      <c r="IY30" s="551"/>
      <c r="IZ30" s="551"/>
      <c r="JA30" s="551"/>
      <c r="JB30" s="551"/>
      <c r="JC30" s="551"/>
      <c r="JD30" s="551"/>
      <c r="JE30" s="551"/>
      <c r="JF30" s="551"/>
      <c r="JG30" s="551"/>
      <c r="JH30" s="551"/>
      <c r="JI30" s="551"/>
      <c r="JJ30" s="551"/>
      <c r="JK30" s="551"/>
      <c r="JL30" s="551"/>
      <c r="JM30" s="551"/>
      <c r="JN30" s="551"/>
      <c r="JO30" s="551"/>
      <c r="JP30" s="551"/>
      <c r="JQ30" s="551"/>
      <c r="JR30" s="551"/>
      <c r="JS30" s="551"/>
      <c r="JT30" s="551"/>
      <c r="JU30" s="551"/>
      <c r="JV30" s="551"/>
      <c r="JW30" s="551"/>
      <c r="JX30" s="551"/>
      <c r="JY30" s="551"/>
      <c r="JZ30" s="551"/>
      <c r="KA30" s="551"/>
      <c r="KB30" s="551"/>
      <c r="KC30" s="551"/>
      <c r="KD30" s="551"/>
      <c r="KE30" s="551"/>
      <c r="KF30" s="551"/>
      <c r="KG30" s="551"/>
      <c r="KH30" s="551"/>
      <c r="KI30" s="551"/>
      <c r="KJ30" s="551"/>
      <c r="KK30" s="551"/>
      <c r="KL30" s="551"/>
      <c r="KM30" s="551"/>
      <c r="KN30" s="551"/>
      <c r="KO30" s="551"/>
      <c r="KP30" s="551"/>
      <c r="KQ30" s="551"/>
      <c r="KR30" s="551"/>
      <c r="KS30" s="551"/>
      <c r="KT30" s="551"/>
      <c r="KU30" s="551"/>
      <c r="KV30" s="551"/>
      <c r="KW30" s="551"/>
      <c r="KX30" s="551"/>
      <c r="KY30" s="551"/>
      <c r="KZ30" s="551"/>
      <c r="LA30" s="551"/>
      <c r="LB30" s="551"/>
      <c r="LC30" s="551"/>
      <c r="LD30" s="551"/>
      <c r="LE30" s="551"/>
      <c r="LF30" s="551"/>
      <c r="LG30" s="551"/>
      <c r="LH30" s="551"/>
      <c r="LI30" s="551"/>
      <c r="LJ30" s="551"/>
      <c r="LK30" s="551"/>
      <c r="LL30" s="551"/>
      <c r="LM30" s="551"/>
      <c r="LN30" s="551"/>
      <c r="LO30" s="551"/>
      <c r="LP30" s="551"/>
      <c r="LQ30" s="551"/>
      <c r="LR30" s="551"/>
      <c r="LS30" s="551"/>
      <c r="LT30" s="551"/>
      <c r="LU30" s="551"/>
      <c r="LV30" s="551"/>
      <c r="LW30" s="551"/>
      <c r="LX30" s="551"/>
      <c r="LY30" s="551"/>
      <c r="LZ30" s="551"/>
      <c r="MA30" s="551"/>
      <c r="MB30" s="551"/>
      <c r="MC30" s="551"/>
      <c r="MD30" s="551"/>
      <c r="ME30" s="551"/>
      <c r="MF30" s="551"/>
      <c r="MG30" s="551"/>
      <c r="MH30" s="551"/>
      <c r="MI30" s="551"/>
      <c r="MJ30" s="551"/>
      <c r="MK30" s="551"/>
      <c r="ML30" s="551"/>
      <c r="MM30" s="551"/>
      <c r="MN30" s="551"/>
      <c r="MO30" s="551"/>
      <c r="MP30" s="551"/>
      <c r="MQ30" s="551"/>
      <c r="MR30" s="551"/>
      <c r="MS30" s="551"/>
      <c r="MT30" s="551"/>
      <c r="MU30" s="551"/>
      <c r="MV30" s="551"/>
      <c r="MW30" s="551"/>
      <c r="MX30" s="551"/>
      <c r="MY30" s="551"/>
      <c r="MZ30" s="551"/>
      <c r="NA30" s="551"/>
      <c r="NB30" s="551"/>
      <c r="NC30" s="551"/>
      <c r="ND30" s="551"/>
      <c r="NE30" s="551"/>
      <c r="NF30" s="551"/>
      <c r="NG30" s="551"/>
      <c r="NH30" s="551"/>
      <c r="NI30" s="551"/>
      <c r="NJ30" s="551"/>
      <c r="NK30" s="551"/>
      <c r="NL30" s="551"/>
      <c r="NM30" s="551"/>
      <c r="NN30" s="551"/>
      <c r="NO30" s="551"/>
      <c r="NP30" s="551"/>
      <c r="NQ30" s="551"/>
      <c r="NR30" s="551"/>
      <c r="NS30" s="551"/>
      <c r="NT30" s="551"/>
      <c r="NU30" s="551"/>
      <c r="NV30" s="551"/>
      <c r="NW30" s="551"/>
      <c r="NX30" s="551"/>
      <c r="NY30" s="551"/>
      <c r="NZ30" s="551"/>
      <c r="OA30" s="551"/>
      <c r="OB30" s="551"/>
      <c r="OC30" s="551"/>
      <c r="OD30" s="551"/>
      <c r="OE30" s="551"/>
      <c r="OF30" s="551"/>
      <c r="OG30" s="551"/>
      <c r="OH30" s="551"/>
      <c r="OI30" s="551"/>
      <c r="OJ30" s="551"/>
      <c r="OK30" s="551"/>
      <c r="OL30" s="551"/>
      <c r="OM30" s="551"/>
      <c r="ON30" s="551"/>
      <c r="OO30" s="551"/>
      <c r="OP30" s="551"/>
      <c r="OQ30" s="551"/>
      <c r="OR30" s="551"/>
      <c r="OS30" s="551"/>
      <c r="OT30" s="551"/>
      <c r="OU30" s="551"/>
      <c r="OV30" s="551"/>
      <c r="OW30" s="551"/>
      <c r="OX30" s="551"/>
      <c r="OY30" s="551"/>
      <c r="OZ30" s="551"/>
      <c r="PA30" s="551"/>
      <c r="PB30" s="551"/>
      <c r="PC30" s="551"/>
      <c r="PD30" s="551"/>
      <c r="PE30" s="551"/>
      <c r="PF30" s="551"/>
      <c r="PG30" s="551"/>
      <c r="PH30" s="551"/>
      <c r="PI30" s="551"/>
      <c r="PJ30" s="551"/>
      <c r="PK30" s="551"/>
      <c r="PL30" s="551"/>
      <c r="PM30" s="551"/>
      <c r="PN30" s="551"/>
      <c r="PO30" s="551"/>
      <c r="PP30" s="551"/>
      <c r="PQ30" s="551"/>
      <c r="PR30" s="551"/>
      <c r="PS30" s="551"/>
      <c r="PT30" s="551"/>
      <c r="PU30" s="551"/>
      <c r="PV30" s="551"/>
      <c r="PW30" s="551"/>
      <c r="PX30" s="551"/>
      <c r="PY30" s="551"/>
      <c r="PZ30" s="551"/>
      <c r="QA30" s="551"/>
      <c r="QB30" s="551"/>
      <c r="QC30" s="551"/>
      <c r="QD30" s="551"/>
      <c r="QE30" s="551"/>
      <c r="QF30" s="551"/>
      <c r="QG30" s="551"/>
      <c r="QH30" s="551"/>
      <c r="QI30" s="551"/>
      <c r="QJ30" s="551"/>
      <c r="QK30" s="551"/>
      <c r="QL30" s="551"/>
      <c r="QM30" s="551"/>
      <c r="QN30" s="551"/>
      <c r="QO30" s="551"/>
      <c r="QP30" s="551"/>
      <c r="QQ30" s="551"/>
      <c r="QR30" s="551"/>
      <c r="QS30" s="551"/>
      <c r="QT30" s="551"/>
      <c r="QU30" s="551"/>
      <c r="QV30" s="551"/>
      <c r="QW30" s="551"/>
      <c r="QX30" s="551"/>
      <c r="QY30" s="551"/>
      <c r="QZ30" s="551"/>
      <c r="RA30" s="551"/>
      <c r="RB30" s="551"/>
      <c r="RC30" s="551"/>
      <c r="RD30" s="551"/>
      <c r="RE30" s="551"/>
      <c r="RF30" s="551"/>
      <c r="RG30" s="551"/>
      <c r="RH30" s="551"/>
      <c r="RI30" s="551"/>
      <c r="RJ30" s="551"/>
      <c r="RK30" s="551"/>
      <c r="RL30" s="551"/>
      <c r="RM30" s="551"/>
      <c r="RN30" s="551"/>
      <c r="RO30" s="551"/>
      <c r="RP30" s="551"/>
      <c r="RQ30" s="551"/>
      <c r="RR30" s="551"/>
      <c r="RS30" s="551"/>
      <c r="RT30" s="551"/>
      <c r="RU30" s="551"/>
      <c r="RV30" s="551"/>
      <c r="RW30" s="551"/>
      <c r="RX30" s="551"/>
      <c r="RY30" s="551"/>
      <c r="RZ30" s="551"/>
      <c r="SA30" s="551"/>
      <c r="SB30" s="551"/>
      <c r="SC30" s="551"/>
      <c r="SD30" s="551"/>
      <c r="SE30" s="551"/>
      <c r="SF30" s="551"/>
      <c r="SG30" s="551"/>
      <c r="SH30" s="551"/>
      <c r="SI30" s="551"/>
      <c r="SJ30" s="551"/>
      <c r="SK30" s="551"/>
      <c r="SL30" s="551"/>
      <c r="SM30" s="551"/>
      <c r="SN30" s="551"/>
      <c r="SO30" s="551"/>
      <c r="SP30" s="551"/>
      <c r="SQ30" s="551"/>
      <c r="SR30" s="551"/>
      <c r="SS30" s="551"/>
      <c r="ST30" s="551"/>
      <c r="SU30" s="551"/>
      <c r="SV30" s="551"/>
      <c r="SW30" s="551"/>
      <c r="SX30" s="551"/>
      <c r="SY30" s="551"/>
      <c r="SZ30" s="551"/>
      <c r="TA30" s="551"/>
      <c r="TB30" s="551"/>
      <c r="TC30" s="551"/>
      <c r="TD30" s="551"/>
      <c r="TE30" s="551"/>
      <c r="TF30" s="551"/>
      <c r="TG30" s="551"/>
      <c r="TH30" s="551"/>
      <c r="TI30" s="551"/>
      <c r="TJ30" s="551"/>
      <c r="TK30" s="551"/>
      <c r="TL30" s="551"/>
      <c r="TM30" s="551"/>
      <c r="TN30" s="551"/>
      <c r="TO30" s="551"/>
      <c r="TP30" s="551"/>
      <c r="TQ30" s="551"/>
      <c r="TR30" s="551"/>
      <c r="TS30" s="551"/>
      <c r="TT30" s="551"/>
      <c r="TU30" s="551"/>
      <c r="TV30" s="551"/>
      <c r="TW30" s="551"/>
      <c r="TX30" s="551"/>
      <c r="TY30" s="551"/>
      <c r="TZ30" s="551"/>
      <c r="UA30" s="551"/>
      <c r="UB30" s="551"/>
      <c r="UC30" s="551"/>
      <c r="UD30" s="551"/>
      <c r="UE30" s="551"/>
      <c r="UF30" s="551"/>
      <c r="UG30" s="551"/>
      <c r="UH30" s="551"/>
      <c r="UI30" s="551"/>
      <c r="UJ30" s="551"/>
      <c r="UK30" s="551"/>
      <c r="UL30" s="551"/>
      <c r="UM30" s="551"/>
      <c r="UN30" s="551"/>
      <c r="UO30" s="551"/>
      <c r="UP30" s="551"/>
      <c r="UQ30" s="551"/>
      <c r="UR30" s="551"/>
      <c r="US30" s="551"/>
      <c r="UT30" s="551"/>
      <c r="UU30" s="551"/>
      <c r="UV30" s="551"/>
      <c r="UW30" s="551"/>
      <c r="UX30" s="551"/>
      <c r="UY30" s="551"/>
      <c r="UZ30" s="551"/>
      <c r="VA30" s="551"/>
      <c r="VB30" s="551"/>
      <c r="VC30" s="551"/>
      <c r="VD30" s="551"/>
      <c r="VE30" s="551"/>
      <c r="VF30" s="551"/>
      <c r="VG30" s="551"/>
      <c r="VH30" s="551"/>
      <c r="VI30" s="551"/>
      <c r="VJ30" s="551"/>
      <c r="VK30" s="551"/>
      <c r="VL30" s="551"/>
      <c r="VM30" s="551"/>
      <c r="VN30" s="551"/>
      <c r="VO30" s="551"/>
      <c r="VP30" s="551"/>
      <c r="VQ30" s="551"/>
      <c r="VR30" s="551"/>
      <c r="VS30" s="551"/>
      <c r="VT30" s="551"/>
      <c r="VU30" s="551"/>
      <c r="VV30" s="551"/>
      <c r="VW30" s="551"/>
      <c r="VX30" s="551"/>
      <c r="VY30" s="551"/>
      <c r="VZ30" s="551"/>
      <c r="WA30" s="551"/>
      <c r="WB30" s="551"/>
      <c r="WC30" s="551"/>
      <c r="WD30" s="551"/>
      <c r="WE30" s="551"/>
      <c r="WF30" s="551"/>
      <c r="WG30" s="551"/>
      <c r="WH30" s="551"/>
      <c r="WI30" s="551"/>
      <c r="WJ30" s="551"/>
      <c r="WK30" s="551"/>
      <c r="WL30" s="551"/>
      <c r="WM30" s="551"/>
      <c r="WN30" s="551"/>
      <c r="WO30" s="551"/>
      <c r="WP30" s="551"/>
      <c r="WQ30" s="551"/>
      <c r="WR30" s="551"/>
      <c r="WS30" s="551"/>
      <c r="WT30" s="551"/>
      <c r="WU30" s="551"/>
      <c r="WV30" s="551"/>
      <c r="WW30" s="551"/>
      <c r="WX30" s="551"/>
      <c r="WY30" s="551"/>
      <c r="WZ30" s="551"/>
      <c r="XA30" s="551"/>
      <c r="XB30" s="551"/>
      <c r="XC30" s="551"/>
      <c r="XD30" s="551"/>
      <c r="XE30" s="551"/>
      <c r="XF30" s="551"/>
      <c r="XG30" s="551"/>
      <c r="XH30" s="551"/>
      <c r="XI30" s="551"/>
      <c r="XJ30" s="551"/>
      <c r="XK30" s="551"/>
      <c r="XL30" s="551"/>
      <c r="XM30" s="551"/>
      <c r="XN30" s="551"/>
      <c r="XO30" s="551"/>
      <c r="XP30" s="551"/>
      <c r="XQ30" s="551"/>
      <c r="XR30" s="551"/>
      <c r="XS30" s="551"/>
      <c r="XT30" s="551"/>
      <c r="XU30" s="551"/>
      <c r="XV30" s="551"/>
      <c r="XW30" s="551"/>
      <c r="XX30" s="551"/>
      <c r="XY30" s="551"/>
      <c r="XZ30" s="551"/>
      <c r="YA30" s="551"/>
      <c r="YB30" s="551"/>
      <c r="YC30" s="551"/>
      <c r="YD30" s="551"/>
      <c r="YE30" s="551"/>
      <c r="YF30" s="551"/>
      <c r="YG30" s="551"/>
      <c r="YH30" s="551"/>
      <c r="YI30" s="551"/>
      <c r="YJ30" s="551"/>
      <c r="YK30" s="551"/>
      <c r="YL30" s="551"/>
      <c r="YM30" s="551"/>
      <c r="YN30" s="551"/>
      <c r="YO30" s="551"/>
      <c r="YP30" s="551"/>
      <c r="YQ30" s="551"/>
      <c r="YR30" s="551"/>
      <c r="YS30" s="551"/>
      <c r="YT30" s="551"/>
      <c r="YU30" s="551"/>
      <c r="YV30" s="551"/>
      <c r="YW30" s="551"/>
      <c r="YX30" s="551"/>
      <c r="YY30" s="551"/>
      <c r="YZ30" s="551"/>
      <c r="ZA30" s="551"/>
      <c r="ZB30" s="551"/>
      <c r="ZC30" s="551"/>
      <c r="ZD30" s="551"/>
      <c r="ZE30" s="551"/>
      <c r="ZF30" s="551"/>
      <c r="ZG30" s="551"/>
      <c r="ZH30" s="551"/>
      <c r="ZI30" s="551"/>
      <c r="ZJ30" s="551"/>
      <c r="ZK30" s="551"/>
      <c r="ZL30" s="551"/>
      <c r="ZM30" s="551"/>
      <c r="ZN30" s="551"/>
      <c r="ZO30" s="551"/>
      <c r="ZP30" s="551"/>
      <c r="ZQ30" s="551"/>
      <c r="ZR30" s="551"/>
      <c r="ZS30" s="551"/>
      <c r="ZT30" s="551"/>
      <c r="ZU30" s="551"/>
      <c r="ZV30" s="551"/>
      <c r="ZW30" s="551"/>
      <c r="ZX30" s="551"/>
      <c r="ZY30" s="551"/>
      <c r="ZZ30" s="551"/>
      <c r="AAA30" s="551"/>
      <c r="AAB30" s="551"/>
      <c r="AAC30" s="551"/>
      <c r="AAD30" s="551"/>
      <c r="AAE30" s="551"/>
      <c r="AAF30" s="551"/>
      <c r="AAG30" s="551"/>
      <c r="AAH30" s="551"/>
      <c r="AAI30" s="551"/>
      <c r="AAJ30" s="551"/>
      <c r="AAK30" s="551"/>
      <c r="AAL30" s="551"/>
      <c r="AAM30" s="551"/>
      <c r="AAN30" s="551"/>
      <c r="AAO30" s="551"/>
      <c r="AAP30" s="551"/>
      <c r="AAQ30" s="551"/>
      <c r="AAR30" s="551"/>
      <c r="AAS30" s="551"/>
      <c r="AAT30" s="551"/>
      <c r="AAU30" s="551"/>
      <c r="AAV30" s="551"/>
      <c r="AAW30" s="551"/>
      <c r="AAX30" s="551"/>
      <c r="AAY30" s="551"/>
      <c r="AAZ30" s="551"/>
      <c r="ABA30" s="551"/>
      <c r="ABB30" s="551"/>
      <c r="ABC30" s="551"/>
      <c r="ABD30" s="551"/>
      <c r="ABE30" s="551"/>
      <c r="ABF30" s="551"/>
      <c r="ABG30" s="551"/>
      <c r="ABH30" s="551"/>
      <c r="ABI30" s="551"/>
      <c r="ABJ30" s="551"/>
      <c r="ABK30" s="551"/>
      <c r="ABL30" s="551"/>
      <c r="ABM30" s="551"/>
      <c r="ABN30" s="551"/>
      <c r="ABO30" s="551"/>
      <c r="ABP30" s="551"/>
      <c r="ABQ30" s="551"/>
      <c r="ABR30" s="551"/>
      <c r="ABS30" s="551"/>
      <c r="ABT30" s="551"/>
      <c r="ABU30" s="551"/>
      <c r="ABV30" s="551"/>
      <c r="ABW30" s="551"/>
      <c r="ABX30" s="551"/>
      <c r="ABY30" s="551"/>
      <c r="ABZ30" s="551"/>
      <c r="ACA30" s="551"/>
      <c r="ACB30" s="551"/>
      <c r="ACC30" s="551"/>
      <c r="ACD30" s="551"/>
      <c r="ACE30" s="551"/>
      <c r="ACF30" s="551"/>
      <c r="ACG30" s="551"/>
      <c r="ACH30" s="551"/>
      <c r="ACI30" s="551"/>
      <c r="ACJ30" s="551"/>
      <c r="ACK30" s="551"/>
      <c r="ACL30" s="551"/>
      <c r="ACM30" s="551"/>
      <c r="ACN30" s="551"/>
      <c r="ACO30" s="551"/>
      <c r="ACP30" s="551"/>
      <c r="ACQ30" s="551"/>
      <c r="ACR30" s="551"/>
      <c r="ACS30" s="551"/>
      <c r="ACT30" s="551"/>
      <c r="ACU30" s="551"/>
      <c r="ACV30" s="551"/>
      <c r="ACW30" s="551"/>
      <c r="ACX30" s="551"/>
      <c r="ACY30" s="551"/>
      <c r="ACZ30" s="551"/>
      <c r="ADA30" s="551"/>
      <c r="ADB30" s="551"/>
      <c r="ADC30" s="551"/>
      <c r="ADD30" s="551"/>
      <c r="ADE30" s="551"/>
      <c r="ADF30" s="551"/>
      <c r="ADG30" s="551"/>
      <c r="ADH30" s="551"/>
      <c r="ADI30" s="551"/>
      <c r="ADJ30" s="551"/>
      <c r="ADK30" s="551"/>
      <c r="ADL30" s="551"/>
      <c r="ADM30" s="551"/>
      <c r="ADN30" s="551"/>
      <c r="ADO30" s="551"/>
      <c r="ADP30" s="551"/>
      <c r="ADQ30" s="551"/>
      <c r="ADR30" s="551"/>
      <c r="ADS30" s="551"/>
      <c r="ADT30" s="551"/>
      <c r="ADU30" s="551"/>
      <c r="ADV30" s="551"/>
      <c r="ADW30" s="551"/>
      <c r="ADX30" s="551"/>
      <c r="ADY30" s="551"/>
      <c r="ADZ30" s="551"/>
      <c r="AEA30" s="551"/>
      <c r="AEB30" s="551"/>
      <c r="AEC30" s="551"/>
      <c r="AED30" s="551"/>
      <c r="AEE30" s="551"/>
      <c r="AEF30" s="551"/>
      <c r="AEG30" s="551"/>
      <c r="AEH30" s="551"/>
      <c r="AEI30" s="551"/>
      <c r="AEJ30" s="551"/>
      <c r="AEK30" s="551"/>
      <c r="AEL30" s="551"/>
      <c r="AEM30" s="551"/>
      <c r="AEN30" s="551"/>
      <c r="AEO30" s="551"/>
      <c r="AEP30" s="551"/>
      <c r="AEQ30" s="551"/>
      <c r="AER30" s="551"/>
      <c r="AES30" s="551"/>
      <c r="AET30" s="551"/>
      <c r="AEU30" s="551"/>
      <c r="AEV30" s="551"/>
      <c r="AEW30" s="551"/>
      <c r="AEX30" s="551"/>
      <c r="AEY30" s="551"/>
      <c r="AEZ30" s="551"/>
      <c r="AFA30" s="551"/>
      <c r="AFB30" s="551"/>
      <c r="AFC30" s="551"/>
      <c r="AFD30" s="551"/>
      <c r="AFE30" s="551"/>
      <c r="AFF30" s="551"/>
      <c r="AFG30" s="551"/>
      <c r="AFH30" s="551"/>
      <c r="AFI30" s="551"/>
      <c r="AFJ30" s="551"/>
      <c r="AFK30" s="551"/>
      <c r="AFL30" s="551"/>
      <c r="AFM30" s="551"/>
      <c r="AFN30" s="551"/>
      <c r="AFO30" s="551"/>
      <c r="AFP30" s="551"/>
      <c r="AFQ30" s="551"/>
      <c r="AFR30" s="551"/>
      <c r="AFS30" s="551"/>
      <c r="AFT30" s="551"/>
      <c r="AFU30" s="551"/>
      <c r="AFV30" s="551"/>
      <c r="AFW30" s="551"/>
      <c r="AFX30" s="551"/>
      <c r="AFY30" s="551"/>
      <c r="AFZ30" s="551"/>
      <c r="AGA30" s="551"/>
      <c r="AGB30" s="551"/>
      <c r="AGC30" s="551"/>
      <c r="AGD30" s="551"/>
      <c r="AGE30" s="551"/>
      <c r="AGF30" s="551"/>
      <c r="AGG30" s="551"/>
      <c r="AGH30" s="551"/>
      <c r="AGI30" s="551"/>
      <c r="AGJ30" s="551"/>
      <c r="AGK30" s="551"/>
      <c r="AGL30" s="551"/>
      <c r="AGM30" s="551"/>
      <c r="AGN30" s="551"/>
      <c r="AGO30" s="551"/>
      <c r="AGP30" s="551"/>
      <c r="AGQ30" s="551"/>
      <c r="AGR30" s="551"/>
      <c r="AGS30" s="551"/>
      <c r="AGT30" s="551"/>
      <c r="AGU30" s="551"/>
      <c r="AGV30" s="551"/>
      <c r="AGW30" s="551"/>
      <c r="AGX30" s="551"/>
      <c r="AGY30" s="551"/>
      <c r="AGZ30" s="551"/>
      <c r="AHA30" s="551"/>
      <c r="AHB30" s="551"/>
      <c r="AHC30" s="551"/>
      <c r="AHD30" s="551"/>
      <c r="AHE30" s="551"/>
      <c r="AHF30" s="551"/>
      <c r="AHG30" s="551"/>
      <c r="AHH30" s="551"/>
      <c r="AHI30" s="551"/>
      <c r="AHJ30" s="551"/>
      <c r="AHK30" s="551"/>
      <c r="AHL30" s="551"/>
      <c r="AHM30" s="551"/>
      <c r="AHN30" s="551"/>
      <c r="AHO30" s="551"/>
      <c r="AHP30" s="551"/>
      <c r="AHQ30" s="551"/>
      <c r="AHR30" s="551"/>
      <c r="AHS30" s="551"/>
      <c r="AHT30" s="551"/>
      <c r="AHU30" s="551"/>
      <c r="AHV30" s="551"/>
      <c r="AHW30" s="551"/>
      <c r="AHX30" s="551"/>
      <c r="AHY30" s="551"/>
      <c r="AHZ30" s="551"/>
      <c r="AIA30" s="551"/>
      <c r="AIB30" s="551"/>
      <c r="AIC30" s="551"/>
      <c r="AID30" s="551"/>
      <c r="AIE30" s="551"/>
      <c r="AIF30" s="551"/>
      <c r="AIG30" s="551"/>
      <c r="AIH30" s="551"/>
      <c r="AII30" s="551"/>
      <c r="AIJ30" s="551"/>
      <c r="AIK30" s="551"/>
      <c r="AIL30" s="551"/>
      <c r="AIM30" s="551"/>
      <c r="AIN30" s="551"/>
      <c r="AIO30" s="551"/>
      <c r="AIP30" s="551"/>
      <c r="AIQ30" s="551"/>
      <c r="AIR30" s="551"/>
      <c r="AIS30" s="551"/>
      <c r="AIT30" s="551"/>
      <c r="AIU30" s="551"/>
      <c r="AIV30" s="551"/>
      <c r="AIW30" s="551"/>
      <c r="AIX30" s="551"/>
      <c r="AIY30" s="551"/>
      <c r="AIZ30" s="551"/>
      <c r="AJA30" s="551"/>
      <c r="AJB30" s="551"/>
      <c r="AJC30" s="551"/>
      <c r="AJD30" s="551"/>
      <c r="AJE30" s="551"/>
      <c r="AJF30" s="551"/>
      <c r="AJG30" s="551"/>
      <c r="AJH30" s="551"/>
      <c r="AJI30" s="551"/>
      <c r="AJJ30" s="551"/>
      <c r="AJK30" s="551"/>
      <c r="AJL30" s="551"/>
      <c r="AJM30" s="551"/>
      <c r="AJN30" s="551"/>
      <c r="AJO30" s="551"/>
      <c r="AJP30" s="551"/>
      <c r="AJQ30" s="551"/>
      <c r="AJR30" s="551"/>
      <c r="AJS30" s="551"/>
      <c r="AJT30" s="551"/>
      <c r="AJU30" s="551"/>
      <c r="AJV30" s="551"/>
      <c r="AJW30" s="551"/>
      <c r="AJX30" s="551"/>
      <c r="AJY30" s="551"/>
      <c r="AJZ30" s="551"/>
      <c r="AKA30" s="551"/>
      <c r="AKB30" s="551"/>
      <c r="AKC30" s="551"/>
      <c r="AKD30" s="551"/>
      <c r="AKE30" s="551"/>
      <c r="AKF30" s="551"/>
      <c r="AKG30" s="551"/>
      <c r="AKH30" s="551"/>
      <c r="AKI30" s="551"/>
      <c r="AKJ30" s="551"/>
      <c r="AKK30" s="551"/>
      <c r="AKL30" s="551"/>
      <c r="AKM30" s="551"/>
      <c r="AKN30" s="551"/>
      <c r="AKO30" s="551"/>
      <c r="AKP30" s="551"/>
      <c r="AKQ30" s="551"/>
      <c r="AKR30" s="551"/>
      <c r="AKS30" s="551"/>
      <c r="AKT30" s="551"/>
      <c r="AKU30" s="551"/>
      <c r="AKV30" s="551"/>
      <c r="AKW30" s="551"/>
      <c r="AKX30" s="551"/>
      <c r="AKY30" s="551"/>
      <c r="AKZ30" s="551"/>
      <c r="ALA30" s="551"/>
      <c r="ALB30" s="551"/>
      <c r="ALC30" s="551"/>
      <c r="ALD30" s="551"/>
      <c r="ALE30" s="551"/>
      <c r="ALF30" s="551"/>
      <c r="ALG30" s="551"/>
      <c r="ALH30" s="551"/>
      <c r="ALI30" s="551"/>
      <c r="ALJ30" s="551"/>
      <c r="ALK30" s="551"/>
      <c r="ALL30" s="551"/>
      <c r="ALM30" s="551"/>
      <c r="ALN30" s="551"/>
      <c r="ALO30" s="551"/>
      <c r="ALP30" s="551"/>
      <c r="ALQ30" s="551"/>
      <c r="ALR30" s="551"/>
      <c r="ALS30" s="551"/>
      <c r="ALT30" s="551"/>
      <c r="ALU30" s="551"/>
      <c r="ALV30" s="551"/>
      <c r="ALW30" s="551"/>
      <c r="ALX30" s="551"/>
      <c r="ALY30" s="551"/>
      <c r="ALZ30" s="551"/>
      <c r="AMA30" s="551"/>
      <c r="AMB30" s="551"/>
      <c r="AMC30" s="551"/>
    </row>
    <row r="31" spans="1:1017" s="551" customFormat="1" ht="15.75" customHeight="1" thickBot="1">
      <c r="A31" s="881"/>
      <c r="B31" s="882" t="s">
        <v>478</v>
      </c>
      <c r="C31" s="882"/>
      <c r="D31" s="883"/>
      <c r="E31" s="884"/>
      <c r="F31" s="884"/>
      <c r="G31" s="884">
        <f>SUM(G23:G30)</f>
        <v>2715</v>
      </c>
      <c r="H31" s="884"/>
      <c r="I31" s="884"/>
      <c r="J31" s="884"/>
      <c r="K31" s="885"/>
      <c r="M31" s="558"/>
    </row>
    <row r="32" spans="1:1017" ht="22.5" customHeight="1" thickTop="1" thickBot="1">
      <c r="A32" s="633"/>
      <c r="B32" s="563"/>
      <c r="C32" s="563"/>
      <c r="D32" s="564"/>
      <c r="E32" s="2151" t="s">
        <v>479</v>
      </c>
      <c r="F32" s="2152"/>
      <c r="G32" s="886">
        <f>G31+G21</f>
        <v>17893</v>
      </c>
      <c r="H32" s="564"/>
      <c r="I32" s="564"/>
      <c r="J32" s="564"/>
      <c r="K32" s="564"/>
    </row>
    <row r="33" spans="1:11" ht="13.5" thickTop="1">
      <c r="A33" s="563"/>
      <c r="B33" s="563"/>
      <c r="C33" s="563"/>
      <c r="D33" s="563"/>
      <c r="E33" s="563"/>
      <c r="F33" s="563"/>
      <c r="G33" s="563"/>
      <c r="H33" s="563"/>
      <c r="I33" s="563"/>
      <c r="J33" s="563"/>
      <c r="K33" s="563"/>
    </row>
    <row r="34" spans="1:11" ht="15.75">
      <c r="B34" s="890" t="s">
        <v>730</v>
      </c>
      <c r="C34" s="890"/>
      <c r="D34" s="890"/>
      <c r="E34" s="2153" t="s">
        <v>681</v>
      </c>
      <c r="F34" s="2153"/>
      <c r="G34" s="2153"/>
      <c r="H34" s="890"/>
      <c r="I34" s="637"/>
      <c r="J34" s="637"/>
      <c r="K34" s="638" t="s">
        <v>682</v>
      </c>
    </row>
    <row r="35" spans="1:11">
      <c r="B35" s="692" t="str">
        <f>'summery(new)2'!C32</f>
        <v>Fasil N.</v>
      </c>
      <c r="G35" s="551" t="s">
        <v>736</v>
      </c>
      <c r="H35" s="563"/>
      <c r="I35" s="563"/>
      <c r="J35" s="563"/>
      <c r="K35" s="563" t="str">
        <f>'summery(new)2'!L32</f>
        <v>AMARE M.</v>
      </c>
    </row>
    <row r="36" spans="1:11" ht="18">
      <c r="B36" s="551" t="s">
        <v>723</v>
      </c>
      <c r="E36" s="551" t="s">
        <v>480</v>
      </c>
      <c r="F36" s="565"/>
      <c r="H36" s="563"/>
      <c r="I36" s="563"/>
      <c r="J36" s="563"/>
      <c r="K36" s="563"/>
    </row>
    <row r="37" spans="1:11" ht="15">
      <c r="F37" s="566"/>
      <c r="H37" s="563"/>
      <c r="I37" s="563"/>
      <c r="J37" s="563"/>
      <c r="K37" s="563"/>
    </row>
    <row r="38" spans="1:11" ht="18">
      <c r="B38" s="551" t="s">
        <v>724</v>
      </c>
      <c r="E38" s="551" t="s">
        <v>480</v>
      </c>
      <c r="F38" s="565"/>
      <c r="H38" s="563"/>
      <c r="I38" s="563"/>
      <c r="J38" s="563"/>
      <c r="K38" s="563"/>
    </row>
    <row r="42" spans="1:11">
      <c r="G42" s="763"/>
    </row>
    <row r="45" spans="1:11">
      <c r="G45" s="763"/>
    </row>
    <row r="47" spans="1:11">
      <c r="G47" s="763"/>
    </row>
    <row r="48" spans="1:11">
      <c r="G48" s="763"/>
    </row>
    <row r="49" spans="7:7">
      <c r="G49" s="763"/>
    </row>
    <row r="51" spans="7:7">
      <c r="G51" s="763"/>
    </row>
    <row r="52" spans="7:7">
      <c r="G52" s="763"/>
    </row>
  </sheetData>
  <mergeCells count="13">
    <mergeCell ref="A1:K1"/>
    <mergeCell ref="A2:K2"/>
    <mergeCell ref="A3:K3"/>
    <mergeCell ref="E32:F32"/>
    <mergeCell ref="E34:G34"/>
    <mergeCell ref="A24:A25"/>
    <mergeCell ref="B24:B25"/>
    <mergeCell ref="C24:C25"/>
    <mergeCell ref="D24:D25"/>
    <mergeCell ref="E24:E25"/>
    <mergeCell ref="F24:F25"/>
    <mergeCell ref="G24:G25"/>
    <mergeCell ref="J24:J25"/>
  </mergeCells>
  <printOptions horizontalCentered="1" verticalCentered="1"/>
  <pageMargins left="0.43333333333333302" right="0.43333333333333302" top="0.26" bottom="0.51180555555555496" header="0.3" footer="0.51180555555555496"/>
  <pageSetup paperSize="9" scale="91" firstPageNumber="0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D34"/>
  <sheetViews>
    <sheetView view="pageBreakPreview" topLeftCell="A10" zoomScale="85" zoomScaleSheetLayoutView="85" zoomScalePageLayoutView="60" workbookViewId="0">
      <selection activeCell="E16" sqref="E16"/>
    </sheetView>
  </sheetViews>
  <sheetFormatPr defaultRowHeight="12.75"/>
  <cols>
    <col min="1" max="1" width="3.140625" style="85" bestFit="1" customWidth="1"/>
    <col min="2" max="2" width="25.85546875" style="85" customWidth="1"/>
    <col min="3" max="3" width="8.7109375" style="85"/>
    <col min="4" max="4" width="8.140625" style="85" bestFit="1" customWidth="1"/>
    <col min="5" max="5" width="8.28515625" style="85" bestFit="1" customWidth="1"/>
    <col min="6" max="6" width="9.28515625" style="85" customWidth="1"/>
    <col min="7" max="7" width="11.7109375" style="85" customWidth="1"/>
    <col min="8" max="8" width="9.140625" style="85" bestFit="1"/>
    <col min="9" max="9" width="7.85546875" style="85" bestFit="1" customWidth="1"/>
    <col min="10" max="10" width="10" style="85" customWidth="1"/>
    <col min="11" max="11" width="8.140625" style="85" customWidth="1"/>
    <col min="12" max="12" width="9.42578125" style="85" customWidth="1"/>
    <col min="13" max="13" width="18.5703125" style="85" customWidth="1"/>
    <col min="14" max="1018" width="8.5703125" style="85"/>
  </cols>
  <sheetData>
    <row r="1" spans="1:13" ht="22.5">
      <c r="A1" s="2164" t="str">
        <f>Cons.Mat.Evalu.!A1</f>
        <v>Cross-land Construction Company</v>
      </c>
      <c r="B1" s="2164"/>
      <c r="C1" s="2164"/>
      <c r="D1" s="2164"/>
      <c r="E1" s="2164"/>
      <c r="F1" s="2164"/>
      <c r="G1" s="2164"/>
      <c r="H1" s="2164"/>
      <c r="I1" s="2164"/>
      <c r="J1" s="2164"/>
      <c r="K1" s="2164"/>
      <c r="L1" s="2164"/>
      <c r="M1" s="2164"/>
    </row>
    <row r="2" spans="1:13" ht="20.25">
      <c r="A2" s="2169" t="str">
        <f>'Weekly Machinery Ex'!A2:P2</f>
        <v>Project: Haro sebu-Lelo-Qaqe</v>
      </c>
      <c r="B2" s="2169"/>
      <c r="C2" s="2169"/>
      <c r="D2" s="2169"/>
      <c r="E2" s="2169"/>
      <c r="F2" s="2169"/>
      <c r="G2" s="2169"/>
      <c r="H2" s="2169"/>
      <c r="I2" s="2169"/>
      <c r="J2" s="2169"/>
      <c r="K2" s="2169"/>
      <c r="L2" s="2169"/>
      <c r="M2" s="2169"/>
    </row>
    <row r="3" spans="1:13" ht="18.75">
      <c r="A3" s="2170" t="s">
        <v>481</v>
      </c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</row>
    <row r="4" spans="1:13" ht="20.25">
      <c r="C4" s="568"/>
      <c r="D4" s="568"/>
      <c r="E4" s="568"/>
      <c r="F4" s="568"/>
      <c r="G4" s="568"/>
      <c r="H4" s="2168" t="str">
        <f>'Weekly Machinery Ex'!P3</f>
        <v>Week 32  ((23-29)-08-07)</v>
      </c>
      <c r="I4" s="2168"/>
      <c r="J4" s="2168"/>
      <c r="K4" s="2168"/>
      <c r="L4" s="2168"/>
      <c r="M4" s="2168"/>
    </row>
    <row r="5" spans="1:13" ht="13.5" thickBot="1">
      <c r="A5" s="569"/>
      <c r="B5" s="569"/>
      <c r="C5" s="569"/>
      <c r="D5" s="569"/>
      <c r="E5" s="569"/>
      <c r="F5" s="569"/>
      <c r="G5" s="569"/>
    </row>
    <row r="6" spans="1:13" ht="25.5" customHeight="1" thickTop="1">
      <c r="A6" s="839" t="s">
        <v>482</v>
      </c>
      <c r="B6" s="840" t="s">
        <v>483</v>
      </c>
      <c r="C6" s="840" t="s">
        <v>5</v>
      </c>
      <c r="D6" s="841" t="s">
        <v>484</v>
      </c>
      <c r="E6" s="841" t="s">
        <v>485</v>
      </c>
      <c r="F6" s="841" t="s">
        <v>486</v>
      </c>
      <c r="G6" s="841" t="s">
        <v>487</v>
      </c>
      <c r="H6" s="841" t="s">
        <v>488</v>
      </c>
      <c r="I6" s="841" t="s">
        <v>489</v>
      </c>
      <c r="J6" s="2162" t="s">
        <v>490</v>
      </c>
      <c r="K6" s="2163"/>
      <c r="L6" s="1042" t="s">
        <v>491</v>
      </c>
      <c r="M6" s="2165" t="s">
        <v>727</v>
      </c>
    </row>
    <row r="7" spans="1:13">
      <c r="A7" s="570"/>
      <c r="B7" s="571"/>
      <c r="C7" s="571"/>
      <c r="D7" s="572"/>
      <c r="E7" s="572"/>
      <c r="F7" s="572"/>
      <c r="G7" s="572"/>
      <c r="H7" s="572"/>
      <c r="I7" s="572"/>
      <c r="J7" s="571" t="s">
        <v>492</v>
      </c>
      <c r="K7" s="571" t="s">
        <v>493</v>
      </c>
      <c r="L7" s="573"/>
      <c r="M7" s="2166"/>
    </row>
    <row r="8" spans="1:13" ht="13.5" thickBot="1">
      <c r="A8" s="575"/>
      <c r="B8" s="576"/>
      <c r="C8" s="576"/>
      <c r="D8" s="576">
        <v>1</v>
      </c>
      <c r="E8" s="576">
        <v>2</v>
      </c>
      <c r="F8" s="576">
        <v>3</v>
      </c>
      <c r="G8" s="576" t="s">
        <v>494</v>
      </c>
      <c r="H8" s="576" t="s">
        <v>495</v>
      </c>
      <c r="I8" s="576" t="s">
        <v>496</v>
      </c>
      <c r="J8" s="576" t="s">
        <v>731</v>
      </c>
      <c r="K8" s="576"/>
      <c r="L8" s="577" t="s">
        <v>497</v>
      </c>
      <c r="M8" s="2167"/>
    </row>
    <row r="9" spans="1:13" s="929" customFormat="1" ht="13.5" thickTop="1">
      <c r="A9" s="930"/>
      <c r="B9" s="922" t="s">
        <v>498</v>
      </c>
      <c r="C9" s="922"/>
      <c r="D9" s="922"/>
      <c r="E9" s="922"/>
      <c r="F9" s="922"/>
      <c r="G9" s="922"/>
      <c r="H9" s="922"/>
      <c r="I9" s="922"/>
      <c r="J9" s="922"/>
      <c r="K9" s="922"/>
      <c r="L9" s="922"/>
      <c r="M9" s="931"/>
    </row>
    <row r="10" spans="1:13" ht="15.75">
      <c r="A10" s="570">
        <v>1</v>
      </c>
      <c r="B10" s="571" t="s">
        <v>499</v>
      </c>
      <c r="C10" s="571" t="s">
        <v>500</v>
      </c>
      <c r="D10" s="578">
        <f>1.5/8</f>
        <v>0.1875</v>
      </c>
      <c r="E10" s="590">
        <f>'[8]Lab. Evalu.'!$E11+'[2]Lab. Evalu.'!$E11+'[3]Lab. Evalu.'!$E11+'[9]Lab. Evalu.'!$E11+'[5]Lab. Evalu.'!$E11+'[6]Lab. Evalu.'!$E11+'[7]Lab. Evalu.'!$E11</f>
        <v>0</v>
      </c>
      <c r="F10" s="590">
        <f>'[1]Lab. Evalu.'!$F11+'[2]Lab. Evalu.'!$F11+'[3]Lab. Evalu.'!$F11+'[4]Lab. Evalu.'!$F11+'[5]Lab. Evalu.'!$F11+'[6]Lab. Evalu.'!$F11+'[7]Lab. Evalu.'!$F11</f>
        <v>0</v>
      </c>
      <c r="G10" s="590">
        <f>E10*D10</f>
        <v>0</v>
      </c>
      <c r="H10" s="590">
        <f>F10/D10</f>
        <v>0</v>
      </c>
      <c r="I10" s="1596">
        <f t="shared" ref="I10:I19" si="0">IF((G10)=0,0,(F10/G10))</f>
        <v>0</v>
      </c>
      <c r="J10" s="590">
        <f>H10/10</f>
        <v>0</v>
      </c>
      <c r="K10" s="590">
        <f>E10/10</f>
        <v>0</v>
      </c>
      <c r="L10" s="590">
        <f t="shared" ref="L10:L19" si="1">IF((K10)=0,0,(J10/K10))</f>
        <v>0</v>
      </c>
      <c r="M10" s="592"/>
    </row>
    <row r="11" spans="1:13" ht="15.75">
      <c r="A11" s="570">
        <v>2</v>
      </c>
      <c r="B11" s="571" t="s">
        <v>501</v>
      </c>
      <c r="C11" s="571" t="s">
        <v>500</v>
      </c>
      <c r="D11" s="578">
        <v>0.19</v>
      </c>
      <c r="E11" s="590">
        <f>'[8]Lab. Evalu.'!$E12+'[2]Lab. Evalu.'!$E12+'[3]Lab. Evalu.'!$E12+'[9]Lab. Evalu.'!$E12+'[5]Lab. Evalu.'!$E12+'[6]Lab. Evalu.'!$E12+'[7]Lab. Evalu.'!$E12</f>
        <v>390</v>
      </c>
      <c r="F11" s="590">
        <f>'[8]Lab. Evalu.'!$F12+'[2]Lab. Evalu.'!$F12+'[3]Lab. Evalu.'!$F12+'[9]Lab. Evalu.'!$F12+'[5]Lab. Evalu.'!$F12+'[6]Lab. Evalu.'!$F12+'[7]Lab. Evalu.'!$F12</f>
        <v>45.51</v>
      </c>
      <c r="G11" s="590">
        <f>D11*E11</f>
        <v>74.099999999999994</v>
      </c>
      <c r="H11" s="590">
        <f t="shared" ref="H11:H18" si="2">F11/D11</f>
        <v>239.52631578947367</v>
      </c>
      <c r="I11" s="970">
        <f t="shared" si="0"/>
        <v>0.61417004048583002</v>
      </c>
      <c r="J11" s="590">
        <f t="shared" ref="J11:J18" si="3">H11/10</f>
        <v>23.952631578947368</v>
      </c>
      <c r="K11" s="590">
        <f>E11/10</f>
        <v>39</v>
      </c>
      <c r="L11" s="590">
        <f t="shared" si="1"/>
        <v>0.61417004048583002</v>
      </c>
      <c r="M11" s="591"/>
    </row>
    <row r="12" spans="1:13" ht="15.75">
      <c r="A12" s="570">
        <v>3</v>
      </c>
      <c r="B12" s="571" t="s">
        <v>607</v>
      </c>
      <c r="C12" s="571" t="s">
        <v>500</v>
      </c>
      <c r="D12" s="578">
        <v>1.87</v>
      </c>
      <c r="E12" s="590"/>
      <c r="F12" s="590"/>
      <c r="G12" s="590">
        <f>D12*E12</f>
        <v>0</v>
      </c>
      <c r="H12" s="590">
        <f t="shared" si="2"/>
        <v>0</v>
      </c>
      <c r="I12" s="590">
        <f t="shared" si="0"/>
        <v>0</v>
      </c>
      <c r="J12" s="590">
        <f t="shared" si="3"/>
        <v>0</v>
      </c>
      <c r="K12" s="590">
        <f t="shared" ref="K12:K18" si="4">E12/10</f>
        <v>0</v>
      </c>
      <c r="L12" s="590">
        <f t="shared" si="1"/>
        <v>0</v>
      </c>
      <c r="M12" s="591"/>
    </row>
    <row r="13" spans="1:13" ht="15.75">
      <c r="A13" s="570">
        <v>4</v>
      </c>
      <c r="B13" s="571" t="s">
        <v>780</v>
      </c>
      <c r="C13" s="571" t="s">
        <v>500</v>
      </c>
      <c r="D13" s="578">
        <v>0.47</v>
      </c>
      <c r="E13" s="590">
        <f>'[8]Lab. Evalu.'!$E14+'[2]Lab. Evalu.'!$E14+'[3]Lab. Evalu.'!$E14+'[9]Lab. Evalu.'!$E14+'[5]Lab. Evalu.'!$E14+'[6]Lab. Evalu.'!$E14+'[7]Lab. Evalu.'!$E14</f>
        <v>0</v>
      </c>
      <c r="F13" s="590">
        <f>'[8]Lab. Evalu.'!$F14+'[2]Lab. Evalu.'!$F14+'[3]Lab. Evalu.'!$F14+'[9]Lab. Evalu.'!$F14+'[5]Lab. Evalu.'!$F14+'[6]Lab. Evalu.'!$F14+'[7]Lab. Evalu.'!$F14</f>
        <v>0</v>
      </c>
      <c r="G13" s="590">
        <f>D13*E13</f>
        <v>0</v>
      </c>
      <c r="H13" s="590">
        <f t="shared" si="2"/>
        <v>0</v>
      </c>
      <c r="I13" s="1596">
        <f t="shared" si="0"/>
        <v>0</v>
      </c>
      <c r="J13" s="590">
        <f t="shared" si="3"/>
        <v>0</v>
      </c>
      <c r="K13" s="590">
        <f t="shared" si="4"/>
        <v>0</v>
      </c>
      <c r="L13" s="590">
        <f t="shared" si="1"/>
        <v>0</v>
      </c>
      <c r="M13" s="591"/>
    </row>
    <row r="14" spans="1:13" ht="15.75">
      <c r="A14" s="570">
        <v>5</v>
      </c>
      <c r="B14" s="571" t="s">
        <v>793</v>
      </c>
      <c r="C14" s="571" t="s">
        <v>500</v>
      </c>
      <c r="D14" s="578">
        <f>3.75/8</f>
        <v>0.46875</v>
      </c>
      <c r="E14" s="590"/>
      <c r="F14" s="590"/>
      <c r="G14" s="590">
        <f t="shared" ref="G14:G22" si="5">D14*E14</f>
        <v>0</v>
      </c>
      <c r="H14" s="590">
        <f t="shared" si="2"/>
        <v>0</v>
      </c>
      <c r="I14" s="590">
        <f t="shared" si="0"/>
        <v>0</v>
      </c>
      <c r="J14" s="590">
        <f t="shared" si="3"/>
        <v>0</v>
      </c>
      <c r="K14" s="590">
        <f t="shared" si="4"/>
        <v>0</v>
      </c>
      <c r="L14" s="590">
        <f t="shared" si="1"/>
        <v>0</v>
      </c>
      <c r="M14" s="591"/>
    </row>
    <row r="15" spans="1:13" ht="15.75" customHeight="1">
      <c r="A15" s="570">
        <v>6</v>
      </c>
      <c r="B15" s="571" t="s">
        <v>502</v>
      </c>
      <c r="C15" s="571" t="s">
        <v>503</v>
      </c>
      <c r="D15" s="578">
        <v>1</v>
      </c>
      <c r="E15" s="590">
        <f>'[8]Lab. Evalu.'!$E$16+'[2]Lab. Evalu.'!$E$16+'[3]Lab. Evalu.'!$E$16+'[9]Lab. Evalu.'!$E$16+'[5]Lab. Evalu.'!$E$16+'[6]Lab. Evalu.'!$E$16+'[7]Lab. Evalu.'!$E$16</f>
        <v>110</v>
      </c>
      <c r="F15" s="590">
        <f>'[8]Lab. Evalu.'!$F$16+'[2]Lab. Evalu.'!$F$16+'[3]Lab. Evalu.'!$F$16+'[9]Lab. Evalu.'!$F$16+'[5]Lab. Evalu.'!$F$16+'[6]Lab. Evalu.'!$F$16+'[7]Lab. Evalu.'!$F$16</f>
        <v>85.6</v>
      </c>
      <c r="G15" s="590">
        <f t="shared" si="5"/>
        <v>110</v>
      </c>
      <c r="H15" s="590">
        <f t="shared" si="2"/>
        <v>85.6</v>
      </c>
      <c r="I15" s="970">
        <f t="shared" si="0"/>
        <v>0.77818181818181809</v>
      </c>
      <c r="J15" s="590">
        <f t="shared" si="3"/>
        <v>8.5599999999999987</v>
      </c>
      <c r="K15" s="590">
        <f t="shared" si="4"/>
        <v>11</v>
      </c>
      <c r="L15" s="590">
        <f t="shared" si="1"/>
        <v>0.77818181818181809</v>
      </c>
      <c r="M15" s="591"/>
    </row>
    <row r="16" spans="1:13" ht="15.75" customHeight="1">
      <c r="A16" s="570">
        <v>7</v>
      </c>
      <c r="B16" s="571" t="s">
        <v>504</v>
      </c>
      <c r="C16" s="571" t="s">
        <v>505</v>
      </c>
      <c r="D16" s="578">
        <f>2.5/8</f>
        <v>0.3125</v>
      </c>
      <c r="E16" s="590"/>
      <c r="F16" s="590"/>
      <c r="G16" s="590">
        <f t="shared" si="5"/>
        <v>0</v>
      </c>
      <c r="H16" s="590">
        <f t="shared" si="2"/>
        <v>0</v>
      </c>
      <c r="I16" s="590">
        <f t="shared" si="0"/>
        <v>0</v>
      </c>
      <c r="J16" s="590">
        <f t="shared" si="3"/>
        <v>0</v>
      </c>
      <c r="K16" s="590">
        <f t="shared" si="4"/>
        <v>0</v>
      </c>
      <c r="L16" s="590">
        <f t="shared" si="1"/>
        <v>0</v>
      </c>
      <c r="M16" s="591"/>
    </row>
    <row r="17" spans="1:13" ht="15" customHeight="1">
      <c r="A17" s="1043">
        <v>8</v>
      </c>
      <c r="B17" s="898" t="s">
        <v>506</v>
      </c>
      <c r="C17" s="898" t="s">
        <v>505</v>
      </c>
      <c r="D17" s="899">
        <v>2.4</v>
      </c>
      <c r="E17" s="900"/>
      <c r="F17" s="900"/>
      <c r="G17" s="900">
        <f t="shared" si="5"/>
        <v>0</v>
      </c>
      <c r="H17" s="900">
        <f t="shared" si="2"/>
        <v>0</v>
      </c>
      <c r="I17" s="900">
        <f t="shared" si="0"/>
        <v>0</v>
      </c>
      <c r="J17" s="900">
        <f t="shared" si="3"/>
        <v>0</v>
      </c>
      <c r="K17" s="900">
        <f t="shared" si="4"/>
        <v>0</v>
      </c>
      <c r="L17" s="900">
        <f t="shared" si="1"/>
        <v>0</v>
      </c>
      <c r="M17" s="1276"/>
    </row>
    <row r="18" spans="1:13" ht="15.75">
      <c r="A18" s="570">
        <v>9</v>
      </c>
      <c r="B18" s="571" t="s">
        <v>507</v>
      </c>
      <c r="C18" s="571" t="s">
        <v>500</v>
      </c>
      <c r="D18" s="578">
        <f>1/8</f>
        <v>0.125</v>
      </c>
      <c r="E18" s="590"/>
      <c r="F18" s="590"/>
      <c r="G18" s="590">
        <f t="shared" si="5"/>
        <v>0</v>
      </c>
      <c r="H18" s="590">
        <f t="shared" si="2"/>
        <v>0</v>
      </c>
      <c r="I18" s="590">
        <f t="shared" si="0"/>
        <v>0</v>
      </c>
      <c r="J18" s="590">
        <f t="shared" si="3"/>
        <v>0</v>
      </c>
      <c r="K18" s="590">
        <f t="shared" si="4"/>
        <v>0</v>
      </c>
      <c r="L18" s="590">
        <f t="shared" si="1"/>
        <v>0</v>
      </c>
      <c r="M18" s="591"/>
    </row>
    <row r="19" spans="1:13">
      <c r="A19" s="570"/>
      <c r="B19" s="842" t="s">
        <v>118</v>
      </c>
      <c r="C19" s="571"/>
      <c r="D19" s="578"/>
      <c r="E19" s="590">
        <v>0</v>
      </c>
      <c r="F19" s="590">
        <v>0</v>
      </c>
      <c r="G19" s="590">
        <f t="shared" si="5"/>
        <v>0</v>
      </c>
      <c r="H19" s="590"/>
      <c r="I19" s="590">
        <f t="shared" si="0"/>
        <v>0</v>
      </c>
      <c r="J19" s="590"/>
      <c r="K19" s="590"/>
      <c r="L19" s="590">
        <f t="shared" si="1"/>
        <v>0</v>
      </c>
      <c r="M19" s="592"/>
    </row>
    <row r="20" spans="1:13" s="929" customFormat="1">
      <c r="A20" s="923"/>
      <c r="B20" s="924" t="s">
        <v>508</v>
      </c>
      <c r="C20" s="925"/>
      <c r="D20" s="926"/>
      <c r="E20" s="927">
        <v>0</v>
      </c>
      <c r="F20" s="927">
        <v>0</v>
      </c>
      <c r="G20" s="927">
        <f t="shared" si="5"/>
        <v>0</v>
      </c>
      <c r="H20" s="925"/>
      <c r="I20" s="925"/>
      <c r="J20" s="925"/>
      <c r="K20" s="925"/>
      <c r="L20" s="925"/>
      <c r="M20" s="1575"/>
    </row>
    <row r="21" spans="1:13" ht="15.75">
      <c r="A21" s="570"/>
      <c r="B21" s="571" t="s">
        <v>509</v>
      </c>
      <c r="C21" s="571" t="s">
        <v>503</v>
      </c>
      <c r="D21" s="578">
        <f>9/8</f>
        <v>1.125</v>
      </c>
      <c r="E21" s="590"/>
      <c r="F21" s="590"/>
      <c r="G21" s="590">
        <f t="shared" si="5"/>
        <v>0</v>
      </c>
      <c r="H21" s="590">
        <f>F21/D21</f>
        <v>0</v>
      </c>
      <c r="I21" s="590">
        <f t="shared" ref="I21:I29" si="6">IF((G21)=0,0,(F21/G21))</f>
        <v>0</v>
      </c>
      <c r="J21" s="590">
        <f>H21/10</f>
        <v>0</v>
      </c>
      <c r="K21" s="590">
        <f t="shared" ref="K21:K25" si="7">E21/10</f>
        <v>0</v>
      </c>
      <c r="L21" s="590">
        <f t="shared" ref="L21:L29" si="8">IF((K21)=0,0,(J21/K21))</f>
        <v>0</v>
      </c>
      <c r="M21" s="574"/>
    </row>
    <row r="22" spans="1:13" ht="15.75">
      <c r="A22" s="570"/>
      <c r="B22" s="571" t="s">
        <v>510</v>
      </c>
      <c r="C22" s="571" t="s">
        <v>503</v>
      </c>
      <c r="D22" s="578">
        <f>18/8</f>
        <v>2.25</v>
      </c>
      <c r="E22" s="590"/>
      <c r="F22" s="590"/>
      <c r="G22" s="590">
        <f t="shared" si="5"/>
        <v>0</v>
      </c>
      <c r="H22" s="590">
        <f>F22/D22</f>
        <v>0</v>
      </c>
      <c r="I22" s="590">
        <f t="shared" si="6"/>
        <v>0</v>
      </c>
      <c r="J22" s="590">
        <f>H22/10</f>
        <v>0</v>
      </c>
      <c r="K22" s="590">
        <f t="shared" si="7"/>
        <v>0</v>
      </c>
      <c r="L22" s="590">
        <f t="shared" si="8"/>
        <v>0</v>
      </c>
      <c r="M22" s="574"/>
    </row>
    <row r="23" spans="1:13" ht="15.75">
      <c r="A23" s="570"/>
      <c r="B23" s="571" t="s">
        <v>511</v>
      </c>
      <c r="C23" s="571" t="s">
        <v>503</v>
      </c>
      <c r="D23" s="578">
        <f>0.19/8</f>
        <v>2.375E-2</v>
      </c>
      <c r="E23" s="590"/>
      <c r="F23" s="590"/>
      <c r="G23" s="590"/>
      <c r="H23" s="590"/>
      <c r="I23" s="590">
        <f t="shared" si="6"/>
        <v>0</v>
      </c>
      <c r="J23" s="590">
        <f t="shared" ref="J23:J25" si="9">H23/10</f>
        <v>0</v>
      </c>
      <c r="K23" s="590">
        <f t="shared" si="7"/>
        <v>0</v>
      </c>
      <c r="L23" s="590">
        <f t="shared" si="8"/>
        <v>0</v>
      </c>
      <c r="M23" s="574"/>
    </row>
    <row r="24" spans="1:13" ht="15.75">
      <c r="A24" s="570"/>
      <c r="B24" s="571" t="s">
        <v>512</v>
      </c>
      <c r="C24" s="571" t="s">
        <v>503</v>
      </c>
      <c r="D24" s="578">
        <f>1.75/8</f>
        <v>0.21875</v>
      </c>
      <c r="E24" s="590"/>
      <c r="F24" s="590"/>
      <c r="G24" s="590"/>
      <c r="H24" s="571"/>
      <c r="I24" s="590">
        <f t="shared" si="6"/>
        <v>0</v>
      </c>
      <c r="J24" s="590">
        <f t="shared" si="9"/>
        <v>0</v>
      </c>
      <c r="K24" s="590">
        <f t="shared" si="7"/>
        <v>0</v>
      </c>
      <c r="L24" s="590">
        <f t="shared" si="8"/>
        <v>0</v>
      </c>
      <c r="M24" s="574"/>
    </row>
    <row r="25" spans="1:13">
      <c r="A25" s="570"/>
      <c r="B25" s="571"/>
      <c r="C25" s="571"/>
      <c r="D25" s="578"/>
      <c r="E25" s="590"/>
      <c r="F25" s="590"/>
      <c r="G25" s="590"/>
      <c r="H25" s="571"/>
      <c r="I25" s="590">
        <f t="shared" si="6"/>
        <v>0</v>
      </c>
      <c r="J25" s="590">
        <f t="shared" si="9"/>
        <v>0</v>
      </c>
      <c r="K25" s="590">
        <f t="shared" si="7"/>
        <v>0</v>
      </c>
      <c r="L25" s="590">
        <f t="shared" si="8"/>
        <v>0</v>
      </c>
      <c r="M25" s="574"/>
    </row>
    <row r="26" spans="1:13">
      <c r="A26" s="570"/>
      <c r="B26" s="842" t="s">
        <v>118</v>
      </c>
      <c r="C26" s="571"/>
      <c r="D26" s="578"/>
      <c r="E26" s="571"/>
      <c r="F26" s="590">
        <v>0</v>
      </c>
      <c r="G26" s="571"/>
      <c r="H26" s="571"/>
      <c r="I26" s="590">
        <f t="shared" si="6"/>
        <v>0</v>
      </c>
      <c r="J26" s="571"/>
      <c r="K26" s="571"/>
      <c r="L26" s="590">
        <f t="shared" si="8"/>
        <v>0</v>
      </c>
      <c r="M26" s="574"/>
    </row>
    <row r="27" spans="1:13" s="929" customFormat="1">
      <c r="A27" s="923"/>
      <c r="B27" s="924" t="s">
        <v>513</v>
      </c>
      <c r="C27" s="925"/>
      <c r="D27" s="926"/>
      <c r="E27" s="927"/>
      <c r="F27" s="927">
        <v>0</v>
      </c>
      <c r="G27" s="927"/>
      <c r="H27" s="927"/>
      <c r="I27" s="927">
        <f t="shared" si="6"/>
        <v>0</v>
      </c>
      <c r="J27" s="927"/>
      <c r="K27" s="927"/>
      <c r="L27" s="927">
        <f t="shared" si="8"/>
        <v>0</v>
      </c>
      <c r="M27" s="928"/>
    </row>
    <row r="28" spans="1:13">
      <c r="A28" s="570"/>
      <c r="B28" s="571" t="s">
        <v>514</v>
      </c>
      <c r="C28" s="571" t="s">
        <v>515</v>
      </c>
      <c r="D28" s="578">
        <f>400/8</f>
        <v>50</v>
      </c>
      <c r="E28" s="590">
        <f>'[1]Lab. Evalu.'!$E29+'[2]Lab. Evalu.'!$E29+'[3]Lab. Evalu.'!$E29+'[4]Lab. Evalu.'!$E29+'[5]Lab. Evalu.'!$E29+'[6]Lab. Evalu.'!$E29+'[7]Lab. Evalu.'!$E29</f>
        <v>73</v>
      </c>
      <c r="F28" s="648">
        <f>'[1]Lab. Evalu.'!$F29+'[2]Lab. Evalu.'!$F29+'[3]Lab. Evalu.'!$F29+'[4]Lab. Evalu.'!$F29+'[5]Lab. Evalu.'!$F29+'[6]Lab. Evalu.'!$F29+'[7]Lab. Evalu.'!$F29</f>
        <v>3623.5360000000001</v>
      </c>
      <c r="G28" s="590">
        <f>E28*D28</f>
        <v>3650</v>
      </c>
      <c r="H28" s="590">
        <f>F28/D28</f>
        <v>72.47072</v>
      </c>
      <c r="I28" s="970">
        <f t="shared" si="6"/>
        <v>0.99274958904109589</v>
      </c>
      <c r="J28" s="579">
        <f>H28/10</f>
        <v>7.2470720000000002</v>
      </c>
      <c r="K28" s="571">
        <f t="shared" ref="K28:K29" si="10">E28/10</f>
        <v>7.3</v>
      </c>
      <c r="L28" s="580">
        <f t="shared" si="8"/>
        <v>0.99274958904109589</v>
      </c>
      <c r="M28" s="574"/>
    </row>
    <row r="29" spans="1:13">
      <c r="A29" s="570"/>
      <c r="B29" s="571" t="s">
        <v>516</v>
      </c>
      <c r="C29" s="571" t="s">
        <v>515</v>
      </c>
      <c r="D29" s="578">
        <v>14.26</v>
      </c>
      <c r="E29" s="590"/>
      <c r="F29" s="590"/>
      <c r="G29" s="590">
        <f>D29*E29</f>
        <v>0</v>
      </c>
      <c r="H29" s="590">
        <f>F29/D29</f>
        <v>0</v>
      </c>
      <c r="I29" s="590">
        <f t="shared" si="6"/>
        <v>0</v>
      </c>
      <c r="J29" s="590">
        <f>H29/10</f>
        <v>0</v>
      </c>
      <c r="K29" s="590">
        <f t="shared" si="10"/>
        <v>0</v>
      </c>
      <c r="L29" s="590">
        <f t="shared" si="8"/>
        <v>0</v>
      </c>
      <c r="M29" s="581"/>
    </row>
    <row r="30" spans="1:13" ht="13.5" thickBot="1">
      <c r="A30" s="575"/>
      <c r="B30" s="576"/>
      <c r="C30" s="576"/>
      <c r="D30" s="582"/>
      <c r="E30" s="576"/>
      <c r="F30" s="576"/>
      <c r="G30" s="576"/>
      <c r="H30" s="576"/>
      <c r="I30" s="576"/>
      <c r="J30" s="576"/>
      <c r="K30" s="576"/>
      <c r="L30" s="576"/>
      <c r="M30" s="583"/>
    </row>
    <row r="31" spans="1:13" ht="13.5" thickTop="1"/>
    <row r="32" spans="1:13" s="693" customFormat="1"/>
    <row r="33" spans="2:14" s="693" customFormat="1" ht="19.5">
      <c r="B33" s="694" t="s">
        <v>733</v>
      </c>
      <c r="C33" s="695"/>
      <c r="D33" s="695"/>
      <c r="E33" s="695"/>
      <c r="F33" s="696" t="s">
        <v>685</v>
      </c>
      <c r="G33" s="695"/>
      <c r="H33" s="695"/>
      <c r="I33" s="695"/>
      <c r="J33" s="695"/>
      <c r="K33" s="694" t="s">
        <v>518</v>
      </c>
      <c r="L33" s="695"/>
      <c r="M33" s="695"/>
      <c r="N33" s="695"/>
    </row>
    <row r="34" spans="2:14" s="697" customFormat="1" ht="18">
      <c r="B34" s="698" t="str">
        <f>'Weekly Ms'!B35</f>
        <v>Fasil N.</v>
      </c>
      <c r="E34" s="699"/>
      <c r="F34" s="700"/>
      <c r="G34" s="698" t="s">
        <v>700</v>
      </c>
      <c r="H34" s="698"/>
      <c r="I34" s="698"/>
      <c r="J34" s="698"/>
      <c r="K34" s="698"/>
      <c r="L34" s="698" t="str">
        <f>'Weekly Ms'!K35</f>
        <v>AMARE M.</v>
      </c>
      <c r="M34" s="701"/>
      <c r="N34" s="702"/>
    </row>
  </sheetData>
  <mergeCells count="6">
    <mergeCell ref="J6:K6"/>
    <mergeCell ref="A1:M1"/>
    <mergeCell ref="M6:M8"/>
    <mergeCell ref="H4:M4"/>
    <mergeCell ref="A2:M2"/>
    <mergeCell ref="A3:M3"/>
  </mergeCells>
  <printOptions horizontalCentered="1" verticalCentered="1"/>
  <pageMargins left="0" right="0" top="0.37" bottom="0.31" header="0.3" footer="0.3"/>
  <pageSetup paperSize="9" scale="99" firstPageNumber="0" fitToHeight="0" orientation="landscape" r:id="rId1"/>
  <rowBreaks count="1" manualBreakCount="1">
    <brk id="35" max="12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2"/>
  <sheetViews>
    <sheetView view="pageBreakPreview" topLeftCell="A25" zoomScaleSheetLayoutView="100" zoomScalePageLayoutView="60" workbookViewId="0">
      <selection activeCell="D13" sqref="D13"/>
    </sheetView>
  </sheetViews>
  <sheetFormatPr defaultRowHeight="12.75"/>
  <cols>
    <col min="1" max="1" width="4.7109375" style="85"/>
    <col min="2" max="2" width="19.28515625" style="85"/>
    <col min="3" max="3" width="10.85546875" style="85"/>
    <col min="4" max="4" width="14.28515625" style="85"/>
    <col min="5" max="5" width="14.42578125" style="85"/>
    <col min="6" max="6" width="15.7109375" style="85"/>
    <col min="7" max="7" width="12.7109375" style="85"/>
    <col min="8" max="8" width="11.42578125" style="85"/>
    <col min="9" max="9" width="10.28515625" style="85" customWidth="1"/>
    <col min="10" max="15" width="8.5703125" style="85"/>
    <col min="16" max="16" width="13.28515625" style="85" customWidth="1"/>
    <col min="17" max="1025" width="8.5703125" style="85"/>
  </cols>
  <sheetData>
    <row r="1" spans="1:17" ht="22.5">
      <c r="A1" s="2164" t="s">
        <v>614</v>
      </c>
      <c r="B1" s="2164"/>
      <c r="C1" s="2164"/>
      <c r="D1" s="2164"/>
      <c r="E1" s="2164"/>
      <c r="F1" s="2164"/>
      <c r="G1" s="2164"/>
      <c r="H1" s="2164"/>
      <c r="I1" s="2164"/>
      <c r="J1" s="2164"/>
      <c r="K1" s="2164"/>
      <c r="L1" s="2164"/>
      <c r="M1" s="2164"/>
      <c r="N1" s="2164"/>
      <c r="O1" s="2164"/>
      <c r="P1" s="2164"/>
      <c r="Q1" s="2164"/>
    </row>
    <row r="2" spans="1:17" ht="20.25">
      <c r="A2" s="2169" t="str">
        <f>+'Lab. Evalu.'!A2:M2</f>
        <v>Project: Haro sebu-Lelo-Qaqe</v>
      </c>
      <c r="B2" s="2169"/>
      <c r="C2" s="2169"/>
      <c r="D2" s="2169"/>
      <c r="E2" s="2169"/>
      <c r="F2" s="2169"/>
      <c r="G2" s="2169"/>
      <c r="H2" s="2169"/>
      <c r="I2" s="2169"/>
      <c r="J2" s="2169"/>
      <c r="K2" s="2169"/>
      <c r="L2" s="2169"/>
      <c r="M2" s="2169"/>
      <c r="N2" s="2169"/>
      <c r="O2" s="2169"/>
      <c r="P2" s="2169"/>
      <c r="Q2" s="2169"/>
    </row>
    <row r="3" spans="1:17" ht="18.75">
      <c r="A3" s="2170" t="s">
        <v>519</v>
      </c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</row>
    <row r="4" spans="1:17" ht="18.75">
      <c r="A4" s="584"/>
      <c r="B4" s="585"/>
      <c r="C4" s="585"/>
      <c r="D4" s="585"/>
      <c r="E4" s="585"/>
      <c r="F4" s="585"/>
      <c r="G4" s="619"/>
      <c r="H4" s="585"/>
      <c r="I4" s="585"/>
      <c r="J4" s="619"/>
      <c r="K4" s="619"/>
      <c r="L4" s="2172" t="str">
        <f>'Weekly Machinery Ex'!P3</f>
        <v>Week 32  ((23-29)-08-07)</v>
      </c>
      <c r="M4" s="2172"/>
      <c r="N4" s="2172"/>
      <c r="O4" s="2172"/>
      <c r="P4" s="2172"/>
      <c r="Q4" s="620"/>
    </row>
    <row r="5" spans="1:17" ht="13.5" thickBot="1">
      <c r="A5" s="569"/>
      <c r="B5" s="569"/>
      <c r="C5" s="569"/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</row>
    <row r="6" spans="1:17" ht="12.75" customHeight="1" thickTop="1">
      <c r="A6" s="2173" t="s">
        <v>482</v>
      </c>
      <c r="B6" s="2176" t="s">
        <v>4</v>
      </c>
      <c r="C6" s="2176" t="s">
        <v>5</v>
      </c>
      <c r="D6" s="2176" t="s">
        <v>520</v>
      </c>
      <c r="E6" s="2176"/>
      <c r="F6" s="2176" t="s">
        <v>521</v>
      </c>
      <c r="G6" s="2176"/>
      <c r="H6" s="2179" t="s">
        <v>522</v>
      </c>
      <c r="I6" s="2176" t="s">
        <v>487</v>
      </c>
      <c r="J6" s="2176"/>
      <c r="K6" s="2176" t="s">
        <v>523</v>
      </c>
      <c r="L6" s="2176" t="s">
        <v>524</v>
      </c>
      <c r="M6" s="2176"/>
      <c r="N6" s="2176"/>
      <c r="O6" s="2182"/>
    </row>
    <row r="7" spans="1:17">
      <c r="A7" s="2174"/>
      <c r="B7" s="2177"/>
      <c r="C7" s="2177"/>
      <c r="D7" s="2177"/>
      <c r="E7" s="2177"/>
      <c r="F7" s="2177"/>
      <c r="G7" s="2177"/>
      <c r="H7" s="2180"/>
      <c r="I7" s="2177"/>
      <c r="J7" s="2177"/>
      <c r="K7" s="2177"/>
      <c r="L7" s="2177" t="s">
        <v>525</v>
      </c>
      <c r="M7" s="2177"/>
      <c r="N7" s="2177" t="s">
        <v>526</v>
      </c>
      <c r="O7" s="2183"/>
    </row>
    <row r="8" spans="1:17">
      <c r="A8" s="2175"/>
      <c r="B8" s="2178"/>
      <c r="C8" s="2178"/>
      <c r="D8" s="843" t="s">
        <v>527</v>
      </c>
      <c r="E8" s="843" t="s">
        <v>526</v>
      </c>
      <c r="F8" s="843" t="s">
        <v>527</v>
      </c>
      <c r="G8" s="843" t="s">
        <v>526</v>
      </c>
      <c r="H8" s="2181"/>
      <c r="I8" s="843" t="s">
        <v>525</v>
      </c>
      <c r="J8" s="843" t="s">
        <v>526</v>
      </c>
      <c r="K8" s="2178"/>
      <c r="L8" s="843" t="s">
        <v>528</v>
      </c>
      <c r="M8" s="843" t="s">
        <v>529</v>
      </c>
      <c r="N8" s="843" t="s">
        <v>528</v>
      </c>
      <c r="O8" s="844" t="s">
        <v>529</v>
      </c>
    </row>
    <row r="9" spans="1:17">
      <c r="A9" s="845"/>
      <c r="B9" s="846" t="s">
        <v>460</v>
      </c>
      <c r="C9" s="846"/>
      <c r="D9" s="846"/>
      <c r="E9" s="846"/>
      <c r="F9" s="846"/>
      <c r="G9" s="846"/>
      <c r="H9" s="846"/>
      <c r="I9" s="846"/>
      <c r="J9" s="846"/>
      <c r="K9" s="846"/>
      <c r="L9" s="846"/>
      <c r="M9" s="846"/>
      <c r="N9" s="846"/>
      <c r="O9" s="847"/>
    </row>
    <row r="10" spans="1:17" ht="15.75">
      <c r="A10" s="570">
        <v>1</v>
      </c>
      <c r="B10" s="571" t="s">
        <v>530</v>
      </c>
      <c r="C10" s="571" t="s">
        <v>500</v>
      </c>
      <c r="D10" s="856">
        <f>'Lab. Evalu.'!F11+'Lab. Evalu.'!F10</f>
        <v>45.51</v>
      </c>
      <c r="E10" s="856">
        <v>0</v>
      </c>
      <c r="F10" s="856">
        <f>[8]Cons.Mat.Evalu.!$F11+[2]Cons.Mat.Evalu.!$F11+[3]Cons.Mat.Evalu.!$F11+[9]Cons.Mat.Evalu.!$F11+[5]Cons.Mat.Evalu.!$F11+[6]Cons.Mat.Evalu.!$F11+[7]Cons.Mat.Evalu.!$F11</f>
        <v>57</v>
      </c>
      <c r="G10" s="857">
        <v>0</v>
      </c>
      <c r="H10" s="578">
        <v>1.17</v>
      </c>
      <c r="I10" s="856">
        <f t="shared" ref="I10:I18" si="0">D10*H10</f>
        <v>53.246699999999997</v>
      </c>
      <c r="J10" s="856">
        <f t="shared" ref="J10:J18" si="1">E10*H10</f>
        <v>0</v>
      </c>
      <c r="K10" s="856"/>
      <c r="L10" s="856">
        <f t="shared" ref="L10:L34" si="2">F10-I10</f>
        <v>3.753300000000003</v>
      </c>
      <c r="M10" s="856">
        <f t="shared" ref="M10:M34" si="3">K10*L10</f>
        <v>0</v>
      </c>
      <c r="N10" s="856">
        <f>G10-J10</f>
        <v>0</v>
      </c>
      <c r="O10" s="858">
        <f>K10*N10</f>
        <v>0</v>
      </c>
      <c r="P10" s="85" t="str">
        <f>IF(L10&gt;0.05*I10,"Inefficient",IF(L10&lt;0.95*I10,"Under Usage","Efficient"))</f>
        <v>Inefficient</v>
      </c>
    </row>
    <row r="11" spans="1:17" ht="15.75">
      <c r="A11" s="570"/>
      <c r="B11" s="571" t="s">
        <v>811</v>
      </c>
      <c r="C11" s="571" t="s">
        <v>500</v>
      </c>
      <c r="D11" s="856">
        <f>[5]Cons.Mat.Evalu.!$D$12+[7]Cons.Mat.Evalu.!$D$12</f>
        <v>5.8000000000000007</v>
      </c>
      <c r="E11" s="856">
        <v>0</v>
      </c>
      <c r="F11" s="856">
        <f>[8]Cons.Mat.Evalu.!$F12+[2]Cons.Mat.Evalu.!$F12+[3]Cons.Mat.Evalu.!$F12+[9]Cons.Mat.Evalu.!$F12+[5]Cons.Mat.Evalu.!$F12+[6]Cons.Mat.Evalu.!$F12+[7]Cons.Mat.Evalu.!$F12</f>
        <v>15</v>
      </c>
      <c r="G11" s="857">
        <v>0</v>
      </c>
      <c r="H11" s="578">
        <v>2.5</v>
      </c>
      <c r="I11" s="856">
        <f t="shared" si="0"/>
        <v>14.500000000000002</v>
      </c>
      <c r="J11" s="856">
        <f t="shared" si="1"/>
        <v>0</v>
      </c>
      <c r="K11" s="856"/>
      <c r="L11" s="856">
        <f t="shared" si="2"/>
        <v>0.49999999999999822</v>
      </c>
      <c r="M11" s="856">
        <f t="shared" si="3"/>
        <v>0</v>
      </c>
      <c r="N11" s="856">
        <f>G11-J11</f>
        <v>0</v>
      </c>
      <c r="O11" s="858">
        <f>K11*N11</f>
        <v>0</v>
      </c>
      <c r="P11" s="85" t="str">
        <f t="shared" ref="P11:P19" si="4">IF(L11&gt;0.05*I11,"Inefficient",IF(L11&lt;0.95*I11,"Under Usage","Efficient"))</f>
        <v>Under Usage</v>
      </c>
    </row>
    <row r="12" spans="1:17" ht="15.75">
      <c r="A12" s="570">
        <v>2</v>
      </c>
      <c r="B12" s="571" t="s">
        <v>779</v>
      </c>
      <c r="C12" s="571" t="s">
        <v>500</v>
      </c>
      <c r="D12" s="856">
        <f>'Lab. Evalu.'!F13</f>
        <v>0</v>
      </c>
      <c r="E12" s="856"/>
      <c r="F12" s="856">
        <f>[8]Cons.Mat.Evalu.!$F13+[2]Cons.Mat.Evalu.!$F13+[3]Cons.Mat.Evalu.!$F13+[9]Cons.Mat.Evalu.!$F13+[5]Cons.Mat.Evalu.!$F13+[6]Cons.Mat.Evalu.!$F13+[7]Cons.Mat.Evalu.!$F13</f>
        <v>0</v>
      </c>
      <c r="G12" s="857">
        <v>0</v>
      </c>
      <c r="H12" s="578">
        <v>4</v>
      </c>
      <c r="I12" s="856">
        <f t="shared" si="0"/>
        <v>0</v>
      </c>
      <c r="J12" s="856">
        <f t="shared" si="1"/>
        <v>0</v>
      </c>
      <c r="K12" s="856"/>
      <c r="L12" s="856">
        <f>F12-I12</f>
        <v>0</v>
      </c>
      <c r="M12" s="856">
        <f t="shared" si="3"/>
        <v>0</v>
      </c>
      <c r="N12" s="856">
        <f>G12-J12</f>
        <v>0</v>
      </c>
      <c r="O12" s="858">
        <f>K12*N12</f>
        <v>0</v>
      </c>
      <c r="P12" s="85" t="str">
        <f t="shared" si="4"/>
        <v>Efficient</v>
      </c>
    </row>
    <row r="13" spans="1:17" ht="15.75">
      <c r="A13" s="570">
        <v>3</v>
      </c>
      <c r="B13" s="571" t="s">
        <v>502</v>
      </c>
      <c r="C13" s="571" t="s">
        <v>503</v>
      </c>
      <c r="D13" s="856">
        <f>'Lab. Evalu.'!F15</f>
        <v>85.6</v>
      </c>
      <c r="E13" s="856">
        <v>0</v>
      </c>
      <c r="F13" s="856">
        <f>[8]Cons.Mat.Evalu.!$F$14+[2]Cons.Mat.Evalu.!$F$14+[3]Cons.Mat.Evalu.!$F$14+[9]Cons.Mat.Evalu.!$F$14+[5]Cons.Mat.Evalu.!$F$14+[6]Cons.Mat.Evalu.!$F$14+[7]Cons.Mat.Evalu.!$F$14</f>
        <v>7</v>
      </c>
      <c r="G13" s="856">
        <v>0</v>
      </c>
      <c r="H13" s="578">
        <v>0.15</v>
      </c>
      <c r="I13" s="856">
        <f t="shared" si="0"/>
        <v>12.839999999999998</v>
      </c>
      <c r="J13" s="856">
        <f t="shared" si="1"/>
        <v>0</v>
      </c>
      <c r="K13" s="856"/>
      <c r="L13" s="856">
        <f>F13-I13</f>
        <v>-5.8399999999999981</v>
      </c>
      <c r="M13" s="856">
        <f t="shared" si="3"/>
        <v>0</v>
      </c>
      <c r="N13" s="856">
        <f>G13-J13</f>
        <v>0</v>
      </c>
      <c r="O13" s="858">
        <f>K13*N13</f>
        <v>0</v>
      </c>
      <c r="P13" s="85" t="str">
        <f t="shared" si="4"/>
        <v>Under Usage</v>
      </c>
    </row>
    <row r="14" spans="1:17">
      <c r="A14" s="570">
        <v>4</v>
      </c>
      <c r="B14" s="571" t="s">
        <v>506</v>
      </c>
      <c r="C14" s="571" t="s">
        <v>531</v>
      </c>
      <c r="D14" s="856"/>
      <c r="E14" s="856">
        <v>0</v>
      </c>
      <c r="F14" s="856"/>
      <c r="G14" s="856">
        <v>0</v>
      </c>
      <c r="H14" s="578">
        <v>1.48</v>
      </c>
      <c r="I14" s="856">
        <f t="shared" si="0"/>
        <v>0</v>
      </c>
      <c r="J14" s="856">
        <f t="shared" si="1"/>
        <v>0</v>
      </c>
      <c r="K14" s="856"/>
      <c r="L14" s="856">
        <f t="shared" si="2"/>
        <v>0</v>
      </c>
      <c r="M14" s="856">
        <f t="shared" si="3"/>
        <v>0</v>
      </c>
      <c r="N14" s="856">
        <f>G14-J14</f>
        <v>0</v>
      </c>
      <c r="O14" s="858">
        <f>K14*N14</f>
        <v>0</v>
      </c>
      <c r="P14" s="85" t="str">
        <f t="shared" si="4"/>
        <v>Efficient</v>
      </c>
    </row>
    <row r="15" spans="1:17">
      <c r="A15" s="570"/>
      <c r="B15" s="1352" t="s">
        <v>766</v>
      </c>
      <c r="C15" s="571" t="s">
        <v>531</v>
      </c>
      <c r="D15" s="856"/>
      <c r="E15" s="856">
        <v>0</v>
      </c>
      <c r="F15" s="856"/>
      <c r="G15" s="856">
        <v>0</v>
      </c>
      <c r="H15" s="578">
        <v>1.05</v>
      </c>
      <c r="I15" s="856">
        <f t="shared" si="0"/>
        <v>0</v>
      </c>
      <c r="J15" s="856">
        <f t="shared" si="1"/>
        <v>0</v>
      </c>
      <c r="K15" s="856"/>
      <c r="L15" s="856">
        <f t="shared" si="2"/>
        <v>0</v>
      </c>
      <c r="M15" s="856">
        <f t="shared" si="3"/>
        <v>0</v>
      </c>
      <c r="N15" s="856"/>
      <c r="O15" s="858"/>
      <c r="P15" s="85" t="str">
        <f t="shared" si="4"/>
        <v>Efficient</v>
      </c>
    </row>
    <row r="16" spans="1:17">
      <c r="A16" s="570"/>
      <c r="B16" s="1352" t="s">
        <v>767</v>
      </c>
      <c r="C16" s="571" t="s">
        <v>531</v>
      </c>
      <c r="D16" s="856"/>
      <c r="E16" s="856">
        <v>0</v>
      </c>
      <c r="F16" s="856"/>
      <c r="G16" s="856">
        <v>0</v>
      </c>
      <c r="H16" s="578">
        <v>1.43</v>
      </c>
      <c r="I16" s="856">
        <f t="shared" si="0"/>
        <v>0</v>
      </c>
      <c r="J16" s="856">
        <f t="shared" si="1"/>
        <v>0</v>
      </c>
      <c r="K16" s="856"/>
      <c r="L16" s="856">
        <f t="shared" si="2"/>
        <v>0</v>
      </c>
      <c r="M16" s="856">
        <f t="shared" si="3"/>
        <v>0</v>
      </c>
      <c r="N16" s="856"/>
      <c r="O16" s="858"/>
      <c r="P16" s="85" t="str">
        <f t="shared" si="4"/>
        <v>Efficient</v>
      </c>
    </row>
    <row r="17" spans="1:16">
      <c r="A17" s="570"/>
      <c r="B17" s="1352" t="s">
        <v>768</v>
      </c>
      <c r="C17" s="571" t="s">
        <v>531</v>
      </c>
      <c r="D17" s="856"/>
      <c r="E17" s="856">
        <v>0</v>
      </c>
      <c r="F17" s="856"/>
      <c r="G17" s="856">
        <v>0</v>
      </c>
      <c r="H17" s="578">
        <v>1.52</v>
      </c>
      <c r="I17" s="856">
        <f>D17*H17</f>
        <v>0</v>
      </c>
      <c r="J17" s="856">
        <f t="shared" si="1"/>
        <v>0</v>
      </c>
      <c r="K17" s="856"/>
      <c r="L17" s="856">
        <f>F17-I17</f>
        <v>0</v>
      </c>
      <c r="M17" s="856">
        <f t="shared" si="3"/>
        <v>0</v>
      </c>
      <c r="N17" s="856"/>
      <c r="O17" s="859"/>
      <c r="P17" s="85" t="str">
        <f t="shared" si="4"/>
        <v>Efficient</v>
      </c>
    </row>
    <row r="18" spans="1:16">
      <c r="A18" s="634">
        <v>5</v>
      </c>
      <c r="B18" s="848" t="str">
        <f>+'Lab. Evalu.'!B16</f>
        <v>Pipe Installation</v>
      </c>
      <c r="C18" s="848" t="s">
        <v>531</v>
      </c>
      <c r="D18" s="860"/>
      <c r="E18" s="860">
        <v>0</v>
      </c>
      <c r="F18" s="860"/>
      <c r="G18" s="860">
        <v>0</v>
      </c>
      <c r="H18" s="635">
        <v>0.15</v>
      </c>
      <c r="I18" s="860">
        <f t="shared" si="0"/>
        <v>0</v>
      </c>
      <c r="J18" s="860">
        <f t="shared" si="1"/>
        <v>0</v>
      </c>
      <c r="K18" s="860"/>
      <c r="L18" s="860">
        <f t="shared" si="2"/>
        <v>0</v>
      </c>
      <c r="M18" s="860">
        <f t="shared" si="3"/>
        <v>0</v>
      </c>
      <c r="N18" s="860"/>
      <c r="O18" s="861"/>
      <c r="P18" s="85" t="str">
        <f t="shared" si="4"/>
        <v>Efficient</v>
      </c>
    </row>
    <row r="19" spans="1:16" s="838" customFormat="1">
      <c r="A19" s="849"/>
      <c r="B19" s="850" t="s">
        <v>118</v>
      </c>
      <c r="C19" s="850"/>
      <c r="D19" s="850"/>
      <c r="E19" s="850"/>
      <c r="F19" s="1353">
        <f>[8]Cons.Mat.Evalu.!$F$20+[2]Cons.Mat.Evalu.!$F$20+[3]Cons.Mat.Evalu.!$F$20+[9]Cons.Mat.Evalu.!$F$20+[5]Cons.Mat.Evalu.!$F$20+[6]Cons.Mat.Evalu.!$F$20+[7]Cons.Mat.Evalu.!$F$20</f>
        <v>79</v>
      </c>
      <c r="G19" s="1353">
        <f>SUM(G10:G18)</f>
        <v>0</v>
      </c>
      <c r="H19" s="893"/>
      <c r="I19" s="1353">
        <f>SUM(I10:I18)</f>
        <v>80.586700000000008</v>
      </c>
      <c r="J19" s="1353">
        <f>SUM(J10:J18)</f>
        <v>0</v>
      </c>
      <c r="K19" s="862"/>
      <c r="L19" s="1353">
        <f t="shared" si="2"/>
        <v>-1.5867000000000075</v>
      </c>
      <c r="M19" s="862">
        <f t="shared" si="3"/>
        <v>0</v>
      </c>
      <c r="N19" s="862">
        <f>G19-J19</f>
        <v>0</v>
      </c>
      <c r="O19" s="863"/>
      <c r="P19" s="838" t="str">
        <f t="shared" si="4"/>
        <v>Under Usage</v>
      </c>
    </row>
    <row r="20" spans="1:16" s="855" customFormat="1">
      <c r="A20" s="852"/>
      <c r="B20" s="853"/>
      <c r="C20" s="853"/>
      <c r="D20" s="853"/>
      <c r="E20" s="853"/>
      <c r="F20" s="853"/>
      <c r="G20" s="853"/>
      <c r="H20" s="853"/>
      <c r="I20" s="853"/>
      <c r="J20" s="853"/>
      <c r="K20" s="853"/>
      <c r="L20" s="853"/>
      <c r="M20" s="853"/>
      <c r="N20" s="853"/>
      <c r="O20" s="854"/>
    </row>
    <row r="21" spans="1:16" s="627" customFormat="1">
      <c r="A21" s="887"/>
      <c r="B21" s="1347" t="s">
        <v>806</v>
      </c>
      <c r="C21" s="851" t="s">
        <v>687</v>
      </c>
      <c r="D21" s="864">
        <f>[8]Cons.Mat.Evalu.!$D$22+[2]Cons.Mat.Evalu.!$D$22+[3]Cons.Mat.Evalu.!$D$22+[9]Cons.Mat.Evalu.!$D$22+[5]Cons.Mat.Evalu.!$D$22+[6]Cons.Mat.Evalu.!$D$22+[7]Cons.Mat.Evalu.!$D$22</f>
        <v>88.52</v>
      </c>
      <c r="E21" s="864"/>
      <c r="F21" s="856">
        <f>[8]Cons.Mat.Evalu.!$F22+[2]Cons.Mat.Evalu.!$F22+[3]Cons.Mat.Evalu.!$F22+[9]Cons.Mat.Evalu.!$F22+[5]Cons.Mat.Evalu.!$F22+[6]Cons.Mat.Evalu.!$F22+[7]Cons.Mat.Evalu.!$F22</f>
        <v>14.5</v>
      </c>
      <c r="G21" s="864"/>
      <c r="H21" s="851"/>
      <c r="I21" s="851"/>
      <c r="J21" s="851"/>
      <c r="K21" s="851"/>
      <c r="L21" s="864">
        <f t="shared" si="2"/>
        <v>14.5</v>
      </c>
      <c r="M21" s="864">
        <f t="shared" si="3"/>
        <v>0</v>
      </c>
      <c r="N21" s="864">
        <f t="shared" ref="N21:N34" si="5">G21-J21</f>
        <v>0</v>
      </c>
      <c r="O21" s="888"/>
    </row>
    <row r="22" spans="1:16">
      <c r="A22" s="865"/>
      <c r="B22" s="866" t="s">
        <v>532</v>
      </c>
      <c r="C22" s="636" t="s">
        <v>72</v>
      </c>
      <c r="D22" s="856"/>
      <c r="E22" s="867"/>
      <c r="F22" s="868"/>
      <c r="G22" s="869"/>
      <c r="H22" s="870"/>
      <c r="I22" s="870"/>
      <c r="J22" s="870"/>
      <c r="K22" s="870"/>
      <c r="L22" s="856">
        <f t="shared" si="2"/>
        <v>0</v>
      </c>
      <c r="M22" s="856">
        <f t="shared" si="3"/>
        <v>0</v>
      </c>
      <c r="N22" s="856">
        <f t="shared" si="5"/>
        <v>0</v>
      </c>
      <c r="O22" s="871"/>
    </row>
    <row r="23" spans="1:16">
      <c r="A23" s="872"/>
      <c r="B23" s="873" t="s">
        <v>533</v>
      </c>
      <c r="C23" s="571" t="s">
        <v>534</v>
      </c>
      <c r="D23" s="856"/>
      <c r="E23" s="867"/>
      <c r="F23" s="868"/>
      <c r="G23" s="867"/>
      <c r="H23" s="874"/>
      <c r="I23" s="874"/>
      <c r="J23" s="874"/>
      <c r="K23" s="874"/>
      <c r="L23" s="856">
        <f t="shared" si="2"/>
        <v>0</v>
      </c>
      <c r="M23" s="856">
        <f t="shared" si="3"/>
        <v>0</v>
      </c>
      <c r="N23" s="856">
        <f t="shared" si="5"/>
        <v>0</v>
      </c>
      <c r="O23" s="875"/>
    </row>
    <row r="24" spans="1:16">
      <c r="A24" s="872"/>
      <c r="B24" s="873" t="s">
        <v>535</v>
      </c>
      <c r="C24" s="874"/>
      <c r="D24" s="856"/>
      <c r="E24" s="867"/>
      <c r="F24" s="868"/>
      <c r="G24" s="867"/>
      <c r="H24" s="874"/>
      <c r="I24" s="874"/>
      <c r="J24" s="874"/>
      <c r="K24" s="874"/>
      <c r="L24" s="856">
        <f t="shared" si="2"/>
        <v>0</v>
      </c>
      <c r="M24" s="856">
        <f t="shared" si="3"/>
        <v>0</v>
      </c>
      <c r="N24" s="856">
        <f t="shared" si="5"/>
        <v>0</v>
      </c>
      <c r="O24" s="875"/>
    </row>
    <row r="25" spans="1:16">
      <c r="A25" s="872"/>
      <c r="B25" s="873" t="s">
        <v>536</v>
      </c>
      <c r="C25" s="571" t="s">
        <v>72</v>
      </c>
      <c r="D25" s="856"/>
      <c r="E25" s="867"/>
      <c r="F25" s="868"/>
      <c r="G25" s="867"/>
      <c r="H25" s="874"/>
      <c r="I25" s="874"/>
      <c r="J25" s="874"/>
      <c r="K25" s="874"/>
      <c r="L25" s="856">
        <f t="shared" si="2"/>
        <v>0</v>
      </c>
      <c r="M25" s="856">
        <f t="shared" si="3"/>
        <v>0</v>
      </c>
      <c r="N25" s="856">
        <f t="shared" si="5"/>
        <v>0</v>
      </c>
      <c r="O25" s="875"/>
    </row>
    <row r="26" spans="1:16">
      <c r="A26" s="872"/>
      <c r="B26" s="873" t="s">
        <v>537</v>
      </c>
      <c r="C26" s="571" t="s">
        <v>72</v>
      </c>
      <c r="D26" s="856">
        <f>'Lab. Evalu.'!F28+'Lab. Evalu.'!F29</f>
        <v>3623.5360000000001</v>
      </c>
      <c r="E26" s="867"/>
      <c r="F26" s="868"/>
      <c r="G26" s="867"/>
      <c r="H26" s="874"/>
      <c r="I26" s="874"/>
      <c r="J26" s="874"/>
      <c r="K26" s="874"/>
      <c r="L26" s="856">
        <f t="shared" si="2"/>
        <v>0</v>
      </c>
      <c r="M26" s="856">
        <f t="shared" si="3"/>
        <v>0</v>
      </c>
      <c r="N26" s="856">
        <f t="shared" si="5"/>
        <v>0</v>
      </c>
      <c r="O26" s="875"/>
    </row>
    <row r="27" spans="1:16">
      <c r="A27" s="872"/>
      <c r="B27" s="874" t="s">
        <v>538</v>
      </c>
      <c r="C27" s="874"/>
      <c r="D27" s="856"/>
      <c r="E27" s="867"/>
      <c r="F27" s="868"/>
      <c r="G27" s="867"/>
      <c r="H27" s="874"/>
      <c r="I27" s="874"/>
      <c r="J27" s="874"/>
      <c r="K27" s="874"/>
      <c r="L27" s="856">
        <f t="shared" si="2"/>
        <v>0</v>
      </c>
      <c r="M27" s="856">
        <f t="shared" si="3"/>
        <v>0</v>
      </c>
      <c r="N27" s="856">
        <f t="shared" si="5"/>
        <v>0</v>
      </c>
      <c r="O27" s="875"/>
    </row>
    <row r="28" spans="1:16">
      <c r="A28" s="872"/>
      <c r="B28" s="873" t="s">
        <v>539</v>
      </c>
      <c r="C28" s="571" t="s">
        <v>72</v>
      </c>
      <c r="D28" s="856"/>
      <c r="E28" s="867"/>
      <c r="F28" s="868"/>
      <c r="G28" s="867"/>
      <c r="H28" s="874"/>
      <c r="I28" s="874"/>
      <c r="J28" s="874"/>
      <c r="K28" s="874"/>
      <c r="L28" s="856">
        <f t="shared" si="2"/>
        <v>0</v>
      </c>
      <c r="M28" s="856">
        <f t="shared" si="3"/>
        <v>0</v>
      </c>
      <c r="N28" s="856">
        <f t="shared" si="5"/>
        <v>0</v>
      </c>
      <c r="O28" s="875"/>
    </row>
    <row r="29" spans="1:16">
      <c r="A29" s="872"/>
      <c r="B29" s="873" t="s">
        <v>540</v>
      </c>
      <c r="C29" s="571" t="s">
        <v>72</v>
      </c>
      <c r="D29" s="856"/>
      <c r="E29" s="867"/>
      <c r="F29" s="868"/>
      <c r="G29" s="867"/>
      <c r="H29" s="874"/>
      <c r="I29" s="874"/>
      <c r="J29" s="874"/>
      <c r="K29" s="874"/>
      <c r="L29" s="856">
        <f t="shared" si="2"/>
        <v>0</v>
      </c>
      <c r="M29" s="856">
        <f t="shared" si="3"/>
        <v>0</v>
      </c>
      <c r="N29" s="856">
        <f t="shared" si="5"/>
        <v>0</v>
      </c>
      <c r="O29" s="875"/>
    </row>
    <row r="30" spans="1:16">
      <c r="A30" s="872"/>
      <c r="B30" s="873" t="s">
        <v>541</v>
      </c>
      <c r="C30" s="571" t="s">
        <v>542</v>
      </c>
      <c r="D30" s="856"/>
      <c r="E30" s="867"/>
      <c r="F30" s="868"/>
      <c r="G30" s="867"/>
      <c r="H30" s="874"/>
      <c r="I30" s="874"/>
      <c r="J30" s="874"/>
      <c r="K30" s="874"/>
      <c r="L30" s="856">
        <f t="shared" si="2"/>
        <v>0</v>
      </c>
      <c r="M30" s="856">
        <f t="shared" si="3"/>
        <v>0</v>
      </c>
      <c r="N30" s="856">
        <f t="shared" si="5"/>
        <v>0</v>
      </c>
      <c r="O30" s="875"/>
    </row>
    <row r="31" spans="1:16">
      <c r="A31" s="872"/>
      <c r="B31" s="873"/>
      <c r="C31" s="571" t="s">
        <v>543</v>
      </c>
      <c r="D31" s="856"/>
      <c r="E31" s="867"/>
      <c r="F31" s="868"/>
      <c r="G31" s="867"/>
      <c r="H31" s="874"/>
      <c r="I31" s="874"/>
      <c r="J31" s="874"/>
      <c r="K31" s="874"/>
      <c r="L31" s="856">
        <f t="shared" si="2"/>
        <v>0</v>
      </c>
      <c r="M31" s="856">
        <f t="shared" si="3"/>
        <v>0</v>
      </c>
      <c r="N31" s="856">
        <f t="shared" si="5"/>
        <v>0</v>
      </c>
      <c r="O31" s="875"/>
    </row>
    <row r="32" spans="1:16">
      <c r="A32" s="872"/>
      <c r="B32" s="873" t="s">
        <v>111</v>
      </c>
      <c r="C32" s="571" t="s">
        <v>544</v>
      </c>
      <c r="D32" s="856"/>
      <c r="E32" s="867"/>
      <c r="F32" s="868"/>
      <c r="G32" s="867"/>
      <c r="H32" s="874"/>
      <c r="I32" s="874"/>
      <c r="J32" s="874"/>
      <c r="K32" s="874"/>
      <c r="L32" s="856">
        <f t="shared" si="2"/>
        <v>0</v>
      </c>
      <c r="M32" s="856">
        <f t="shared" si="3"/>
        <v>0</v>
      </c>
      <c r="N32" s="856">
        <f t="shared" si="5"/>
        <v>0</v>
      </c>
      <c r="O32" s="875"/>
    </row>
    <row r="33" spans="1:20">
      <c r="A33" s="872"/>
      <c r="B33" s="873" t="s">
        <v>545</v>
      </c>
      <c r="C33" s="571" t="s">
        <v>544</v>
      </c>
      <c r="D33" s="856"/>
      <c r="E33" s="867"/>
      <c r="F33" s="868"/>
      <c r="G33" s="867"/>
      <c r="H33" s="874"/>
      <c r="I33" s="874"/>
      <c r="J33" s="874"/>
      <c r="K33" s="874"/>
      <c r="L33" s="856">
        <f t="shared" si="2"/>
        <v>0</v>
      </c>
      <c r="M33" s="856">
        <f t="shared" si="3"/>
        <v>0</v>
      </c>
      <c r="N33" s="856">
        <f t="shared" si="5"/>
        <v>0</v>
      </c>
      <c r="O33" s="875"/>
    </row>
    <row r="34" spans="1:20">
      <c r="A34" s="872"/>
      <c r="B34" s="873" t="s">
        <v>546</v>
      </c>
      <c r="C34" s="571" t="s">
        <v>544</v>
      </c>
      <c r="D34" s="856"/>
      <c r="E34" s="867"/>
      <c r="F34" s="868"/>
      <c r="G34" s="867"/>
      <c r="H34" s="874"/>
      <c r="I34" s="874"/>
      <c r="J34" s="874"/>
      <c r="K34" s="874"/>
      <c r="L34" s="856">
        <f t="shared" si="2"/>
        <v>0</v>
      </c>
      <c r="M34" s="856">
        <f t="shared" si="3"/>
        <v>0</v>
      </c>
      <c r="N34" s="856">
        <f t="shared" si="5"/>
        <v>0</v>
      </c>
      <c r="O34" s="875"/>
    </row>
    <row r="35" spans="1:20">
      <c r="A35" s="872"/>
      <c r="B35" s="873"/>
      <c r="C35" s="873"/>
      <c r="D35" s="867"/>
      <c r="E35" s="867"/>
      <c r="F35" s="867"/>
      <c r="G35" s="867"/>
      <c r="H35" s="874"/>
      <c r="I35" s="874"/>
      <c r="J35" s="874"/>
      <c r="K35" s="874"/>
      <c r="L35" s="870"/>
      <c r="M35" s="870"/>
      <c r="N35" s="870"/>
      <c r="O35" s="875"/>
    </row>
    <row r="36" spans="1:20" ht="13.5" thickBot="1">
      <c r="A36" s="876"/>
      <c r="B36" s="576"/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8"/>
    </row>
    <row r="37" spans="1:20">
      <c r="A37" s="693"/>
      <c r="B37" s="693"/>
      <c r="C37" s="693"/>
      <c r="D37" s="693"/>
      <c r="E37" s="693"/>
      <c r="F37" s="693"/>
      <c r="G37" s="693"/>
      <c r="H37" s="693"/>
      <c r="I37" s="693"/>
      <c r="J37" s="693"/>
      <c r="K37" s="693"/>
      <c r="L37" s="693"/>
      <c r="M37" s="693"/>
      <c r="N37" s="693"/>
      <c r="O37" s="693"/>
    </row>
    <row r="38" spans="1:20">
      <c r="A38" s="621"/>
      <c r="B38" s="621"/>
      <c r="C38" s="621"/>
      <c r="D38" s="621"/>
      <c r="E38" s="621"/>
      <c r="F38" s="621"/>
      <c r="G38" s="621"/>
      <c r="H38" s="621"/>
      <c r="I38" s="621"/>
      <c r="J38" s="621"/>
      <c r="K38" s="621"/>
      <c r="L38" s="621"/>
      <c r="M38" s="621"/>
      <c r="N38" s="621"/>
      <c r="O38" s="621"/>
    </row>
    <row r="39" spans="1:20">
      <c r="A39" s="621"/>
      <c r="B39" s="621"/>
      <c r="C39" s="621"/>
      <c r="D39" s="621"/>
      <c r="E39" s="621"/>
      <c r="F39" s="621"/>
      <c r="G39" s="621"/>
      <c r="H39" s="621"/>
      <c r="I39" s="621"/>
      <c r="J39" s="621"/>
      <c r="K39" s="621"/>
      <c r="L39" s="621"/>
      <c r="M39" s="621"/>
      <c r="N39" s="621"/>
      <c r="O39" s="621"/>
    </row>
    <row r="40" spans="1:20" s="693" customFormat="1" ht="18.75">
      <c r="A40" s="695" t="s">
        <v>734</v>
      </c>
      <c r="B40" s="695"/>
      <c r="C40" s="695"/>
      <c r="D40" s="695"/>
      <c r="E40" s="704" t="s">
        <v>517</v>
      </c>
      <c r="F40" s="695"/>
      <c r="G40" s="695"/>
      <c r="H40" s="695"/>
      <c r="I40" s="695"/>
      <c r="J40" s="695" t="s">
        <v>686</v>
      </c>
      <c r="K40" s="695"/>
      <c r="L40" s="695"/>
      <c r="M40" s="695"/>
      <c r="N40" s="695"/>
      <c r="O40" s="695"/>
      <c r="P40" s="695"/>
      <c r="Q40" s="695"/>
      <c r="R40" s="695"/>
      <c r="S40" s="695"/>
      <c r="T40" s="695"/>
    </row>
    <row r="41" spans="1:20" s="697" customFormat="1" ht="18">
      <c r="A41" s="698"/>
      <c r="B41" s="1356" t="str">
        <f>'Lab. Evalu.'!B34</f>
        <v>Fasil N.</v>
      </c>
      <c r="D41" s="705"/>
      <c r="E41" s="700"/>
      <c r="F41" s="1357" t="s">
        <v>700</v>
      </c>
      <c r="G41" s="698"/>
      <c r="H41" s="698"/>
      <c r="I41" s="2171" t="str">
        <f>'Lab. Evalu.'!L34</f>
        <v>AMARE M.</v>
      </c>
      <c r="J41" s="2171"/>
      <c r="K41" s="2171"/>
      <c r="L41" s="701"/>
      <c r="M41" s="702"/>
      <c r="N41" s="702"/>
      <c r="O41" s="702"/>
      <c r="P41" s="702"/>
      <c r="Q41" s="702"/>
      <c r="R41" s="703"/>
    </row>
    <row r="42" spans="1:20">
      <c r="A42" s="621"/>
      <c r="B42" s="621"/>
      <c r="C42" s="621"/>
      <c r="D42" s="621"/>
      <c r="E42" s="621"/>
      <c r="F42" s="621"/>
      <c r="G42" s="621"/>
      <c r="H42" s="621"/>
      <c r="I42" s="621"/>
      <c r="J42" s="621"/>
      <c r="K42" s="621"/>
      <c r="L42" s="621"/>
      <c r="M42" s="621"/>
      <c r="N42" s="621"/>
      <c r="O42" s="621"/>
    </row>
  </sheetData>
  <mergeCells count="16">
    <mergeCell ref="I41:K41"/>
    <mergeCell ref="A1:Q1"/>
    <mergeCell ref="A2:Q2"/>
    <mergeCell ref="A3:Q3"/>
    <mergeCell ref="L4:P4"/>
    <mergeCell ref="A6:A8"/>
    <mergeCell ref="B6:B8"/>
    <mergeCell ref="C6:C8"/>
    <mergeCell ref="D6:E7"/>
    <mergeCell ref="F6:G7"/>
    <mergeCell ref="H6:H8"/>
    <mergeCell ref="I6:J7"/>
    <mergeCell ref="K6:K8"/>
    <mergeCell ref="L6:O6"/>
    <mergeCell ref="L7:M7"/>
    <mergeCell ref="N7:O7"/>
  </mergeCells>
  <printOptions horizontalCentered="1" verticalCentered="1"/>
  <pageMargins left="0.25" right="0.25" top="0.75" bottom="0.75" header="0.3" footer="0.3"/>
  <pageSetup paperSize="9" scale="82" firstPageNumber="0" orientation="landscape" r:id="rId1"/>
  <rowBreaks count="1" manualBreakCount="1">
    <brk id="42" max="14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view="pageBreakPreview" topLeftCell="B16" zoomScale="110" zoomScaleSheetLayoutView="110" workbookViewId="0">
      <selection activeCell="Q14" sqref="Q14"/>
    </sheetView>
  </sheetViews>
  <sheetFormatPr defaultRowHeight="12.75"/>
  <cols>
    <col min="1" max="1" width="7" style="621" hidden="1" customWidth="1"/>
    <col min="2" max="2" width="12" style="621" customWidth="1"/>
    <col min="3" max="4" width="9.140625" style="621"/>
    <col min="5" max="5" width="11.42578125" style="621" customWidth="1"/>
    <col min="6" max="9" width="9.140625" style="621"/>
    <col min="10" max="10" width="30.42578125" style="621" customWidth="1"/>
    <col min="11" max="11" width="8.28515625" style="621" customWidth="1"/>
    <col min="12" max="12" width="12.7109375" style="621" customWidth="1"/>
    <col min="13" max="16384" width="9.140625" style="621"/>
  </cols>
  <sheetData>
    <row r="1" spans="2:14">
      <c r="B1" s="2197" t="s">
        <v>615</v>
      </c>
      <c r="C1" s="2197"/>
      <c r="D1" s="2197"/>
      <c r="E1" s="2197"/>
      <c r="F1" s="2197"/>
      <c r="G1" s="2197"/>
      <c r="H1" s="2197"/>
      <c r="I1" s="2197"/>
      <c r="J1" s="2197"/>
      <c r="K1" s="2197"/>
    </row>
    <row r="2" spans="2:14">
      <c r="B2" s="2197"/>
      <c r="C2" s="2197"/>
      <c r="D2" s="2197"/>
      <c r="E2" s="2197"/>
      <c r="F2" s="2197"/>
      <c r="G2" s="2197"/>
      <c r="H2" s="2197"/>
      <c r="I2" s="2197"/>
      <c r="J2" s="2197"/>
      <c r="K2" s="2197"/>
    </row>
    <row r="3" spans="2:14">
      <c r="B3" s="2198" t="s">
        <v>849</v>
      </c>
      <c r="C3" s="2198"/>
      <c r="D3" s="2198"/>
      <c r="E3" s="2198"/>
      <c r="F3" s="2198"/>
      <c r="G3" s="2198"/>
      <c r="H3" s="2198"/>
      <c r="I3" s="2198"/>
      <c r="J3" s="2198"/>
      <c r="K3" s="2198"/>
    </row>
    <row r="4" spans="2:14" ht="6.75" customHeight="1">
      <c r="B4" s="2198"/>
      <c r="C4" s="2198"/>
      <c r="D4" s="2198"/>
      <c r="E4" s="2198"/>
      <c r="F4" s="2198"/>
      <c r="G4" s="2198"/>
      <c r="H4" s="2198"/>
      <c r="I4" s="2198"/>
      <c r="J4" s="2198"/>
      <c r="K4" s="2198"/>
    </row>
    <row r="5" spans="2:14">
      <c r="B5" s="2198" t="s">
        <v>848</v>
      </c>
      <c r="C5" s="2198"/>
      <c r="D5" s="2198"/>
      <c r="E5" s="2198"/>
      <c r="F5" s="2198"/>
      <c r="G5" s="2198"/>
      <c r="H5" s="2198"/>
      <c r="I5" s="2198"/>
      <c r="J5" s="2198"/>
      <c r="K5" s="2198"/>
    </row>
    <row r="6" spans="2:14" ht="5.25" customHeight="1">
      <c r="B6" s="2198"/>
      <c r="C6" s="2198"/>
      <c r="D6" s="2198"/>
      <c r="E6" s="2198"/>
      <c r="F6" s="2198"/>
      <c r="G6" s="2198"/>
      <c r="H6" s="2198"/>
      <c r="I6" s="2198"/>
      <c r="J6" s="2198"/>
      <c r="K6" s="2198"/>
    </row>
    <row r="7" spans="2:14">
      <c r="B7" s="1605"/>
      <c r="C7" s="1605"/>
      <c r="D7" s="2199" t="s">
        <v>847</v>
      </c>
      <c r="E7" s="2199"/>
      <c r="F7" s="2199"/>
      <c r="G7" s="2199"/>
      <c r="H7" s="2199"/>
      <c r="I7" s="2199"/>
      <c r="J7" s="2199"/>
      <c r="K7" s="1605"/>
    </row>
    <row r="8" spans="2:14" ht="13.5" thickBot="1">
      <c r="B8" s="1605"/>
      <c r="C8" s="1605"/>
      <c r="D8" s="1605"/>
      <c r="E8" s="1605"/>
      <c r="F8" s="1605"/>
      <c r="G8" s="1605"/>
      <c r="H8" s="1605"/>
      <c r="I8" s="1605"/>
      <c r="J8" s="1605"/>
      <c r="K8" s="1605"/>
    </row>
    <row r="9" spans="2:14" ht="19.5" thickTop="1">
      <c r="B9" s="1604" t="s">
        <v>846</v>
      </c>
      <c r="C9" s="2200" t="s">
        <v>845</v>
      </c>
      <c r="D9" s="2200"/>
      <c r="E9" s="2200"/>
      <c r="F9" s="2200" t="s">
        <v>844</v>
      </c>
      <c r="G9" s="2200"/>
      <c r="H9" s="2200"/>
      <c r="I9" s="2200"/>
      <c r="J9" s="2200" t="s">
        <v>843</v>
      </c>
      <c r="K9" s="2201"/>
      <c r="N9" s="1603"/>
    </row>
    <row r="10" spans="2:14" ht="60" customHeight="1">
      <c r="B10" s="1602">
        <v>1</v>
      </c>
      <c r="C10" s="2194" t="s">
        <v>842</v>
      </c>
      <c r="D10" s="2195"/>
      <c r="E10" s="2196"/>
      <c r="F10" s="2212" t="s">
        <v>841</v>
      </c>
      <c r="G10" s="2213"/>
      <c r="H10" s="2213"/>
      <c r="I10" s="2214"/>
      <c r="J10" s="2185" t="s">
        <v>814</v>
      </c>
      <c r="K10" s="2186"/>
    </row>
    <row r="11" spans="2:14" ht="51" customHeight="1">
      <c r="B11" s="1602">
        <v>2</v>
      </c>
      <c r="C11" s="2202" t="s">
        <v>840</v>
      </c>
      <c r="D11" s="2202"/>
      <c r="E11" s="2202"/>
      <c r="F11" s="2190" t="s">
        <v>839</v>
      </c>
      <c r="G11" s="2191"/>
      <c r="H11" s="2191"/>
      <c r="I11" s="2192"/>
      <c r="J11" s="2185" t="s">
        <v>814</v>
      </c>
      <c r="K11" s="2186"/>
    </row>
    <row r="12" spans="2:14" ht="101.25" customHeight="1">
      <c r="B12" s="1601">
        <v>3</v>
      </c>
      <c r="C12" s="2202" t="s">
        <v>838</v>
      </c>
      <c r="D12" s="2202"/>
      <c r="E12" s="2202"/>
      <c r="F12" s="2184" t="s">
        <v>837</v>
      </c>
      <c r="G12" s="2184"/>
      <c r="H12" s="2184"/>
      <c r="I12" s="2184"/>
      <c r="J12" s="2185" t="s">
        <v>814</v>
      </c>
      <c r="K12" s="2186"/>
    </row>
    <row r="13" spans="2:14" ht="50.25" customHeight="1">
      <c r="B13" s="1602">
        <v>4</v>
      </c>
      <c r="C13" s="2194" t="s">
        <v>836</v>
      </c>
      <c r="D13" s="2195"/>
      <c r="E13" s="2196"/>
      <c r="F13" s="2190" t="s">
        <v>835</v>
      </c>
      <c r="G13" s="2191"/>
      <c r="H13" s="2191"/>
      <c r="I13" s="2192"/>
      <c r="J13" s="2185" t="s">
        <v>817</v>
      </c>
      <c r="K13" s="2186"/>
    </row>
    <row r="14" spans="2:14" ht="69.75" customHeight="1">
      <c r="B14" s="1602">
        <v>5</v>
      </c>
      <c r="C14" s="2202" t="s">
        <v>834</v>
      </c>
      <c r="D14" s="2202"/>
      <c r="E14" s="2202"/>
      <c r="F14" s="2184" t="s">
        <v>833</v>
      </c>
      <c r="G14" s="2184"/>
      <c r="H14" s="2184"/>
      <c r="I14" s="2184"/>
      <c r="J14" s="2185" t="s">
        <v>832</v>
      </c>
      <c r="K14" s="2186"/>
    </row>
    <row r="15" spans="2:14" ht="34.5" customHeight="1">
      <c r="B15" s="1601">
        <v>6</v>
      </c>
      <c r="C15" s="2193" t="s">
        <v>831</v>
      </c>
      <c r="D15" s="2193"/>
      <c r="E15" s="2193"/>
      <c r="F15" s="2190" t="s">
        <v>830</v>
      </c>
      <c r="G15" s="2191"/>
      <c r="H15" s="2191"/>
      <c r="I15" s="2192"/>
      <c r="J15" s="2185" t="s">
        <v>827</v>
      </c>
      <c r="K15" s="2186"/>
    </row>
    <row r="16" spans="2:14" ht="35.25" customHeight="1">
      <c r="B16" s="1602">
        <v>7</v>
      </c>
      <c r="C16" s="2193" t="s">
        <v>829</v>
      </c>
      <c r="D16" s="2193"/>
      <c r="E16" s="2193"/>
      <c r="F16" s="2184" t="s">
        <v>828</v>
      </c>
      <c r="G16" s="2184"/>
      <c r="H16" s="2184"/>
      <c r="I16" s="2184"/>
      <c r="J16" s="2185" t="s">
        <v>827</v>
      </c>
      <c r="K16" s="2186"/>
    </row>
    <row r="17" spans="2:11" ht="36.75" customHeight="1">
      <c r="B17" s="1602">
        <v>8</v>
      </c>
      <c r="C17" s="2193" t="s">
        <v>826</v>
      </c>
      <c r="D17" s="2193"/>
      <c r="E17" s="2193"/>
      <c r="F17" s="2184" t="s">
        <v>825</v>
      </c>
      <c r="G17" s="2184"/>
      <c r="H17" s="2184"/>
      <c r="I17" s="2184"/>
      <c r="J17" s="2185" t="s">
        <v>823</v>
      </c>
      <c r="K17" s="2186"/>
    </row>
    <row r="18" spans="2:11" ht="36.75" customHeight="1">
      <c r="B18" s="1601">
        <v>9</v>
      </c>
      <c r="C18" s="2193" t="s">
        <v>824</v>
      </c>
      <c r="D18" s="2193"/>
      <c r="E18" s="2193"/>
      <c r="F18" s="2184" t="s">
        <v>680</v>
      </c>
      <c r="G18" s="2184"/>
      <c r="H18" s="2184"/>
      <c r="I18" s="2184"/>
      <c r="J18" s="2185" t="s">
        <v>823</v>
      </c>
      <c r="K18" s="2186"/>
    </row>
    <row r="19" spans="2:11" ht="32.25" customHeight="1">
      <c r="B19" s="1602">
        <v>10</v>
      </c>
      <c r="C19" s="2193" t="s">
        <v>822</v>
      </c>
      <c r="D19" s="2193"/>
      <c r="E19" s="2193"/>
      <c r="F19" s="2184" t="s">
        <v>821</v>
      </c>
      <c r="G19" s="2184"/>
      <c r="H19" s="2184"/>
      <c r="I19" s="2184"/>
      <c r="J19" s="2185" t="s">
        <v>814</v>
      </c>
      <c r="K19" s="2186"/>
    </row>
    <row r="20" spans="2:11" ht="62.25" customHeight="1">
      <c r="B20" s="1602">
        <v>11</v>
      </c>
      <c r="C20" s="2193" t="s">
        <v>820</v>
      </c>
      <c r="D20" s="2193"/>
      <c r="E20" s="2193"/>
      <c r="F20" s="2184" t="s">
        <v>819</v>
      </c>
      <c r="G20" s="2184"/>
      <c r="H20" s="2184"/>
      <c r="I20" s="2184"/>
      <c r="J20" s="2185" t="s">
        <v>814</v>
      </c>
      <c r="K20" s="2186"/>
    </row>
    <row r="21" spans="2:11" ht="35.25" customHeight="1">
      <c r="B21" s="1601">
        <v>12</v>
      </c>
      <c r="C21" s="2187" t="s">
        <v>816</v>
      </c>
      <c r="D21" s="2188"/>
      <c r="E21" s="2189"/>
      <c r="F21" s="2190" t="s">
        <v>818</v>
      </c>
      <c r="G21" s="2191"/>
      <c r="H21" s="2191"/>
      <c r="I21" s="2192"/>
      <c r="J21" s="2185" t="s">
        <v>817</v>
      </c>
      <c r="K21" s="2186"/>
    </row>
    <row r="22" spans="2:11" ht="54" customHeight="1" thickBot="1">
      <c r="B22" s="1600">
        <v>13</v>
      </c>
      <c r="C22" s="2206" t="s">
        <v>816</v>
      </c>
      <c r="D22" s="2207"/>
      <c r="E22" s="2208"/>
      <c r="F22" s="2209" t="s">
        <v>815</v>
      </c>
      <c r="G22" s="2209"/>
      <c r="H22" s="2209"/>
      <c r="I22" s="2209"/>
      <c r="J22" s="2210" t="s">
        <v>814</v>
      </c>
      <c r="K22" s="2211"/>
    </row>
    <row r="23" spans="2:11" ht="15" thickTop="1">
      <c r="C23" s="2205"/>
      <c r="D23" s="2205"/>
      <c r="E23" s="2205"/>
      <c r="F23" s="2205"/>
      <c r="G23" s="2205"/>
      <c r="H23" s="2205"/>
      <c r="I23" s="2205"/>
      <c r="J23" s="2205"/>
      <c r="K23" s="2205"/>
    </row>
    <row r="24" spans="2:11" ht="14.25">
      <c r="C24" s="2205"/>
      <c r="D24" s="2205"/>
      <c r="E24" s="2205"/>
      <c r="F24" s="2205"/>
      <c r="G24" s="2205"/>
      <c r="H24" s="2205"/>
      <c r="I24" s="2205"/>
      <c r="J24" s="2205"/>
      <c r="K24" s="2205"/>
    </row>
    <row r="25" spans="2:11">
      <c r="C25" s="2203" t="s">
        <v>813</v>
      </c>
      <c r="D25" s="2203"/>
      <c r="E25" s="2203"/>
      <c r="F25" s="2203" t="s">
        <v>685</v>
      </c>
      <c r="G25" s="2203"/>
      <c r="H25" s="2203"/>
      <c r="I25" s="2203"/>
      <c r="J25" s="2203" t="s">
        <v>686</v>
      </c>
      <c r="K25" s="2203"/>
    </row>
    <row r="26" spans="2:11" ht="16.5" customHeight="1">
      <c r="C26" s="2204" t="s">
        <v>812</v>
      </c>
      <c r="D26" s="2204"/>
      <c r="E26" s="2204"/>
      <c r="F26" s="2204" t="s">
        <v>736</v>
      </c>
      <c r="G26" s="2204"/>
      <c r="H26" s="1599"/>
      <c r="J26" s="1598" t="s">
        <v>809</v>
      </c>
    </row>
  </sheetData>
  <mergeCells count="57">
    <mergeCell ref="C22:E22"/>
    <mergeCell ref="F22:I22"/>
    <mergeCell ref="J22:K22"/>
    <mergeCell ref="F10:I10"/>
    <mergeCell ref="J10:K10"/>
    <mergeCell ref="C10:E10"/>
    <mergeCell ref="F18:I18"/>
    <mergeCell ref="C18:E18"/>
    <mergeCell ref="J18:K18"/>
    <mergeCell ref="F11:I11"/>
    <mergeCell ref="C14:E14"/>
    <mergeCell ref="F14:I14"/>
    <mergeCell ref="J14:K14"/>
    <mergeCell ref="F15:I15"/>
    <mergeCell ref="C15:E15"/>
    <mergeCell ref="J15:K15"/>
    <mergeCell ref="C23:E23"/>
    <mergeCell ref="F23:I23"/>
    <mergeCell ref="J23:K23"/>
    <mergeCell ref="C24:E24"/>
    <mergeCell ref="F24:I24"/>
    <mergeCell ref="J24:K24"/>
    <mergeCell ref="C25:E25"/>
    <mergeCell ref="F25:I25"/>
    <mergeCell ref="J25:K25"/>
    <mergeCell ref="C26:E26"/>
    <mergeCell ref="F26:G26"/>
    <mergeCell ref="C13:E13"/>
    <mergeCell ref="F13:I13"/>
    <mergeCell ref="J13:K13"/>
    <mergeCell ref="B1:K2"/>
    <mergeCell ref="B3:K4"/>
    <mergeCell ref="B5:K6"/>
    <mergeCell ref="D7:J7"/>
    <mergeCell ref="C9:E9"/>
    <mergeCell ref="F9:I9"/>
    <mergeCell ref="J9:K9"/>
    <mergeCell ref="C11:E11"/>
    <mergeCell ref="F12:I12"/>
    <mergeCell ref="J11:K11"/>
    <mergeCell ref="C12:E12"/>
    <mergeCell ref="J12:K12"/>
    <mergeCell ref="F16:I16"/>
    <mergeCell ref="J16:K16"/>
    <mergeCell ref="C21:E21"/>
    <mergeCell ref="F21:I21"/>
    <mergeCell ref="J21:K21"/>
    <mergeCell ref="C19:E19"/>
    <mergeCell ref="F19:I19"/>
    <mergeCell ref="J19:K19"/>
    <mergeCell ref="C20:E20"/>
    <mergeCell ref="F20:I20"/>
    <mergeCell ref="J20:K20"/>
    <mergeCell ref="C17:E17"/>
    <mergeCell ref="F17:I17"/>
    <mergeCell ref="J17:K17"/>
    <mergeCell ref="C16:E16"/>
  </mergeCells>
  <printOptions horizontalCentered="1"/>
  <pageMargins left="0.17" right="0.24" top="0.76" bottom="0.3" header="0.3" footer="0.3"/>
  <pageSetup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6"/>
  <sheetViews>
    <sheetView view="pageBreakPreview" topLeftCell="A4" zoomScale="60" zoomScaleNormal="100" workbookViewId="0">
      <pane xSplit="4" ySplit="2" topLeftCell="K18" activePane="bottomRight" state="frozen"/>
      <selection activeCell="A4" sqref="A4"/>
      <selection pane="topRight" activeCell="E4" sqref="E4"/>
      <selection pane="bottomLeft" activeCell="A7" sqref="A7"/>
      <selection pane="bottomRight" activeCell="AN41" sqref="AN41"/>
    </sheetView>
  </sheetViews>
  <sheetFormatPr defaultRowHeight="15"/>
  <cols>
    <col min="1" max="1" width="5.7109375" style="1606" customWidth="1"/>
    <col min="2" max="2" width="16.28515625" style="1606" customWidth="1"/>
    <col min="3" max="3" width="11.28515625" style="1606" customWidth="1"/>
    <col min="4" max="4" width="9.140625" style="1606" customWidth="1"/>
    <col min="5" max="5" width="14.85546875" style="1606" customWidth="1"/>
    <col min="6" max="6" width="0.140625" style="1606" customWidth="1"/>
    <col min="7" max="7" width="15.5703125" style="1606" customWidth="1"/>
    <col min="8" max="8" width="0.28515625" style="1606" hidden="1" customWidth="1"/>
    <col min="9" max="9" width="15.7109375" style="1606" customWidth="1"/>
    <col min="10" max="10" width="0" style="1606" hidden="1" customWidth="1"/>
    <col min="11" max="11" width="15.7109375" style="1606" customWidth="1"/>
    <col min="12" max="13" width="0" style="1606" hidden="1" customWidth="1"/>
    <col min="14" max="14" width="4" style="1606" hidden="1" customWidth="1"/>
    <col min="15" max="15" width="15.42578125" style="1606" customWidth="1"/>
    <col min="16" max="18" width="0" style="1606" hidden="1" customWidth="1"/>
    <col min="19" max="19" width="15.140625" style="1606" customWidth="1"/>
    <col min="20" max="22" width="0" style="1606" hidden="1" customWidth="1"/>
    <col min="23" max="23" width="15.140625" style="1606" customWidth="1"/>
    <col min="24" max="26" width="0" style="1606" hidden="1" customWidth="1"/>
    <col min="27" max="27" width="15.5703125" style="1606" customWidth="1"/>
    <col min="28" max="28" width="0" style="1606" hidden="1" customWidth="1"/>
    <col min="29" max="29" width="4" style="1606" hidden="1" customWidth="1"/>
    <col min="30" max="30" width="15.7109375" style="1606" customWidth="1"/>
    <col min="31" max="31" width="16.85546875" style="1606" customWidth="1"/>
    <col min="32" max="32" width="17" style="1607" customWidth="1"/>
    <col min="33" max="33" width="12.140625" style="1606" customWidth="1"/>
    <col min="34" max="16384" width="9.140625" style="1606"/>
  </cols>
  <sheetData>
    <row r="1" spans="1:33" ht="22.5">
      <c r="A1" s="2240" t="s">
        <v>931</v>
      </c>
      <c r="B1" s="2240"/>
      <c r="C1" s="2240"/>
      <c r="D1" s="2240"/>
      <c r="E1" s="2240"/>
      <c r="F1" s="2240"/>
      <c r="G1" s="2240"/>
      <c r="H1" s="2240"/>
      <c r="I1" s="2240"/>
      <c r="J1" s="2240"/>
      <c r="K1" s="2240"/>
      <c r="L1" s="2240"/>
      <c r="M1" s="2240"/>
      <c r="N1" s="2240"/>
      <c r="O1" s="2240"/>
      <c r="P1" s="2240"/>
      <c r="Q1" s="2240"/>
      <c r="R1" s="2240"/>
      <c r="S1" s="2240"/>
      <c r="T1" s="2240"/>
      <c r="U1" s="2240"/>
      <c r="V1" s="2240"/>
      <c r="W1" s="2240"/>
      <c r="X1" s="2240"/>
      <c r="Y1" s="2240"/>
      <c r="Z1" s="2240"/>
      <c r="AA1" s="2240"/>
      <c r="AB1" s="2240"/>
      <c r="AC1" s="2240"/>
      <c r="AD1" s="2240"/>
      <c r="AE1" s="2240"/>
      <c r="AF1" s="2240"/>
    </row>
    <row r="2" spans="1:33" ht="20.25">
      <c r="A2" s="2241" t="s">
        <v>930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  <c r="O2" s="2241"/>
      <c r="P2" s="2241"/>
      <c r="Q2" s="2241"/>
      <c r="R2" s="2241"/>
      <c r="S2" s="2241"/>
      <c r="T2" s="2241"/>
      <c r="U2" s="2241"/>
      <c r="V2" s="2241"/>
      <c r="W2" s="2241"/>
      <c r="X2" s="2241"/>
      <c r="Y2" s="2241"/>
      <c r="Z2" s="2241"/>
      <c r="AA2" s="2241"/>
      <c r="AB2" s="2241"/>
      <c r="AC2" s="2241"/>
      <c r="AD2" s="2241"/>
      <c r="AE2" s="2241"/>
      <c r="AF2" s="2241"/>
    </row>
    <row r="3" spans="1:33" ht="22.5" customHeight="1">
      <c r="A3" s="2242" t="s">
        <v>929</v>
      </c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242"/>
      <c r="U3" s="2242"/>
      <c r="V3" s="2242"/>
      <c r="W3" s="2242"/>
      <c r="X3" s="2242"/>
      <c r="Y3" s="2242"/>
      <c r="Z3" s="2242"/>
      <c r="AA3" s="2242"/>
      <c r="AB3" s="2242"/>
      <c r="AC3" s="2242"/>
      <c r="AD3" s="2242"/>
      <c r="AE3" s="2242"/>
      <c r="AF3" s="2242"/>
    </row>
    <row r="4" spans="1:33" ht="20.25" customHeight="1" thickBot="1">
      <c r="A4" s="1699"/>
      <c r="B4" s="1699"/>
      <c r="C4" s="1699"/>
      <c r="D4" s="1699"/>
      <c r="E4" s="1699"/>
      <c r="F4" s="1714"/>
      <c r="H4" s="1699"/>
      <c r="J4" s="1699"/>
      <c r="S4" s="2221" t="s">
        <v>928</v>
      </c>
      <c r="T4" s="2221"/>
      <c r="U4" s="2221"/>
      <c r="V4" s="2221"/>
      <c r="W4" s="2221"/>
      <c r="X4" s="2221"/>
      <c r="Y4" s="2221"/>
      <c r="Z4" s="2221"/>
      <c r="AA4" s="2221"/>
      <c r="AB4" s="2221"/>
      <c r="AC4" s="2221"/>
      <c r="AD4" s="2221"/>
      <c r="AG4" s="1608"/>
    </row>
    <row r="5" spans="1:33" ht="60.75" customHeight="1" thickTop="1" thickBot="1">
      <c r="A5" s="1713" t="s">
        <v>927</v>
      </c>
      <c r="B5" s="2243" t="s">
        <v>926</v>
      </c>
      <c r="C5" s="2243"/>
      <c r="D5" s="1712" t="s">
        <v>925</v>
      </c>
      <c r="E5" s="1709" t="s">
        <v>924</v>
      </c>
      <c r="F5" s="1708" t="s">
        <v>923</v>
      </c>
      <c r="G5" s="1711" t="s">
        <v>922</v>
      </c>
      <c r="H5" s="1710" t="s">
        <v>913</v>
      </c>
      <c r="I5" s="1709" t="s">
        <v>921</v>
      </c>
      <c r="J5" s="1709" t="s">
        <v>916</v>
      </c>
      <c r="K5" s="1709" t="s">
        <v>920</v>
      </c>
      <c r="L5" s="1709" t="s">
        <v>914</v>
      </c>
      <c r="M5" s="1709" t="s">
        <v>913</v>
      </c>
      <c r="N5" s="1709" t="s">
        <v>916</v>
      </c>
      <c r="O5" s="1709" t="s">
        <v>919</v>
      </c>
      <c r="P5" s="1709" t="s">
        <v>914</v>
      </c>
      <c r="Q5" s="1709" t="s">
        <v>913</v>
      </c>
      <c r="R5" s="1709" t="s">
        <v>916</v>
      </c>
      <c r="S5" s="1709" t="s">
        <v>918</v>
      </c>
      <c r="T5" s="1709" t="s">
        <v>914</v>
      </c>
      <c r="U5" s="1709" t="s">
        <v>913</v>
      </c>
      <c r="V5" s="1709" t="s">
        <v>916</v>
      </c>
      <c r="W5" s="1709" t="s">
        <v>917</v>
      </c>
      <c r="X5" s="1709" t="s">
        <v>914</v>
      </c>
      <c r="Y5" s="1709" t="s">
        <v>913</v>
      </c>
      <c r="Z5" s="1709" t="s">
        <v>916</v>
      </c>
      <c r="AA5" s="1709" t="s">
        <v>915</v>
      </c>
      <c r="AB5" s="1709" t="s">
        <v>914</v>
      </c>
      <c r="AC5" s="1709" t="s">
        <v>913</v>
      </c>
      <c r="AD5" s="1709" t="s">
        <v>912</v>
      </c>
      <c r="AE5" s="1709" t="s">
        <v>911</v>
      </c>
      <c r="AF5" s="1708" t="s">
        <v>910</v>
      </c>
      <c r="AG5" s="1707" t="s">
        <v>727</v>
      </c>
    </row>
    <row r="6" spans="1:33" ht="21.75" customHeight="1">
      <c r="A6" s="1685">
        <v>1</v>
      </c>
      <c r="B6" s="2244" t="s">
        <v>909</v>
      </c>
      <c r="C6" s="2245"/>
      <c r="D6" s="1706"/>
      <c r="E6" s="1691"/>
      <c r="F6" s="1634"/>
      <c r="G6" s="1633"/>
      <c r="H6" s="1632"/>
      <c r="I6" s="1631"/>
      <c r="J6" s="1631"/>
      <c r="K6" s="1631"/>
      <c r="L6" s="1631"/>
      <c r="M6" s="1631"/>
      <c r="N6" s="1631"/>
      <c r="O6" s="1631"/>
      <c r="P6" s="1631"/>
      <c r="Q6" s="1631"/>
      <c r="R6" s="1631"/>
      <c r="S6" s="1631"/>
      <c r="T6" s="1631"/>
      <c r="U6" s="1631"/>
      <c r="V6" s="1631"/>
      <c r="W6" s="1631"/>
      <c r="X6" s="1631"/>
      <c r="Y6" s="1631"/>
      <c r="Z6" s="1631"/>
      <c r="AA6" s="1631"/>
      <c r="AB6" s="1631"/>
      <c r="AC6" s="1631"/>
      <c r="AD6" s="1631"/>
      <c r="AE6" s="1631"/>
      <c r="AF6" s="1705"/>
      <c r="AG6" s="1608"/>
    </row>
    <row r="7" spans="1:33" ht="16.5" customHeight="1">
      <c r="A7" s="1621"/>
      <c r="B7" s="2246" t="s">
        <v>908</v>
      </c>
      <c r="C7" s="2247"/>
      <c r="D7" s="1697" t="s">
        <v>906</v>
      </c>
      <c r="E7" s="1701">
        <v>219</v>
      </c>
      <c r="F7" s="1625"/>
      <c r="G7" s="1617"/>
      <c r="H7" s="1704"/>
      <c r="I7" s="1615"/>
      <c r="J7" s="1615"/>
      <c r="K7" s="1615"/>
      <c r="L7" s="1615"/>
      <c r="M7" s="1619"/>
      <c r="N7" s="1615"/>
      <c r="O7" s="1615"/>
      <c r="P7" s="1615"/>
      <c r="Q7" s="1619"/>
      <c r="R7" s="1615"/>
      <c r="S7" s="1615"/>
      <c r="T7" s="1615"/>
      <c r="U7" s="1619"/>
      <c r="V7" s="1615"/>
      <c r="W7" s="1615"/>
      <c r="X7" s="1615"/>
      <c r="Y7" s="1619"/>
      <c r="Z7" s="1615"/>
      <c r="AA7" s="1615"/>
      <c r="AB7" s="1615"/>
      <c r="AC7" s="1619"/>
      <c r="AD7" s="1619">
        <v>25</v>
      </c>
      <c r="AE7" s="1619">
        <f t="shared" ref="AE7:AE42" si="0">SUM(I7:AD7)</f>
        <v>25</v>
      </c>
      <c r="AF7" s="1614">
        <f t="shared" ref="AF7:AF42" si="1">E7+G7-AE7</f>
        <v>194</v>
      </c>
      <c r="AG7" s="1608"/>
    </row>
    <row r="8" spans="1:33" ht="13.5" customHeight="1">
      <c r="A8" s="1621"/>
      <c r="B8" s="2246" t="s">
        <v>907</v>
      </c>
      <c r="C8" s="2247"/>
      <c r="D8" s="1697" t="s">
        <v>906</v>
      </c>
      <c r="E8" s="1631">
        <v>348</v>
      </c>
      <c r="F8" s="1630"/>
      <c r="G8" s="1617"/>
      <c r="H8" s="1704"/>
      <c r="I8" s="1615">
        <v>60</v>
      </c>
      <c r="J8" s="1615"/>
      <c r="K8" s="1615">
        <v>70</v>
      </c>
      <c r="L8" s="1615"/>
      <c r="M8" s="1619"/>
      <c r="N8" s="1615"/>
      <c r="O8" s="1615"/>
      <c r="P8" s="1615"/>
      <c r="Q8" s="1619"/>
      <c r="R8" s="1615"/>
      <c r="S8" s="1615"/>
      <c r="T8" s="1615"/>
      <c r="U8" s="1619"/>
      <c r="V8" s="1615"/>
      <c r="W8" s="1615">
        <v>30</v>
      </c>
      <c r="X8" s="1615"/>
      <c r="Y8" s="1619"/>
      <c r="Z8" s="1615"/>
      <c r="AA8" s="1615"/>
      <c r="AB8" s="1615"/>
      <c r="AC8" s="1619"/>
      <c r="AD8" s="1619"/>
      <c r="AE8" s="1619">
        <f t="shared" si="0"/>
        <v>160</v>
      </c>
      <c r="AF8" s="1614">
        <f t="shared" si="1"/>
        <v>188</v>
      </c>
      <c r="AG8" s="1608"/>
    </row>
    <row r="9" spans="1:33" ht="18" customHeight="1">
      <c r="A9" s="1621"/>
      <c r="B9" s="2248" t="s">
        <v>905</v>
      </c>
      <c r="C9" s="2249"/>
      <c r="D9" s="1620" t="s">
        <v>898</v>
      </c>
      <c r="E9" s="1703">
        <v>0</v>
      </c>
      <c r="F9" s="1618"/>
      <c r="G9" s="1617">
        <v>48</v>
      </c>
      <c r="H9" s="1616"/>
      <c r="I9" s="1615"/>
      <c r="J9" s="1615"/>
      <c r="K9" s="1615"/>
      <c r="L9" s="1615"/>
      <c r="M9" s="1615"/>
      <c r="N9" s="1615"/>
      <c r="O9" s="1615"/>
      <c r="P9" s="1615"/>
      <c r="Q9" s="1615"/>
      <c r="R9" s="1615"/>
      <c r="S9" s="1615"/>
      <c r="T9" s="1615"/>
      <c r="U9" s="1615"/>
      <c r="V9" s="1615"/>
      <c r="W9" s="1615"/>
      <c r="X9" s="1615"/>
      <c r="Y9" s="1615"/>
      <c r="Z9" s="1615"/>
      <c r="AA9" s="1615"/>
      <c r="AB9" s="1615"/>
      <c r="AC9" s="1615"/>
      <c r="AD9" s="1615">
        <v>48</v>
      </c>
      <c r="AE9" s="1619">
        <f t="shared" si="0"/>
        <v>48</v>
      </c>
      <c r="AF9" s="1614">
        <f t="shared" si="1"/>
        <v>0</v>
      </c>
      <c r="AG9" s="1608"/>
    </row>
    <row r="10" spans="1:33" ht="13.5" customHeight="1">
      <c r="A10" s="1621"/>
      <c r="B10" s="2250" t="s">
        <v>904</v>
      </c>
      <c r="C10" s="2251"/>
      <c r="D10" s="1702"/>
      <c r="E10" s="1691"/>
      <c r="F10" s="1634"/>
      <c r="G10" s="1617"/>
      <c r="H10" s="1616"/>
      <c r="I10" s="1615"/>
      <c r="J10" s="1615"/>
      <c r="K10" s="1615"/>
      <c r="L10" s="1615"/>
      <c r="M10" s="1615"/>
      <c r="N10" s="1615"/>
      <c r="O10" s="1615"/>
      <c r="P10" s="1615"/>
      <c r="Q10" s="1615"/>
      <c r="R10" s="1615"/>
      <c r="S10" s="1615"/>
      <c r="T10" s="1615"/>
      <c r="U10" s="1615"/>
      <c r="V10" s="1615"/>
      <c r="W10" s="1615"/>
      <c r="X10" s="1615"/>
      <c r="Y10" s="1615"/>
      <c r="Z10" s="1615"/>
      <c r="AA10" s="1615"/>
      <c r="AB10" s="1615"/>
      <c r="AC10" s="1615"/>
      <c r="AD10" s="1615"/>
      <c r="AE10" s="1619">
        <f t="shared" si="0"/>
        <v>0</v>
      </c>
      <c r="AF10" s="1614">
        <f t="shared" si="1"/>
        <v>0</v>
      </c>
      <c r="AG10" s="1608"/>
    </row>
    <row r="11" spans="1:33" ht="16.5" customHeight="1">
      <c r="A11" s="1621"/>
      <c r="B11" s="2252" t="s">
        <v>903</v>
      </c>
      <c r="C11" s="2252"/>
      <c r="D11" s="1697" t="s">
        <v>898</v>
      </c>
      <c r="E11" s="1701">
        <v>0</v>
      </c>
      <c r="F11" s="1625"/>
      <c r="G11" s="1617"/>
      <c r="H11" s="1616"/>
      <c r="I11" s="1615"/>
      <c r="J11" s="1615"/>
      <c r="K11" s="1615"/>
      <c r="L11" s="1615"/>
      <c r="M11" s="1615"/>
      <c r="N11" s="1615"/>
      <c r="O11" s="1615"/>
      <c r="P11" s="1615"/>
      <c r="Q11" s="1615"/>
      <c r="R11" s="1615"/>
      <c r="S11" s="1615"/>
      <c r="T11" s="1615"/>
      <c r="U11" s="1615"/>
      <c r="V11" s="1615"/>
      <c r="W11" s="1615"/>
      <c r="X11" s="1615"/>
      <c r="Y11" s="1615"/>
      <c r="Z11" s="1615"/>
      <c r="AA11" s="1615"/>
      <c r="AB11" s="1615"/>
      <c r="AC11" s="1615"/>
      <c r="AD11" s="1615"/>
      <c r="AE11" s="1619">
        <f t="shared" si="0"/>
        <v>0</v>
      </c>
      <c r="AF11" s="1614">
        <f t="shared" si="1"/>
        <v>0</v>
      </c>
      <c r="AG11" s="1608"/>
    </row>
    <row r="12" spans="1:33" ht="16.5" customHeight="1">
      <c r="A12" s="1621"/>
      <c r="B12" s="2219" t="s">
        <v>902</v>
      </c>
      <c r="C12" s="2219"/>
      <c r="D12" s="1620" t="s">
        <v>898</v>
      </c>
      <c r="E12" s="1619">
        <v>128</v>
      </c>
      <c r="F12" s="1618"/>
      <c r="G12" s="1617"/>
      <c r="H12" s="1616"/>
      <c r="I12" s="1615"/>
      <c r="J12" s="1615"/>
      <c r="K12" s="1615"/>
      <c r="L12" s="1615"/>
      <c r="M12" s="1615"/>
      <c r="N12" s="1615"/>
      <c r="O12" s="1615"/>
      <c r="P12" s="1615"/>
      <c r="Q12" s="1615"/>
      <c r="R12" s="1615"/>
      <c r="S12" s="1615"/>
      <c r="T12" s="1615"/>
      <c r="U12" s="1615"/>
      <c r="V12" s="1615"/>
      <c r="W12" s="1615"/>
      <c r="X12" s="1615"/>
      <c r="Y12" s="1615"/>
      <c r="Z12" s="1615"/>
      <c r="AA12" s="1615"/>
      <c r="AB12" s="1615"/>
      <c r="AC12" s="1615"/>
      <c r="AD12" s="1615"/>
      <c r="AE12" s="1619">
        <f t="shared" si="0"/>
        <v>0</v>
      </c>
      <c r="AF12" s="1614">
        <f t="shared" si="1"/>
        <v>128</v>
      </c>
      <c r="AG12" s="1608"/>
    </row>
    <row r="13" spans="1:33" ht="16.5" customHeight="1">
      <c r="A13" s="1621"/>
      <c r="B13" s="2219" t="s">
        <v>901</v>
      </c>
      <c r="C13" s="2219"/>
      <c r="D13" s="1620" t="s">
        <v>898</v>
      </c>
      <c r="E13" s="1619">
        <v>475</v>
      </c>
      <c r="F13" s="1618"/>
      <c r="G13" s="1617"/>
      <c r="H13" s="1616"/>
      <c r="I13" s="1615">
        <v>18</v>
      </c>
      <c r="J13" s="1615"/>
      <c r="K13" s="1615"/>
      <c r="L13" s="1615"/>
      <c r="M13" s="1615"/>
      <c r="N13" s="1615"/>
      <c r="O13" s="1615"/>
      <c r="P13" s="1615"/>
      <c r="Q13" s="1615"/>
      <c r="R13" s="1615"/>
      <c r="S13" s="1615"/>
      <c r="T13" s="1615"/>
      <c r="U13" s="1615"/>
      <c r="V13" s="1615"/>
      <c r="W13" s="1615"/>
      <c r="X13" s="1615"/>
      <c r="Y13" s="1615"/>
      <c r="Z13" s="1615"/>
      <c r="AA13" s="1615"/>
      <c r="AB13" s="1615"/>
      <c r="AC13" s="1615"/>
      <c r="AD13" s="1615"/>
      <c r="AE13" s="1619">
        <f t="shared" si="0"/>
        <v>18</v>
      </c>
      <c r="AF13" s="1614">
        <f t="shared" si="1"/>
        <v>457</v>
      </c>
      <c r="AG13" s="1608"/>
    </row>
    <row r="14" spans="1:33" ht="16.5" customHeight="1">
      <c r="A14" s="1621"/>
      <c r="B14" s="2219" t="s">
        <v>900</v>
      </c>
      <c r="C14" s="2219"/>
      <c r="D14" s="1620" t="s">
        <v>898</v>
      </c>
      <c r="E14" s="1619">
        <v>176</v>
      </c>
      <c r="F14" s="1618"/>
      <c r="G14" s="1617"/>
      <c r="H14" s="1616"/>
      <c r="I14" s="1615"/>
      <c r="J14" s="1615"/>
      <c r="K14" s="1615"/>
      <c r="L14" s="1615"/>
      <c r="M14" s="1615"/>
      <c r="N14" s="1615"/>
      <c r="O14" s="1615"/>
      <c r="P14" s="1615"/>
      <c r="Q14" s="1615"/>
      <c r="R14" s="1615"/>
      <c r="S14" s="1615"/>
      <c r="T14" s="1615"/>
      <c r="U14" s="1615"/>
      <c r="V14" s="1615"/>
      <c r="W14" s="1615"/>
      <c r="X14" s="1615"/>
      <c r="Y14" s="1615"/>
      <c r="Z14" s="1615"/>
      <c r="AA14" s="1615"/>
      <c r="AB14" s="1615"/>
      <c r="AC14" s="1615"/>
      <c r="AD14" s="1615"/>
      <c r="AE14" s="1619">
        <f t="shared" si="0"/>
        <v>0</v>
      </c>
      <c r="AF14" s="1614">
        <f t="shared" si="1"/>
        <v>176</v>
      </c>
      <c r="AG14" s="1608"/>
    </row>
    <row r="15" spans="1:33" ht="16.5" customHeight="1">
      <c r="A15" s="1621"/>
      <c r="B15" s="2219" t="s">
        <v>899</v>
      </c>
      <c r="C15" s="2219"/>
      <c r="D15" s="1620" t="s">
        <v>898</v>
      </c>
      <c r="E15" s="1619"/>
      <c r="F15" s="1618"/>
      <c r="G15" s="1617"/>
      <c r="H15" s="1616"/>
      <c r="I15" s="1615"/>
      <c r="J15" s="1615"/>
      <c r="K15" s="1615"/>
      <c r="L15" s="1615"/>
      <c r="M15" s="1615"/>
      <c r="N15" s="1615"/>
      <c r="O15" s="1615"/>
      <c r="P15" s="1615"/>
      <c r="Q15" s="1615"/>
      <c r="R15" s="1615"/>
      <c r="S15" s="1615"/>
      <c r="T15" s="1615"/>
      <c r="U15" s="1615"/>
      <c r="V15" s="1615"/>
      <c r="W15" s="1615"/>
      <c r="X15" s="1615"/>
      <c r="Y15" s="1615"/>
      <c r="Z15" s="1615"/>
      <c r="AA15" s="1615"/>
      <c r="AB15" s="1615"/>
      <c r="AC15" s="1615"/>
      <c r="AD15" s="1615"/>
      <c r="AE15" s="1619">
        <f t="shared" si="0"/>
        <v>0</v>
      </c>
      <c r="AF15" s="1614">
        <f t="shared" si="1"/>
        <v>0</v>
      </c>
      <c r="AG15" s="1608"/>
    </row>
    <row r="16" spans="1:33" ht="16.5" customHeight="1">
      <c r="A16" s="1621"/>
      <c r="B16" s="2228" t="s">
        <v>897</v>
      </c>
      <c r="C16" s="2229"/>
      <c r="D16" s="1700"/>
      <c r="E16" s="1674"/>
      <c r="F16" s="1699"/>
      <c r="G16" s="1672"/>
      <c r="H16" s="1616"/>
      <c r="I16" s="1670"/>
      <c r="J16" s="1670"/>
      <c r="K16" s="1670"/>
      <c r="L16" s="1670"/>
      <c r="M16" s="1615"/>
      <c r="N16" s="1670"/>
      <c r="O16" s="1670"/>
      <c r="P16" s="1670"/>
      <c r="Q16" s="1615"/>
      <c r="R16" s="1670"/>
      <c r="S16" s="1670"/>
      <c r="T16" s="1670"/>
      <c r="U16" s="1615"/>
      <c r="V16" s="1670"/>
      <c r="W16" s="1670"/>
      <c r="X16" s="1670"/>
      <c r="Y16" s="1615"/>
      <c r="Z16" s="1670"/>
      <c r="AA16" s="1670"/>
      <c r="AB16" s="1670"/>
      <c r="AC16" s="1615"/>
      <c r="AD16" s="1615"/>
      <c r="AE16" s="1619">
        <f t="shared" si="0"/>
        <v>0</v>
      </c>
      <c r="AF16" s="1614">
        <f t="shared" si="1"/>
        <v>0</v>
      </c>
      <c r="AG16" s="1608"/>
    </row>
    <row r="17" spans="1:33" ht="16.5" customHeight="1">
      <c r="A17" s="1621"/>
      <c r="B17" s="2233" t="s">
        <v>896</v>
      </c>
      <c r="C17" s="2234"/>
      <c r="D17" s="1697" t="s">
        <v>895</v>
      </c>
      <c r="E17" s="1626"/>
      <c r="F17" s="1625"/>
      <c r="G17" s="1617"/>
      <c r="H17" s="1616"/>
      <c r="I17" s="1615"/>
      <c r="J17" s="1615"/>
      <c r="K17" s="1615"/>
      <c r="L17" s="1615"/>
      <c r="M17" s="1615"/>
      <c r="N17" s="1615"/>
      <c r="O17" s="1615"/>
      <c r="P17" s="1615"/>
      <c r="Q17" s="1615"/>
      <c r="R17" s="1615"/>
      <c r="S17" s="1615"/>
      <c r="T17" s="1615"/>
      <c r="U17" s="1615"/>
      <c r="V17" s="1615"/>
      <c r="W17" s="1615"/>
      <c r="X17" s="1615"/>
      <c r="Y17" s="1615"/>
      <c r="Z17" s="1615"/>
      <c r="AA17" s="1615"/>
      <c r="AB17" s="1615"/>
      <c r="AC17" s="1615"/>
      <c r="AD17" s="1615"/>
      <c r="AE17" s="1619">
        <f t="shared" si="0"/>
        <v>0</v>
      </c>
      <c r="AF17" s="1614">
        <f t="shared" si="1"/>
        <v>0</v>
      </c>
      <c r="AG17" s="1608"/>
    </row>
    <row r="18" spans="1:33" ht="16.5" customHeight="1">
      <c r="A18" s="1621"/>
      <c r="B18" s="2223" t="s">
        <v>894</v>
      </c>
      <c r="C18" s="2235"/>
      <c r="D18" s="1697" t="s">
        <v>53</v>
      </c>
      <c r="E18" s="1619">
        <v>100</v>
      </c>
      <c r="F18" s="1618"/>
      <c r="G18" s="1617"/>
      <c r="H18" s="1616"/>
      <c r="I18" s="1615"/>
      <c r="J18" s="1615"/>
      <c r="K18" s="1615"/>
      <c r="L18" s="1615"/>
      <c r="M18" s="1615"/>
      <c r="N18" s="1615"/>
      <c r="O18" s="1615"/>
      <c r="P18" s="1615"/>
      <c r="Q18" s="1615"/>
      <c r="R18" s="1615"/>
      <c r="S18" s="1615"/>
      <c r="T18" s="1615"/>
      <c r="U18" s="1615"/>
      <c r="V18" s="1615"/>
      <c r="W18" s="1615"/>
      <c r="X18" s="1615"/>
      <c r="Y18" s="1615"/>
      <c r="Z18" s="1615"/>
      <c r="AA18" s="1615"/>
      <c r="AB18" s="1615"/>
      <c r="AC18" s="1615"/>
      <c r="AD18" s="1615"/>
      <c r="AE18" s="1619">
        <f t="shared" si="0"/>
        <v>0</v>
      </c>
      <c r="AF18" s="1698">
        <f t="shared" si="1"/>
        <v>100</v>
      </c>
      <c r="AG18" s="1608"/>
    </row>
    <row r="19" spans="1:33" ht="16.5" customHeight="1">
      <c r="A19" s="1621"/>
      <c r="B19" s="2223" t="s">
        <v>893</v>
      </c>
      <c r="C19" s="2235"/>
      <c r="D19" s="1697" t="s">
        <v>53</v>
      </c>
      <c r="E19" s="1619">
        <v>0</v>
      </c>
      <c r="F19" s="1618"/>
      <c r="G19" s="1617"/>
      <c r="H19" s="1616"/>
      <c r="I19" s="1615"/>
      <c r="J19" s="1615"/>
      <c r="K19" s="1615"/>
      <c r="L19" s="1615"/>
      <c r="M19" s="1615"/>
      <c r="N19" s="1615"/>
      <c r="O19" s="1615"/>
      <c r="P19" s="1615"/>
      <c r="Q19" s="1615"/>
      <c r="R19" s="1615"/>
      <c r="S19" s="1615"/>
      <c r="T19" s="1615"/>
      <c r="U19" s="1615"/>
      <c r="V19" s="1615"/>
      <c r="W19" s="1615"/>
      <c r="X19" s="1615"/>
      <c r="Y19" s="1615"/>
      <c r="Z19" s="1615"/>
      <c r="AA19" s="1615"/>
      <c r="AB19" s="1615"/>
      <c r="AC19" s="1615"/>
      <c r="AD19" s="1615"/>
      <c r="AE19" s="1619">
        <f t="shared" si="0"/>
        <v>0</v>
      </c>
      <c r="AF19" s="1614">
        <f t="shared" si="1"/>
        <v>0</v>
      </c>
      <c r="AG19" s="1608"/>
    </row>
    <row r="20" spans="1:33" ht="16.5" customHeight="1">
      <c r="A20" s="1621"/>
      <c r="B20" s="2223" t="s">
        <v>892</v>
      </c>
      <c r="C20" s="2235"/>
      <c r="D20" s="1697" t="s">
        <v>53</v>
      </c>
      <c r="E20" s="1619">
        <v>235</v>
      </c>
      <c r="F20" s="1618"/>
      <c r="G20" s="1617"/>
      <c r="H20" s="1616"/>
      <c r="I20" s="1615"/>
      <c r="J20" s="1615"/>
      <c r="K20" s="1615"/>
      <c r="L20" s="1615"/>
      <c r="M20" s="1615"/>
      <c r="N20" s="1615"/>
      <c r="O20" s="1615"/>
      <c r="P20" s="1615"/>
      <c r="Q20" s="1615"/>
      <c r="R20" s="1615"/>
      <c r="S20" s="1615"/>
      <c r="T20" s="1615"/>
      <c r="U20" s="1615"/>
      <c r="V20" s="1615"/>
      <c r="W20" s="1615"/>
      <c r="X20" s="1615"/>
      <c r="Y20" s="1615"/>
      <c r="Z20" s="1615"/>
      <c r="AA20" s="1615"/>
      <c r="AB20" s="1615"/>
      <c r="AC20" s="1615"/>
      <c r="AD20" s="1615"/>
      <c r="AE20" s="1619">
        <f t="shared" si="0"/>
        <v>0</v>
      </c>
      <c r="AF20" s="1614">
        <f t="shared" si="1"/>
        <v>235</v>
      </c>
      <c r="AG20" s="1608"/>
    </row>
    <row r="21" spans="1:33" ht="16.5" customHeight="1">
      <c r="A21" s="1621"/>
      <c r="B21" s="2223" t="s">
        <v>891</v>
      </c>
      <c r="C21" s="2235"/>
      <c r="D21" s="1697" t="s">
        <v>53</v>
      </c>
      <c r="E21" s="1619">
        <v>30</v>
      </c>
      <c r="F21" s="1618"/>
      <c r="G21" s="1617"/>
      <c r="H21" s="1616"/>
      <c r="I21" s="1615"/>
      <c r="J21" s="1615"/>
      <c r="K21" s="1615"/>
      <c r="L21" s="1615"/>
      <c r="M21" s="1615"/>
      <c r="N21" s="1615"/>
      <c r="O21" s="1615"/>
      <c r="P21" s="1615"/>
      <c r="Q21" s="1615"/>
      <c r="R21" s="1615"/>
      <c r="S21" s="1615"/>
      <c r="T21" s="1615"/>
      <c r="U21" s="1615"/>
      <c r="V21" s="1615"/>
      <c r="W21" s="1615"/>
      <c r="X21" s="1615"/>
      <c r="Y21" s="1615"/>
      <c r="Z21" s="1615"/>
      <c r="AA21" s="1615"/>
      <c r="AB21" s="1615"/>
      <c r="AC21" s="1615"/>
      <c r="AD21" s="1615"/>
      <c r="AE21" s="1619">
        <f t="shared" si="0"/>
        <v>0</v>
      </c>
      <c r="AF21" s="1614">
        <f t="shared" si="1"/>
        <v>30</v>
      </c>
      <c r="AG21" s="1608"/>
    </row>
    <row r="22" spans="1:33" ht="16.5" customHeight="1">
      <c r="A22" s="1621"/>
      <c r="B22" s="2223" t="s">
        <v>890</v>
      </c>
      <c r="C22" s="2235"/>
      <c r="D22" s="1697" t="s">
        <v>53</v>
      </c>
      <c r="E22" s="1619">
        <v>330</v>
      </c>
      <c r="F22" s="1618"/>
      <c r="G22" s="1617"/>
      <c r="H22" s="1616"/>
      <c r="I22" s="1615"/>
      <c r="J22" s="1615"/>
      <c r="K22" s="1615"/>
      <c r="L22" s="1615"/>
      <c r="M22" s="1615"/>
      <c r="N22" s="1615"/>
      <c r="O22" s="1615"/>
      <c r="P22" s="1615"/>
      <c r="Q22" s="1615"/>
      <c r="R22" s="1615"/>
      <c r="S22" s="1615"/>
      <c r="T22" s="1615"/>
      <c r="U22" s="1615"/>
      <c r="V22" s="1615"/>
      <c r="W22" s="1615"/>
      <c r="X22" s="1615"/>
      <c r="Y22" s="1615"/>
      <c r="Z22" s="1615"/>
      <c r="AA22" s="1615"/>
      <c r="AB22" s="1615"/>
      <c r="AC22" s="1615"/>
      <c r="AD22" s="1615"/>
      <c r="AE22" s="1619">
        <f t="shared" si="0"/>
        <v>0</v>
      </c>
      <c r="AF22" s="1614">
        <f t="shared" si="1"/>
        <v>330</v>
      </c>
      <c r="AG22" s="1608"/>
    </row>
    <row r="23" spans="1:33" ht="16.5" customHeight="1">
      <c r="A23" s="1621"/>
      <c r="B23" s="2223" t="s">
        <v>889</v>
      </c>
      <c r="C23" s="2235"/>
      <c r="D23" s="1697" t="s">
        <v>53</v>
      </c>
      <c r="E23" s="1619">
        <v>25</v>
      </c>
      <c r="F23" s="1618"/>
      <c r="G23" s="1617"/>
      <c r="H23" s="1616"/>
      <c r="I23" s="1615"/>
      <c r="J23" s="1615"/>
      <c r="K23" s="1615"/>
      <c r="L23" s="1615"/>
      <c r="M23" s="1615"/>
      <c r="N23" s="1615"/>
      <c r="O23" s="1615"/>
      <c r="P23" s="1615"/>
      <c r="Q23" s="1615"/>
      <c r="R23" s="1615"/>
      <c r="S23" s="1615"/>
      <c r="T23" s="1615"/>
      <c r="U23" s="1615"/>
      <c r="V23" s="1615"/>
      <c r="W23" s="1615"/>
      <c r="X23" s="1615"/>
      <c r="Y23" s="1615"/>
      <c r="Z23" s="1615"/>
      <c r="AA23" s="1615"/>
      <c r="AB23" s="1615"/>
      <c r="AC23" s="1615"/>
      <c r="AD23" s="1615"/>
      <c r="AE23" s="1619">
        <f t="shared" si="0"/>
        <v>0</v>
      </c>
      <c r="AF23" s="1614">
        <f t="shared" si="1"/>
        <v>25</v>
      </c>
      <c r="AG23" s="1608"/>
    </row>
    <row r="24" spans="1:33" ht="16.5" customHeight="1">
      <c r="A24" s="1621"/>
      <c r="B24" s="2223" t="s">
        <v>888</v>
      </c>
      <c r="C24" s="2235"/>
      <c r="D24" s="1697" t="s">
        <v>53</v>
      </c>
      <c r="E24" s="1619">
        <v>0</v>
      </c>
      <c r="F24" s="1618"/>
      <c r="G24" s="1617"/>
      <c r="H24" s="1616"/>
      <c r="I24" s="1615"/>
      <c r="J24" s="1615"/>
      <c r="K24" s="1615"/>
      <c r="L24" s="1615"/>
      <c r="M24" s="1615"/>
      <c r="N24" s="1615"/>
      <c r="O24" s="1615"/>
      <c r="P24" s="1615"/>
      <c r="Q24" s="1615"/>
      <c r="R24" s="1615"/>
      <c r="S24" s="1615"/>
      <c r="T24" s="1615"/>
      <c r="U24" s="1615"/>
      <c r="V24" s="1615"/>
      <c r="W24" s="1615"/>
      <c r="X24" s="1615"/>
      <c r="Y24" s="1615"/>
      <c r="Z24" s="1615"/>
      <c r="AA24" s="1615"/>
      <c r="AB24" s="1615"/>
      <c r="AC24" s="1615"/>
      <c r="AD24" s="1615"/>
      <c r="AE24" s="1619">
        <f t="shared" si="0"/>
        <v>0</v>
      </c>
      <c r="AF24" s="1614">
        <f t="shared" si="1"/>
        <v>0</v>
      </c>
      <c r="AG24" s="1608"/>
    </row>
    <row r="25" spans="1:33" ht="16.5" customHeight="1">
      <c r="A25" s="1621"/>
      <c r="B25" s="2219" t="s">
        <v>887</v>
      </c>
      <c r="C25" s="2219"/>
      <c r="D25" s="1697" t="s">
        <v>53</v>
      </c>
      <c r="E25" s="1619"/>
      <c r="F25" s="1618"/>
      <c r="G25" s="1617"/>
      <c r="H25" s="1616"/>
      <c r="I25" s="1615"/>
      <c r="J25" s="1615"/>
      <c r="K25" s="1615"/>
      <c r="L25" s="1615"/>
      <c r="M25" s="1615"/>
      <c r="N25" s="1615"/>
      <c r="O25" s="1615"/>
      <c r="P25" s="1615"/>
      <c r="Q25" s="1615"/>
      <c r="R25" s="1615"/>
      <c r="S25" s="1615"/>
      <c r="T25" s="1615"/>
      <c r="U25" s="1615"/>
      <c r="V25" s="1615"/>
      <c r="W25" s="1615"/>
      <c r="X25" s="1615"/>
      <c r="Y25" s="1615"/>
      <c r="Z25" s="1615"/>
      <c r="AA25" s="1615"/>
      <c r="AB25" s="1615"/>
      <c r="AC25" s="1615"/>
      <c r="AD25" s="1615"/>
      <c r="AE25" s="1619">
        <f t="shared" si="0"/>
        <v>0</v>
      </c>
      <c r="AF25" s="1614">
        <f t="shared" si="1"/>
        <v>0</v>
      </c>
      <c r="AG25" s="1608"/>
    </row>
    <row r="26" spans="1:33" ht="16.5" customHeight="1">
      <c r="A26" s="1621"/>
      <c r="B26" s="2223" t="s">
        <v>886</v>
      </c>
      <c r="C26" s="2235"/>
      <c r="D26" s="1697" t="s">
        <v>53</v>
      </c>
      <c r="E26" s="1619">
        <v>54</v>
      </c>
      <c r="F26" s="1618"/>
      <c r="G26" s="1617"/>
      <c r="H26" s="1616"/>
      <c r="I26" s="1615"/>
      <c r="J26" s="1615"/>
      <c r="K26" s="1615"/>
      <c r="L26" s="1615"/>
      <c r="M26" s="1615"/>
      <c r="N26" s="1615"/>
      <c r="O26" s="1615"/>
      <c r="P26" s="1615"/>
      <c r="Q26" s="1615"/>
      <c r="R26" s="1615"/>
      <c r="S26" s="1615"/>
      <c r="T26" s="1615"/>
      <c r="U26" s="1615"/>
      <c r="V26" s="1615"/>
      <c r="W26" s="1615"/>
      <c r="X26" s="1615"/>
      <c r="Y26" s="1615"/>
      <c r="Z26" s="1615"/>
      <c r="AA26" s="1615"/>
      <c r="AB26" s="1615"/>
      <c r="AC26" s="1615"/>
      <c r="AD26" s="1615">
        <v>54</v>
      </c>
      <c r="AE26" s="1619">
        <f t="shared" si="0"/>
        <v>54</v>
      </c>
      <c r="AF26" s="1614">
        <f t="shared" si="1"/>
        <v>0</v>
      </c>
      <c r="AG26" s="1608"/>
    </row>
    <row r="27" spans="1:33" ht="16.5" customHeight="1">
      <c r="A27" s="1621"/>
      <c r="B27" s="2236" t="s">
        <v>885</v>
      </c>
      <c r="C27" s="1696">
        <v>1.5</v>
      </c>
      <c r="D27" s="1695"/>
      <c r="E27" s="1647">
        <v>75</v>
      </c>
      <c r="F27" s="1667"/>
      <c r="G27" s="1617"/>
      <c r="H27" s="1616"/>
      <c r="I27" s="1615"/>
      <c r="J27" s="1615"/>
      <c r="K27" s="1615"/>
      <c r="L27" s="1615"/>
      <c r="M27" s="1615"/>
      <c r="N27" s="1615"/>
      <c r="O27" s="1615"/>
      <c r="P27" s="1615"/>
      <c r="Q27" s="1615"/>
      <c r="R27" s="1615"/>
      <c r="S27" s="1615"/>
      <c r="T27" s="1615"/>
      <c r="U27" s="1615"/>
      <c r="V27" s="1615"/>
      <c r="W27" s="1615"/>
      <c r="X27" s="1615"/>
      <c r="Y27" s="1615"/>
      <c r="Z27" s="1615"/>
      <c r="AA27" s="1615"/>
      <c r="AB27" s="1615"/>
      <c r="AC27" s="1615"/>
      <c r="AD27" s="1615"/>
      <c r="AE27" s="1619">
        <f t="shared" si="0"/>
        <v>0</v>
      </c>
      <c r="AF27" s="1614">
        <f t="shared" si="1"/>
        <v>75</v>
      </c>
      <c r="AG27" s="1608"/>
    </row>
    <row r="28" spans="1:33" ht="15.75" customHeight="1" thickBot="1">
      <c r="A28" s="1621"/>
      <c r="B28" s="2237"/>
      <c r="C28" s="1694">
        <v>2.5</v>
      </c>
      <c r="D28" s="1694" t="s">
        <v>884</v>
      </c>
      <c r="E28" s="1647">
        <v>0</v>
      </c>
      <c r="F28" s="1667"/>
      <c r="G28" s="1666"/>
      <c r="H28" s="1665"/>
      <c r="I28" s="1663"/>
      <c r="J28" s="1663"/>
      <c r="K28" s="1663"/>
      <c r="L28" s="1663"/>
      <c r="M28" s="1663"/>
      <c r="N28" s="1663"/>
      <c r="O28" s="1663"/>
      <c r="P28" s="1663"/>
      <c r="Q28" s="1663"/>
      <c r="R28" s="1663"/>
      <c r="S28" s="1663"/>
      <c r="T28" s="1663"/>
      <c r="U28" s="1663"/>
      <c r="V28" s="1663"/>
      <c r="W28" s="1663"/>
      <c r="X28" s="1663"/>
      <c r="Y28" s="1663"/>
      <c r="Z28" s="1663"/>
      <c r="AA28" s="1663"/>
      <c r="AB28" s="1663"/>
      <c r="AC28" s="1663"/>
      <c r="AD28" s="1663"/>
      <c r="AE28" s="1683">
        <f t="shared" si="0"/>
        <v>0</v>
      </c>
      <c r="AF28" s="1652">
        <f t="shared" si="1"/>
        <v>0</v>
      </c>
      <c r="AG28" s="1608"/>
    </row>
    <row r="29" spans="1:33" ht="15.75">
      <c r="A29" s="1682">
        <v>3</v>
      </c>
      <c r="B29" s="2238" t="s">
        <v>883</v>
      </c>
      <c r="C29" s="2239"/>
      <c r="D29" s="1679"/>
      <c r="E29" s="1678"/>
      <c r="F29" s="1693"/>
      <c r="G29" s="1659"/>
      <c r="H29" s="1658"/>
      <c r="I29" s="1657"/>
      <c r="J29" s="1657"/>
      <c r="K29" s="1657"/>
      <c r="L29" s="1657"/>
      <c r="M29" s="1657"/>
      <c r="N29" s="1657"/>
      <c r="O29" s="1657"/>
      <c r="P29" s="1657"/>
      <c r="Q29" s="1657"/>
      <c r="R29" s="1657"/>
      <c r="S29" s="1657"/>
      <c r="T29" s="1657"/>
      <c r="U29" s="1657"/>
      <c r="V29" s="1657"/>
      <c r="W29" s="1657"/>
      <c r="X29" s="1657"/>
      <c r="Y29" s="1657"/>
      <c r="Z29" s="1657"/>
      <c r="AA29" s="1657"/>
      <c r="AB29" s="1657"/>
      <c r="AC29" s="1657"/>
      <c r="AD29" s="1657"/>
      <c r="AE29" s="1683">
        <f t="shared" si="0"/>
        <v>0</v>
      </c>
      <c r="AF29" s="1652">
        <f t="shared" si="1"/>
        <v>0</v>
      </c>
      <c r="AG29" s="1608"/>
    </row>
    <row r="30" spans="1:33" ht="15.75">
      <c r="A30" s="1685"/>
      <c r="B30" s="2230" t="s">
        <v>882</v>
      </c>
      <c r="C30" s="2231"/>
      <c r="D30" s="1691"/>
      <c r="E30" s="1690">
        <v>449</v>
      </c>
      <c r="F30" s="1653"/>
      <c r="G30" s="1633"/>
      <c r="H30" s="1632"/>
      <c r="I30" s="1631">
        <v>59</v>
      </c>
      <c r="J30" s="1631"/>
      <c r="K30" s="1692">
        <v>73</v>
      </c>
      <c r="L30" s="1631"/>
      <c r="M30" s="1631"/>
      <c r="N30" s="1631"/>
      <c r="O30" s="1631"/>
      <c r="P30" s="1631"/>
      <c r="Q30" s="1631"/>
      <c r="R30" s="1631"/>
      <c r="S30" s="1631"/>
      <c r="T30" s="1631"/>
      <c r="U30" s="1631"/>
      <c r="V30" s="1631"/>
      <c r="W30" s="1692">
        <v>30</v>
      </c>
      <c r="X30" s="1631"/>
      <c r="Y30" s="1631"/>
      <c r="Z30" s="1631"/>
      <c r="AA30" s="1631"/>
      <c r="AB30" s="1631"/>
      <c r="AC30" s="1631"/>
      <c r="AD30" s="1692">
        <v>65</v>
      </c>
      <c r="AE30" s="1683">
        <f t="shared" si="0"/>
        <v>227</v>
      </c>
      <c r="AF30" s="1652">
        <f t="shared" si="1"/>
        <v>222</v>
      </c>
      <c r="AG30" s="1640" t="s">
        <v>881</v>
      </c>
    </row>
    <row r="31" spans="1:33" ht="15.75">
      <c r="A31" s="1685"/>
      <c r="B31" s="2230" t="s">
        <v>880</v>
      </c>
      <c r="C31" s="2231"/>
      <c r="D31" s="1691"/>
      <c r="E31" s="1690">
        <v>647</v>
      </c>
      <c r="F31" s="1653"/>
      <c r="G31" s="1633"/>
      <c r="H31" s="1632"/>
      <c r="I31" s="1631"/>
      <c r="J31" s="1631"/>
      <c r="K31" s="1631"/>
      <c r="L31" s="1631"/>
      <c r="M31" s="1631"/>
      <c r="N31" s="1631"/>
      <c r="O31" s="1631"/>
      <c r="P31" s="1631"/>
      <c r="Q31" s="1631"/>
      <c r="R31" s="1631"/>
      <c r="S31" s="1631"/>
      <c r="T31" s="1631"/>
      <c r="U31" s="1631"/>
      <c r="V31" s="1631"/>
      <c r="W31" s="1631"/>
      <c r="X31" s="1631"/>
      <c r="Y31" s="1631"/>
      <c r="Z31" s="1631"/>
      <c r="AA31" s="1631"/>
      <c r="AB31" s="1631"/>
      <c r="AC31" s="1631"/>
      <c r="AD31" s="1631">
        <v>213</v>
      </c>
      <c r="AE31" s="1683">
        <f t="shared" si="0"/>
        <v>213</v>
      </c>
      <c r="AF31" s="1652">
        <f t="shared" si="1"/>
        <v>434</v>
      </c>
      <c r="AG31" s="1640" t="s">
        <v>879</v>
      </c>
    </row>
    <row r="32" spans="1:33" ht="15.75">
      <c r="A32" s="1685"/>
      <c r="B32" s="2230" t="s">
        <v>311</v>
      </c>
      <c r="C32" s="2231"/>
      <c r="D32" s="1691"/>
      <c r="E32" s="1690">
        <v>65</v>
      </c>
      <c r="F32" s="1653"/>
      <c r="G32" s="1633"/>
      <c r="H32" s="1632"/>
      <c r="I32" s="1631"/>
      <c r="J32" s="1631"/>
      <c r="K32" s="1631"/>
      <c r="L32" s="1631"/>
      <c r="M32" s="1631"/>
      <c r="N32" s="1631"/>
      <c r="O32" s="1631"/>
      <c r="P32" s="1631"/>
      <c r="Q32" s="1631"/>
      <c r="R32" s="1631"/>
      <c r="S32" s="1631"/>
      <c r="T32" s="1631"/>
      <c r="U32" s="1631"/>
      <c r="V32" s="1631"/>
      <c r="W32" s="1631"/>
      <c r="X32" s="1631"/>
      <c r="Y32" s="1631"/>
      <c r="Z32" s="1631"/>
      <c r="AA32" s="1631"/>
      <c r="AB32" s="1631"/>
      <c r="AC32" s="1631"/>
      <c r="AD32" s="1631">
        <v>57</v>
      </c>
      <c r="AE32" s="1683">
        <f t="shared" si="0"/>
        <v>57</v>
      </c>
      <c r="AF32" s="1652">
        <f t="shared" si="1"/>
        <v>8</v>
      </c>
      <c r="AG32" s="1608"/>
    </row>
    <row r="33" spans="1:33" ht="15.75">
      <c r="A33" s="1685"/>
      <c r="B33" s="2230" t="s">
        <v>309</v>
      </c>
      <c r="C33" s="2231"/>
      <c r="D33" s="1691"/>
      <c r="E33" s="1690">
        <v>369</v>
      </c>
      <c r="F33" s="1653"/>
      <c r="G33" s="1633"/>
      <c r="H33" s="1632"/>
      <c r="I33" s="1631"/>
      <c r="J33" s="1631"/>
      <c r="K33" s="1631"/>
      <c r="L33" s="1631"/>
      <c r="M33" s="1631"/>
      <c r="N33" s="1631"/>
      <c r="O33" s="1631"/>
      <c r="P33" s="1631"/>
      <c r="Q33" s="1631"/>
      <c r="R33" s="1631"/>
      <c r="S33" s="1631"/>
      <c r="T33" s="1631"/>
      <c r="U33" s="1631"/>
      <c r="V33" s="1631"/>
      <c r="W33" s="1631"/>
      <c r="X33" s="1631"/>
      <c r="Y33" s="1631"/>
      <c r="Z33" s="1631"/>
      <c r="AA33" s="1631"/>
      <c r="AB33" s="1631"/>
      <c r="AC33" s="1631"/>
      <c r="AD33" s="1631"/>
      <c r="AE33" s="1683">
        <f t="shared" si="0"/>
        <v>0</v>
      </c>
      <c r="AF33" s="1652">
        <f t="shared" si="1"/>
        <v>369</v>
      </c>
      <c r="AG33" s="1640"/>
    </row>
    <row r="34" spans="1:33" ht="15.75">
      <c r="A34" s="1685"/>
      <c r="B34" s="2230" t="s">
        <v>878</v>
      </c>
      <c r="C34" s="2231"/>
      <c r="D34" s="1691"/>
      <c r="E34" s="1690">
        <v>267</v>
      </c>
      <c r="F34" s="1653"/>
      <c r="G34" s="1633"/>
      <c r="H34" s="1632"/>
      <c r="I34" s="1631"/>
      <c r="J34" s="1631"/>
      <c r="K34" s="1631"/>
      <c r="L34" s="1631"/>
      <c r="M34" s="1631"/>
      <c r="N34" s="1631"/>
      <c r="O34" s="1631"/>
      <c r="P34" s="1631"/>
      <c r="Q34" s="1631"/>
      <c r="R34" s="1631"/>
      <c r="S34" s="1631"/>
      <c r="T34" s="1631"/>
      <c r="U34" s="1631"/>
      <c r="V34" s="1631"/>
      <c r="W34" s="1631"/>
      <c r="X34" s="1631"/>
      <c r="Y34" s="1631"/>
      <c r="Z34" s="1631"/>
      <c r="AA34" s="1631"/>
      <c r="AB34" s="1631"/>
      <c r="AC34" s="1631"/>
      <c r="AD34" s="1631"/>
      <c r="AE34" s="1683">
        <f t="shared" si="0"/>
        <v>0</v>
      </c>
      <c r="AF34" s="1652">
        <f t="shared" si="1"/>
        <v>267</v>
      </c>
      <c r="AG34" s="1608"/>
    </row>
    <row r="35" spans="1:33" ht="15.75">
      <c r="A35" s="1685"/>
      <c r="B35" s="2230" t="s">
        <v>877</v>
      </c>
      <c r="C35" s="2231"/>
      <c r="D35" s="1691"/>
      <c r="E35" s="1690">
        <v>0</v>
      </c>
      <c r="F35" s="1653"/>
      <c r="G35" s="1633"/>
      <c r="H35" s="1632"/>
      <c r="I35" s="1631"/>
      <c r="J35" s="1631"/>
      <c r="K35" s="1631"/>
      <c r="L35" s="1631"/>
      <c r="M35" s="1631"/>
      <c r="N35" s="1631"/>
      <c r="O35" s="1631"/>
      <c r="P35" s="1631"/>
      <c r="Q35" s="1631"/>
      <c r="R35" s="1631"/>
      <c r="S35" s="1631"/>
      <c r="T35" s="1631"/>
      <c r="U35" s="1631"/>
      <c r="V35" s="1631"/>
      <c r="W35" s="1631"/>
      <c r="X35" s="1631"/>
      <c r="Y35" s="1631"/>
      <c r="Z35" s="1631"/>
      <c r="AA35" s="1631"/>
      <c r="AB35" s="1631"/>
      <c r="AC35" s="1631"/>
      <c r="AD35" s="1631"/>
      <c r="AE35" s="1683">
        <f t="shared" si="0"/>
        <v>0</v>
      </c>
      <c r="AF35" s="1652">
        <f t="shared" si="1"/>
        <v>0</v>
      </c>
      <c r="AG35" s="1608"/>
    </row>
    <row r="36" spans="1:33" ht="15.75">
      <c r="A36" s="1685"/>
      <c r="B36" s="2230" t="s">
        <v>876</v>
      </c>
      <c r="C36" s="2231"/>
      <c r="D36" s="1691"/>
      <c r="E36" s="1690">
        <v>208</v>
      </c>
      <c r="F36" s="1653"/>
      <c r="G36" s="1633"/>
      <c r="H36" s="1632"/>
      <c r="I36" s="1631"/>
      <c r="J36" s="1631"/>
      <c r="K36" s="1631"/>
      <c r="L36" s="1631"/>
      <c r="M36" s="1631"/>
      <c r="N36" s="1631"/>
      <c r="O36" s="1631"/>
      <c r="P36" s="1631"/>
      <c r="Q36" s="1631"/>
      <c r="R36" s="1631"/>
      <c r="S36" s="1631"/>
      <c r="T36" s="1631"/>
      <c r="U36" s="1631"/>
      <c r="V36" s="1631"/>
      <c r="W36" s="1631"/>
      <c r="X36" s="1631"/>
      <c r="Y36" s="1631"/>
      <c r="Z36" s="1631"/>
      <c r="AA36" s="1631"/>
      <c r="AB36" s="1631"/>
      <c r="AC36" s="1631"/>
      <c r="AD36" s="1631"/>
      <c r="AE36" s="1683">
        <f t="shared" si="0"/>
        <v>0</v>
      </c>
      <c r="AF36" s="1652">
        <f t="shared" si="1"/>
        <v>208</v>
      </c>
      <c r="AG36" s="1608"/>
    </row>
    <row r="37" spans="1:33" ht="15.75">
      <c r="A37" s="1685"/>
      <c r="B37" s="2230" t="s">
        <v>546</v>
      </c>
      <c r="C37" s="2231"/>
      <c r="D37" s="1691"/>
      <c r="E37" s="1690">
        <v>53</v>
      </c>
      <c r="F37" s="1653"/>
      <c r="G37" s="1633"/>
      <c r="H37" s="1632"/>
      <c r="I37" s="1631">
        <v>17</v>
      </c>
      <c r="J37" s="1631"/>
      <c r="K37" s="1631"/>
      <c r="L37" s="1631"/>
      <c r="M37" s="1631"/>
      <c r="N37" s="1631"/>
      <c r="O37" s="1631">
        <v>3</v>
      </c>
      <c r="P37" s="1631"/>
      <c r="Q37" s="1631"/>
      <c r="R37" s="1631"/>
      <c r="S37" s="1631"/>
      <c r="T37" s="1631"/>
      <c r="U37" s="1631"/>
      <c r="V37" s="1631"/>
      <c r="W37" s="1631"/>
      <c r="X37" s="1631"/>
      <c r="Y37" s="1631"/>
      <c r="Z37" s="1631"/>
      <c r="AA37" s="1631"/>
      <c r="AB37" s="1631"/>
      <c r="AC37" s="1631"/>
      <c r="AD37" s="1631">
        <v>17</v>
      </c>
      <c r="AE37" s="1683">
        <f t="shared" si="0"/>
        <v>37</v>
      </c>
      <c r="AF37" s="1652">
        <f t="shared" si="1"/>
        <v>16</v>
      </c>
      <c r="AG37" s="1640" t="s">
        <v>875</v>
      </c>
    </row>
    <row r="38" spans="1:33" ht="15.75">
      <c r="A38" s="1685"/>
      <c r="B38" s="2230" t="s">
        <v>874</v>
      </c>
      <c r="C38" s="2231"/>
      <c r="D38" s="1691"/>
      <c r="E38" s="1690">
        <v>33</v>
      </c>
      <c r="F38" s="1653"/>
      <c r="G38" s="1633"/>
      <c r="H38" s="1632"/>
      <c r="I38" s="1631"/>
      <c r="J38" s="1631"/>
      <c r="K38" s="1631"/>
      <c r="L38" s="1631"/>
      <c r="M38" s="1631"/>
      <c r="N38" s="1631"/>
      <c r="O38" s="1631"/>
      <c r="P38" s="1631"/>
      <c r="Q38" s="1631"/>
      <c r="R38" s="1631"/>
      <c r="S38" s="1631"/>
      <c r="T38" s="1631"/>
      <c r="U38" s="1631"/>
      <c r="V38" s="1631"/>
      <c r="W38" s="1631"/>
      <c r="X38" s="1631"/>
      <c r="Y38" s="1631"/>
      <c r="Z38" s="1631"/>
      <c r="AA38" s="1631"/>
      <c r="AB38" s="1631"/>
      <c r="AC38" s="1631"/>
      <c r="AD38" s="1631"/>
      <c r="AE38" s="1683">
        <f t="shared" si="0"/>
        <v>0</v>
      </c>
      <c r="AF38" s="1652">
        <f t="shared" si="1"/>
        <v>33</v>
      </c>
      <c r="AG38" s="1608"/>
    </row>
    <row r="39" spans="1:33" ht="15.75">
      <c r="A39" s="1685"/>
      <c r="B39" s="2230" t="s">
        <v>873</v>
      </c>
      <c r="C39" s="2231"/>
      <c r="D39" s="1664"/>
      <c r="E39" s="1689">
        <v>19</v>
      </c>
      <c r="F39" s="1653"/>
      <c r="G39" s="1688"/>
      <c r="H39" s="1687"/>
      <c r="I39" s="1631"/>
      <c r="J39" s="1664"/>
      <c r="K39" s="1631"/>
      <c r="L39" s="1664"/>
      <c r="M39" s="1664"/>
      <c r="N39" s="1664"/>
      <c r="O39" s="1631"/>
      <c r="P39" s="1664"/>
      <c r="Q39" s="1664"/>
      <c r="R39" s="1664"/>
      <c r="S39" s="1631"/>
      <c r="T39" s="1664"/>
      <c r="U39" s="1664"/>
      <c r="V39" s="1664"/>
      <c r="W39" s="1631"/>
      <c r="X39" s="1664"/>
      <c r="Y39" s="1664"/>
      <c r="Z39" s="1664"/>
      <c r="AA39" s="1631"/>
      <c r="AB39" s="1664"/>
      <c r="AC39" s="1664"/>
      <c r="AD39" s="1631"/>
      <c r="AE39" s="1683">
        <f t="shared" si="0"/>
        <v>0</v>
      </c>
      <c r="AF39" s="1652">
        <f t="shared" si="1"/>
        <v>19</v>
      </c>
      <c r="AG39" s="1608"/>
    </row>
    <row r="40" spans="1:33" ht="15.75">
      <c r="A40" s="1685"/>
      <c r="B40" s="2230" t="s">
        <v>872</v>
      </c>
      <c r="C40" s="2231"/>
      <c r="D40" s="1615"/>
      <c r="E40" s="1619">
        <v>23</v>
      </c>
      <c r="F40" s="1686"/>
      <c r="G40" s="1617"/>
      <c r="H40" s="1616"/>
      <c r="I40" s="1631"/>
      <c r="J40" s="1615"/>
      <c r="K40" s="1631"/>
      <c r="L40" s="1615"/>
      <c r="M40" s="1615"/>
      <c r="N40" s="1615"/>
      <c r="O40" s="1631"/>
      <c r="P40" s="1615"/>
      <c r="Q40" s="1615"/>
      <c r="R40" s="1615"/>
      <c r="S40" s="1631"/>
      <c r="T40" s="1615"/>
      <c r="U40" s="1615"/>
      <c r="V40" s="1615"/>
      <c r="W40" s="1631">
        <v>0.5</v>
      </c>
      <c r="X40" s="1615"/>
      <c r="Y40" s="1615"/>
      <c r="Z40" s="1615"/>
      <c r="AA40" s="1631"/>
      <c r="AB40" s="1615"/>
      <c r="AC40" s="1615"/>
      <c r="AD40" s="1631"/>
      <c r="AE40" s="1683">
        <f t="shared" si="0"/>
        <v>0.5</v>
      </c>
      <c r="AF40" s="1652">
        <f t="shared" si="1"/>
        <v>22.5</v>
      </c>
      <c r="AG40" s="1640" t="s">
        <v>871</v>
      </c>
    </row>
    <row r="41" spans="1:33" ht="15.75">
      <c r="A41" s="1685"/>
      <c r="B41" s="2230" t="s">
        <v>870</v>
      </c>
      <c r="C41" s="2231"/>
      <c r="D41" s="1615"/>
      <c r="E41" s="1619">
        <v>14</v>
      </c>
      <c r="F41" s="1686"/>
      <c r="G41" s="1617"/>
      <c r="H41" s="1616"/>
      <c r="I41" s="1631"/>
      <c r="J41" s="1615"/>
      <c r="K41" s="1631"/>
      <c r="L41" s="1615"/>
      <c r="M41" s="1615"/>
      <c r="N41" s="1615"/>
      <c r="O41" s="1631"/>
      <c r="P41" s="1615"/>
      <c r="Q41" s="1615"/>
      <c r="R41" s="1615"/>
      <c r="S41" s="1631"/>
      <c r="T41" s="1615"/>
      <c r="U41" s="1615"/>
      <c r="V41" s="1615"/>
      <c r="W41" s="1631"/>
      <c r="X41" s="1615"/>
      <c r="Y41" s="1615"/>
      <c r="Z41" s="1615"/>
      <c r="AA41" s="1631"/>
      <c r="AB41" s="1615"/>
      <c r="AC41" s="1615"/>
      <c r="AD41" s="1631"/>
      <c r="AE41" s="1683">
        <f t="shared" si="0"/>
        <v>0</v>
      </c>
      <c r="AF41" s="1652">
        <f t="shared" si="1"/>
        <v>14</v>
      </c>
      <c r="AG41" s="1640"/>
    </row>
    <row r="42" spans="1:33" ht="16.5" thickBot="1">
      <c r="A42" s="1685"/>
      <c r="B42" s="2230" t="s">
        <v>869</v>
      </c>
      <c r="C42" s="2232"/>
      <c r="D42" s="1663"/>
      <c r="E42" s="1647">
        <v>46</v>
      </c>
      <c r="F42" s="1684"/>
      <c r="G42" s="1666"/>
      <c r="H42" s="1665"/>
      <c r="I42" s="1631"/>
      <c r="J42" s="1663"/>
      <c r="K42" s="1631"/>
      <c r="L42" s="1663"/>
      <c r="M42" s="1663"/>
      <c r="N42" s="1663"/>
      <c r="O42" s="1631"/>
      <c r="P42" s="1663"/>
      <c r="Q42" s="1663"/>
      <c r="R42" s="1663"/>
      <c r="S42" s="1631"/>
      <c r="T42" s="1663"/>
      <c r="U42" s="1663"/>
      <c r="V42" s="1663"/>
      <c r="W42" s="1631"/>
      <c r="X42" s="1663"/>
      <c r="Y42" s="1663"/>
      <c r="Z42" s="1663"/>
      <c r="AA42" s="1631"/>
      <c r="AB42" s="1663"/>
      <c r="AC42" s="1663"/>
      <c r="AD42" s="1631"/>
      <c r="AE42" s="1683">
        <f t="shared" si="0"/>
        <v>0</v>
      </c>
      <c r="AF42" s="1652">
        <f t="shared" si="1"/>
        <v>46</v>
      </c>
      <c r="AG42" s="1608"/>
    </row>
    <row r="43" spans="1:33" ht="15.75">
      <c r="A43" s="1682">
        <v>2</v>
      </c>
      <c r="B43" s="1681" t="s">
        <v>868</v>
      </c>
      <c r="C43" s="1680"/>
      <c r="D43" s="1679"/>
      <c r="E43" s="1678"/>
      <c r="F43" s="1660"/>
      <c r="G43" s="1659"/>
      <c r="H43" s="1658"/>
      <c r="I43" s="1657"/>
      <c r="J43" s="1657"/>
      <c r="K43" s="1657"/>
      <c r="L43" s="1657"/>
      <c r="M43" s="1657"/>
      <c r="N43" s="1657"/>
      <c r="O43" s="1657"/>
      <c r="P43" s="1657"/>
      <c r="Q43" s="1657"/>
      <c r="R43" s="1657"/>
      <c r="S43" s="1657"/>
      <c r="T43" s="1657"/>
      <c r="U43" s="1657"/>
      <c r="V43" s="1657"/>
      <c r="W43" s="1657"/>
      <c r="X43" s="1657"/>
      <c r="Y43" s="1657"/>
      <c r="Z43" s="1657"/>
      <c r="AA43" s="1657"/>
      <c r="AB43" s="1657"/>
      <c r="AC43" s="1657"/>
      <c r="AD43" s="1657"/>
      <c r="AE43" s="1677"/>
      <c r="AF43" s="1676"/>
      <c r="AG43" s="1608"/>
    </row>
    <row r="44" spans="1:33" ht="16.5" customHeight="1">
      <c r="A44" s="1628"/>
      <c r="B44" s="2228" t="s">
        <v>867</v>
      </c>
      <c r="C44" s="2229"/>
      <c r="D44" s="1675"/>
      <c r="E44" s="1674"/>
      <c r="F44" s="1673"/>
      <c r="G44" s="1672"/>
      <c r="H44" s="1616"/>
      <c r="I44" s="1670"/>
      <c r="J44" s="1670"/>
      <c r="K44" s="1670"/>
      <c r="L44" s="1670"/>
      <c r="M44" s="1615"/>
      <c r="N44" s="1670"/>
      <c r="O44" s="1670"/>
      <c r="P44" s="1670"/>
      <c r="Q44" s="1615"/>
      <c r="R44" s="1670"/>
      <c r="S44" s="1670"/>
      <c r="T44" s="1670"/>
      <c r="U44" s="1615"/>
      <c r="V44" s="1670"/>
      <c r="W44" s="1671"/>
      <c r="X44" s="1671"/>
      <c r="Y44" s="1663"/>
      <c r="Z44" s="1671"/>
      <c r="AA44" s="1671"/>
      <c r="AB44" s="1670"/>
      <c r="AC44" s="1615"/>
      <c r="AD44" s="1615"/>
      <c r="AE44" s="1619">
        <f t="shared" ref="AE44:AE54" si="2">SUM(I44:AD44)</f>
        <v>0</v>
      </c>
      <c r="AF44" s="1614">
        <f t="shared" ref="AF44:AF54" si="3">E44+G44-AE44</f>
        <v>0</v>
      </c>
      <c r="AG44" s="1608"/>
    </row>
    <row r="45" spans="1:33" ht="16.5" customHeight="1">
      <c r="A45" s="1621"/>
      <c r="B45" s="2218" t="s">
        <v>866</v>
      </c>
      <c r="C45" s="2218"/>
      <c r="D45" s="1627" t="s">
        <v>53</v>
      </c>
      <c r="E45" s="1669"/>
      <c r="F45" s="1630"/>
      <c r="G45" s="1617"/>
      <c r="H45" s="1616"/>
      <c r="I45" s="1615"/>
      <c r="J45" s="1615"/>
      <c r="K45" s="1615"/>
      <c r="L45" s="1615"/>
      <c r="M45" s="1615"/>
      <c r="N45" s="1615"/>
      <c r="O45" s="1615"/>
      <c r="P45" s="1615"/>
      <c r="Q45" s="1615"/>
      <c r="R45" s="1615"/>
      <c r="S45" s="1615"/>
      <c r="T45" s="1615"/>
      <c r="U45" s="1615"/>
      <c r="V45" s="1618"/>
      <c r="W45" s="1668"/>
      <c r="X45" s="1668"/>
      <c r="Y45" s="1668"/>
      <c r="Z45" s="1668"/>
      <c r="AA45" s="1668"/>
      <c r="AB45" s="1616"/>
      <c r="AC45" s="1615"/>
      <c r="AD45" s="1615"/>
      <c r="AE45" s="1619">
        <f t="shared" si="2"/>
        <v>0</v>
      </c>
      <c r="AF45" s="1614">
        <f t="shared" si="3"/>
        <v>0</v>
      </c>
      <c r="AG45" s="1608"/>
    </row>
    <row r="46" spans="1:33" ht="16.5" customHeight="1">
      <c r="A46" s="1621"/>
      <c r="B46" s="2219" t="s">
        <v>865</v>
      </c>
      <c r="C46" s="2219"/>
      <c r="D46" s="1620" t="s">
        <v>53</v>
      </c>
      <c r="E46" s="1619">
        <v>56</v>
      </c>
      <c r="F46" s="1618"/>
      <c r="G46" s="1617"/>
      <c r="H46" s="1616"/>
      <c r="I46" s="1615">
        <v>8</v>
      </c>
      <c r="J46" s="1615"/>
      <c r="K46" s="1615"/>
      <c r="L46" s="1615"/>
      <c r="M46" s="1615"/>
      <c r="N46" s="1615"/>
      <c r="O46" s="1615"/>
      <c r="P46" s="1615"/>
      <c r="Q46" s="1615"/>
      <c r="R46" s="1615"/>
      <c r="S46" s="1615"/>
      <c r="T46" s="1615"/>
      <c r="U46" s="1615"/>
      <c r="V46" s="1618"/>
      <c r="W46" s="1668"/>
      <c r="X46" s="1668"/>
      <c r="Y46" s="1668"/>
      <c r="Z46" s="1668"/>
      <c r="AA46" s="1668"/>
      <c r="AB46" s="1616"/>
      <c r="AC46" s="1615"/>
      <c r="AD46" s="1615"/>
      <c r="AE46" s="1619">
        <f t="shared" si="2"/>
        <v>8</v>
      </c>
      <c r="AF46" s="1614">
        <f t="shared" si="3"/>
        <v>48</v>
      </c>
      <c r="AG46" s="1608"/>
    </row>
    <row r="47" spans="1:33" ht="16.5" customHeight="1" thickBot="1">
      <c r="A47" s="1621"/>
      <c r="B47" s="2220" t="s">
        <v>864</v>
      </c>
      <c r="C47" s="2220"/>
      <c r="D47" s="1648" t="s">
        <v>53</v>
      </c>
      <c r="E47" s="1647">
        <v>0</v>
      </c>
      <c r="F47" s="1667"/>
      <c r="G47" s="1666"/>
      <c r="H47" s="1665"/>
      <c r="I47" s="1663"/>
      <c r="J47" s="1663"/>
      <c r="K47" s="1663"/>
      <c r="L47" s="1663"/>
      <c r="M47" s="1663"/>
      <c r="N47" s="1663"/>
      <c r="O47" s="1663"/>
      <c r="P47" s="1663"/>
      <c r="Q47" s="1663"/>
      <c r="R47" s="1663"/>
      <c r="S47" s="1663"/>
      <c r="T47" s="1663"/>
      <c r="U47" s="1663"/>
      <c r="V47" s="1663"/>
      <c r="W47" s="1664"/>
      <c r="X47" s="1664"/>
      <c r="Y47" s="1664"/>
      <c r="Z47" s="1664"/>
      <c r="AA47" s="1664"/>
      <c r="AB47" s="1663"/>
      <c r="AC47" s="1663"/>
      <c r="AD47" s="1663"/>
      <c r="AE47" s="1647">
        <f t="shared" si="2"/>
        <v>0</v>
      </c>
      <c r="AF47" s="1652">
        <f t="shared" si="3"/>
        <v>0</v>
      </c>
      <c r="AG47" s="1608"/>
    </row>
    <row r="48" spans="1:33" ht="16.5" customHeight="1">
      <c r="A48" s="1662">
        <v>3</v>
      </c>
      <c r="B48" s="2225" t="s">
        <v>863</v>
      </c>
      <c r="C48" s="1661" t="s">
        <v>862</v>
      </c>
      <c r="D48" s="1648" t="s">
        <v>53</v>
      </c>
      <c r="E48" s="1647">
        <v>0</v>
      </c>
      <c r="F48" s="1660"/>
      <c r="G48" s="1659"/>
      <c r="H48" s="1658"/>
      <c r="I48" s="1657"/>
      <c r="J48" s="1657"/>
      <c r="K48" s="1657"/>
      <c r="L48" s="1657"/>
      <c r="M48" s="1657"/>
      <c r="N48" s="1657"/>
      <c r="O48" s="1657"/>
      <c r="P48" s="1657"/>
      <c r="Q48" s="1657"/>
      <c r="R48" s="1657"/>
      <c r="S48" s="1657"/>
      <c r="T48" s="1657"/>
      <c r="U48" s="1657"/>
      <c r="V48" s="1657"/>
      <c r="W48" s="1657"/>
      <c r="X48" s="1657"/>
      <c r="Y48" s="1657"/>
      <c r="Z48" s="1657"/>
      <c r="AA48" s="1657"/>
      <c r="AB48" s="1657"/>
      <c r="AC48" s="1657"/>
      <c r="AD48" s="1657"/>
      <c r="AE48" s="1647">
        <f t="shared" si="2"/>
        <v>0</v>
      </c>
      <c r="AF48" s="1652">
        <f t="shared" si="3"/>
        <v>0</v>
      </c>
      <c r="AG48" s="1640"/>
    </row>
    <row r="49" spans="1:34" ht="16.5" customHeight="1">
      <c r="A49" s="1656"/>
      <c r="B49" s="2226"/>
      <c r="C49" s="1654" t="s">
        <v>861</v>
      </c>
      <c r="D49" s="1648"/>
      <c r="E49" s="1647">
        <v>0</v>
      </c>
      <c r="F49" s="1653"/>
      <c r="G49" s="1633"/>
      <c r="H49" s="1632"/>
      <c r="I49" s="1631"/>
      <c r="J49" s="1631"/>
      <c r="K49" s="1631"/>
      <c r="L49" s="1631"/>
      <c r="M49" s="1631"/>
      <c r="N49" s="1631"/>
      <c r="O49" s="1631"/>
      <c r="P49" s="1631"/>
      <c r="Q49" s="1631"/>
      <c r="R49" s="1631"/>
      <c r="S49" s="1631"/>
      <c r="T49" s="1631"/>
      <c r="U49" s="1631"/>
      <c r="V49" s="1631"/>
      <c r="W49" s="1631"/>
      <c r="X49" s="1631"/>
      <c r="Y49" s="1631"/>
      <c r="Z49" s="1631"/>
      <c r="AA49" s="1631"/>
      <c r="AB49" s="1631"/>
      <c r="AC49" s="1631"/>
      <c r="AD49" s="1631"/>
      <c r="AE49" s="1647">
        <f t="shared" si="2"/>
        <v>0</v>
      </c>
      <c r="AF49" s="1652">
        <f t="shared" si="3"/>
        <v>0</v>
      </c>
      <c r="AG49" s="1640"/>
    </row>
    <row r="50" spans="1:34" ht="16.5" customHeight="1">
      <c r="A50" s="1655"/>
      <c r="B50" s="2227"/>
      <c r="C50" s="1654" t="s">
        <v>860</v>
      </c>
      <c r="D50" s="1648" t="s">
        <v>53</v>
      </c>
      <c r="E50" s="1647">
        <v>0</v>
      </c>
      <c r="F50" s="1653"/>
      <c r="G50" s="1633"/>
      <c r="H50" s="1632"/>
      <c r="I50" s="1631"/>
      <c r="J50" s="1631"/>
      <c r="K50" s="1631"/>
      <c r="L50" s="1631"/>
      <c r="M50" s="1631"/>
      <c r="N50" s="1631"/>
      <c r="O50" s="1631"/>
      <c r="P50" s="1631"/>
      <c r="Q50" s="1631"/>
      <c r="R50" s="1631"/>
      <c r="S50" s="1631"/>
      <c r="T50" s="1631"/>
      <c r="U50" s="1631"/>
      <c r="V50" s="1631"/>
      <c r="W50" s="1631"/>
      <c r="X50" s="1631"/>
      <c r="Y50" s="1631"/>
      <c r="Z50" s="1631"/>
      <c r="AA50" s="1631"/>
      <c r="AB50" s="1631"/>
      <c r="AC50" s="1631"/>
      <c r="AD50" s="1631"/>
      <c r="AE50" s="1647">
        <f t="shared" si="2"/>
        <v>0</v>
      </c>
      <c r="AF50" s="1652">
        <f t="shared" si="3"/>
        <v>0</v>
      </c>
      <c r="AG50" s="1640"/>
    </row>
    <row r="51" spans="1:34" ht="16.5" customHeight="1" thickBot="1">
      <c r="A51" s="1651"/>
      <c r="B51" s="1650" t="s">
        <v>859</v>
      </c>
      <c r="C51" s="1649"/>
      <c r="D51" s="1648" t="s">
        <v>53</v>
      </c>
      <c r="E51" s="1647">
        <v>0</v>
      </c>
      <c r="F51" s="1646"/>
      <c r="G51" s="1645"/>
      <c r="H51" s="1644"/>
      <c r="I51" s="1643"/>
      <c r="J51" s="1643"/>
      <c r="K51" s="1643"/>
      <c r="L51" s="1643"/>
      <c r="M51" s="1643"/>
      <c r="N51" s="1643"/>
      <c r="O51" s="1643"/>
      <c r="P51" s="1643"/>
      <c r="Q51" s="1643"/>
      <c r="R51" s="1643"/>
      <c r="S51" s="1643"/>
      <c r="T51" s="1643"/>
      <c r="U51" s="1643"/>
      <c r="V51" s="1643"/>
      <c r="W51" s="1643"/>
      <c r="X51" s="1643"/>
      <c r="Y51" s="1643"/>
      <c r="Z51" s="1643"/>
      <c r="AA51" s="1643"/>
      <c r="AB51" s="1643"/>
      <c r="AC51" s="1643"/>
      <c r="AD51" s="1642"/>
      <c r="AE51" s="1641">
        <f t="shared" si="2"/>
        <v>0</v>
      </c>
      <c r="AF51" s="1629">
        <f t="shared" si="3"/>
        <v>0</v>
      </c>
      <c r="AG51" s="1640"/>
    </row>
    <row r="52" spans="1:34" ht="15.75" customHeight="1">
      <c r="A52" s="1639">
        <v>4</v>
      </c>
      <c r="B52" s="1638" t="s">
        <v>858</v>
      </c>
      <c r="C52" s="1637"/>
      <c r="D52" s="1636"/>
      <c r="E52" s="1635"/>
      <c r="F52" s="1634"/>
      <c r="G52" s="1633"/>
      <c r="H52" s="1632"/>
      <c r="I52" s="1631"/>
      <c r="J52" s="1631"/>
      <c r="K52" s="1631"/>
      <c r="L52" s="1631"/>
      <c r="M52" s="1631"/>
      <c r="N52" s="1631"/>
      <c r="O52" s="1631"/>
      <c r="P52" s="1631"/>
      <c r="Q52" s="1631"/>
      <c r="R52" s="1631"/>
      <c r="S52" s="1631"/>
      <c r="T52" s="1631"/>
      <c r="U52" s="1631"/>
      <c r="V52" s="1631"/>
      <c r="W52" s="1631"/>
      <c r="X52" s="1631"/>
      <c r="Y52" s="1631"/>
      <c r="Z52" s="1631"/>
      <c r="AA52" s="1631"/>
      <c r="AB52" s="1631"/>
      <c r="AC52" s="1631"/>
      <c r="AD52" s="1630"/>
      <c r="AE52" s="1624">
        <f t="shared" si="2"/>
        <v>0</v>
      </c>
      <c r="AF52" s="1629">
        <f t="shared" si="3"/>
        <v>0</v>
      </c>
      <c r="AG52" s="1608"/>
    </row>
    <row r="53" spans="1:34" ht="18.75" customHeight="1">
      <c r="A53" s="1628"/>
      <c r="B53" s="2221" t="s">
        <v>857</v>
      </c>
      <c r="C53" s="2222"/>
      <c r="D53" s="1627" t="s">
        <v>855</v>
      </c>
      <c r="E53" s="1626">
        <v>48634.5</v>
      </c>
      <c r="F53" s="1625"/>
      <c r="G53" s="1617"/>
      <c r="H53" s="1616"/>
      <c r="I53" s="1615">
        <v>4104</v>
      </c>
      <c r="J53" s="1615"/>
      <c r="K53" s="1615">
        <v>4660</v>
      </c>
      <c r="L53" s="1615"/>
      <c r="M53" s="1615"/>
      <c r="N53" s="1615"/>
      <c r="O53" s="1615"/>
      <c r="P53" s="1615"/>
      <c r="Q53" s="1615"/>
      <c r="R53" s="1615"/>
      <c r="S53" s="1615">
        <v>4019</v>
      </c>
      <c r="T53" s="1615"/>
      <c r="U53" s="1615"/>
      <c r="V53" s="1615"/>
      <c r="W53" s="1615">
        <v>3236</v>
      </c>
      <c r="X53" s="1615"/>
      <c r="Y53" s="1615"/>
      <c r="Z53" s="1615"/>
      <c r="AA53" s="1615">
        <v>2095</v>
      </c>
      <c r="AB53" s="1615"/>
      <c r="AC53" s="1615"/>
      <c r="AD53" s="1615">
        <v>2793</v>
      </c>
      <c r="AE53" s="1624">
        <f t="shared" si="2"/>
        <v>20907</v>
      </c>
      <c r="AF53" s="1623">
        <f t="shared" si="3"/>
        <v>27727.5</v>
      </c>
      <c r="AG53" s="1622"/>
    </row>
    <row r="54" spans="1:34" ht="17.25" customHeight="1">
      <c r="A54" s="1621"/>
      <c r="B54" s="2223" t="s">
        <v>856</v>
      </c>
      <c r="C54" s="2224"/>
      <c r="D54" s="1620" t="s">
        <v>855</v>
      </c>
      <c r="E54" s="1619">
        <v>18</v>
      </c>
      <c r="F54" s="1618"/>
      <c r="G54" s="1617">
        <v>100</v>
      </c>
      <c r="H54" s="1616"/>
      <c r="I54" s="1615">
        <v>10</v>
      </c>
      <c r="J54" s="1615"/>
      <c r="K54" s="1615"/>
      <c r="L54" s="1615"/>
      <c r="M54" s="1615"/>
      <c r="N54" s="1615"/>
      <c r="O54" s="1615"/>
      <c r="P54" s="1615"/>
      <c r="Q54" s="1615"/>
      <c r="R54" s="1615"/>
      <c r="S54" s="1615">
        <v>20</v>
      </c>
      <c r="T54" s="1615"/>
      <c r="U54" s="1615"/>
      <c r="V54" s="1615"/>
      <c r="W54" s="1615"/>
      <c r="X54" s="1615"/>
      <c r="Y54" s="1615"/>
      <c r="Z54" s="1615"/>
      <c r="AA54" s="1615"/>
      <c r="AB54" s="1615"/>
      <c r="AC54" s="1615"/>
      <c r="AD54" s="1615">
        <v>13</v>
      </c>
      <c r="AE54" s="1615">
        <f t="shared" si="2"/>
        <v>43</v>
      </c>
      <c r="AF54" s="1614">
        <f t="shared" si="3"/>
        <v>75</v>
      </c>
      <c r="AG54" s="1608"/>
    </row>
    <row r="55" spans="1:34" ht="17.25">
      <c r="A55" s="1611"/>
      <c r="B55" s="1611"/>
      <c r="C55" s="2215" t="s">
        <v>854</v>
      </c>
      <c r="D55" s="2215"/>
      <c r="E55" s="2215"/>
      <c r="F55" s="2215"/>
      <c r="G55" s="2215"/>
      <c r="H55" s="1611"/>
      <c r="I55" s="1613"/>
      <c r="J55" s="1613"/>
      <c r="O55" s="1612" t="s">
        <v>853</v>
      </c>
      <c r="AA55" s="1611"/>
      <c r="AD55" s="2217" t="s">
        <v>852</v>
      </c>
      <c r="AE55" s="2217"/>
      <c r="AF55" s="2217"/>
      <c r="AG55" s="1608"/>
      <c r="AH55" s="1610"/>
    </row>
    <row r="56" spans="1:34">
      <c r="B56" s="1609"/>
      <c r="C56" s="2216" t="s">
        <v>851</v>
      </c>
      <c r="D56" s="2216"/>
      <c r="E56" s="2216"/>
      <c r="F56" s="2216"/>
      <c r="G56" s="2216"/>
      <c r="O56" s="2216" t="s">
        <v>851</v>
      </c>
      <c r="P56" s="2216"/>
      <c r="Q56" s="2216"/>
      <c r="R56" s="2216"/>
      <c r="S56" s="2216"/>
      <c r="T56" s="2216"/>
      <c r="U56" s="2216"/>
      <c r="V56" s="2216"/>
      <c r="W56" s="2216"/>
      <c r="X56" s="2216"/>
      <c r="Y56" s="2216"/>
      <c r="Z56" s="2216"/>
      <c r="AA56" s="2216"/>
      <c r="AD56" s="2216" t="s">
        <v>850</v>
      </c>
      <c r="AE56" s="2216"/>
      <c r="AF56" s="2216"/>
      <c r="AG56" s="1608"/>
    </row>
  </sheetData>
  <mergeCells count="53">
    <mergeCell ref="B14:C14"/>
    <mergeCell ref="B15:C15"/>
    <mergeCell ref="B16:C16"/>
    <mergeCell ref="B13:C13"/>
    <mergeCell ref="A1:AF1"/>
    <mergeCell ref="A2:AF2"/>
    <mergeCell ref="A3:AF3"/>
    <mergeCell ref="S4:AD4"/>
    <mergeCell ref="B5:C5"/>
    <mergeCell ref="B6:C6"/>
    <mergeCell ref="B7:C7"/>
    <mergeCell ref="B9:C9"/>
    <mergeCell ref="B10:C10"/>
    <mergeCell ref="B11:C11"/>
    <mergeCell ref="B12:C12"/>
    <mergeCell ref="B8:C8"/>
    <mergeCell ref="B17:C17"/>
    <mergeCell ref="B18:C18"/>
    <mergeCell ref="B31:C31"/>
    <mergeCell ref="B19:C19"/>
    <mergeCell ref="B20:C20"/>
    <mergeCell ref="B21:C21"/>
    <mergeCell ref="B22:C22"/>
    <mergeCell ref="B23:C23"/>
    <mergeCell ref="B24:C24"/>
    <mergeCell ref="B25:C25"/>
    <mergeCell ref="B26:C26"/>
    <mergeCell ref="B27:B28"/>
    <mergeCell ref="B29:C29"/>
    <mergeCell ref="B30:C30"/>
    <mergeCell ref="B44:C44"/>
    <mergeCell ref="B32:C32"/>
    <mergeCell ref="B33:C33"/>
    <mergeCell ref="B34:C34"/>
    <mergeCell ref="B35:C35"/>
    <mergeCell ref="B36:C36"/>
    <mergeCell ref="B42:C42"/>
    <mergeCell ref="B37:C37"/>
    <mergeCell ref="B38:C38"/>
    <mergeCell ref="B39:C39"/>
    <mergeCell ref="B40:C40"/>
    <mergeCell ref="B41:C41"/>
    <mergeCell ref="B45:C45"/>
    <mergeCell ref="B46:C46"/>
    <mergeCell ref="B47:C47"/>
    <mergeCell ref="B53:C53"/>
    <mergeCell ref="B54:C54"/>
    <mergeCell ref="B48:B50"/>
    <mergeCell ref="C55:G55"/>
    <mergeCell ref="C56:G56"/>
    <mergeCell ref="O56:AA56"/>
    <mergeCell ref="AD56:AF56"/>
    <mergeCell ref="AD55:AF55"/>
  </mergeCells>
  <printOptions horizontalCentered="1"/>
  <pageMargins left="0.24" right="0.3" top="0.25" bottom="0.31" header="0.3" footer="0.17"/>
  <pageSetup scale="59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YO28"/>
  <sheetViews>
    <sheetView view="pageBreakPreview" topLeftCell="A13" zoomScale="60" zoomScaleNormal="100" workbookViewId="0">
      <selection activeCell="U25" sqref="U25"/>
    </sheetView>
  </sheetViews>
  <sheetFormatPr defaultRowHeight="12.75"/>
  <cols>
    <col min="1" max="1" width="9.140625" style="1716"/>
    <col min="2" max="2" width="8.42578125" style="1716" customWidth="1"/>
    <col min="3" max="9" width="9.140625" style="1716"/>
    <col min="10" max="10" width="30.42578125" style="1716" customWidth="1"/>
    <col min="11" max="16384" width="9.140625" style="1716"/>
  </cols>
  <sheetData>
    <row r="1" spans="1:665">
      <c r="A1" s="621"/>
      <c r="B1" s="621"/>
      <c r="C1" s="621"/>
      <c r="D1" s="621"/>
      <c r="E1" s="621"/>
      <c r="F1" s="621"/>
      <c r="G1" s="621"/>
      <c r="H1" s="621"/>
      <c r="I1" s="621"/>
      <c r="J1" s="621"/>
    </row>
    <row r="2" spans="1:665">
      <c r="A2" s="2253" t="s">
        <v>615</v>
      </c>
      <c r="B2" s="2253"/>
      <c r="C2" s="2253"/>
      <c r="D2" s="2253"/>
      <c r="E2" s="2253"/>
      <c r="F2" s="2253"/>
      <c r="G2" s="2253"/>
      <c r="H2" s="2253"/>
      <c r="I2" s="2253"/>
      <c r="J2" s="2253"/>
    </row>
    <row r="3" spans="1:665">
      <c r="A3" s="2253"/>
      <c r="B3" s="2253"/>
      <c r="C3" s="2253"/>
      <c r="D3" s="2253"/>
      <c r="E3" s="2253"/>
      <c r="F3" s="2253"/>
      <c r="G3" s="2253"/>
      <c r="H3" s="2253"/>
      <c r="I3" s="2253"/>
      <c r="J3" s="2253"/>
    </row>
    <row r="4" spans="1:665">
      <c r="A4" s="2254" t="s">
        <v>849</v>
      </c>
      <c r="B4" s="2254"/>
      <c r="C4" s="2254"/>
      <c r="D4" s="2254"/>
      <c r="E4" s="2254"/>
      <c r="F4" s="2254"/>
      <c r="G4" s="2254"/>
      <c r="H4" s="2254"/>
      <c r="I4" s="2254"/>
      <c r="J4" s="2254"/>
    </row>
    <row r="5" spans="1:665">
      <c r="A5" s="2254"/>
      <c r="B5" s="2254"/>
      <c r="C5" s="2254"/>
      <c r="D5" s="2254"/>
      <c r="E5" s="2254"/>
      <c r="F5" s="2254"/>
      <c r="G5" s="2254"/>
      <c r="H5" s="2254"/>
      <c r="I5" s="2254"/>
      <c r="J5" s="2254"/>
    </row>
    <row r="6" spans="1:665">
      <c r="A6" s="2254" t="s">
        <v>976</v>
      </c>
      <c r="B6" s="2254"/>
      <c r="C6" s="2254"/>
      <c r="D6" s="2254"/>
      <c r="E6" s="2254"/>
      <c r="F6" s="2254"/>
      <c r="G6" s="2254"/>
      <c r="H6" s="2254"/>
      <c r="I6" s="2254"/>
      <c r="J6" s="2254"/>
    </row>
    <row r="7" spans="1:665">
      <c r="A7" s="2254"/>
      <c r="B7" s="2254"/>
      <c r="C7" s="2254"/>
      <c r="D7" s="2254"/>
      <c r="E7" s="2254"/>
      <c r="F7" s="2254"/>
      <c r="G7" s="2254"/>
      <c r="H7" s="2254"/>
      <c r="I7" s="2254"/>
      <c r="J7" s="2254"/>
    </row>
    <row r="8" spans="1:665" ht="15.75">
      <c r="A8" s="1605"/>
      <c r="B8" s="2255" t="s">
        <v>975</v>
      </c>
      <c r="C8" s="2255"/>
      <c r="D8" s="2255"/>
      <c r="E8" s="2255"/>
      <c r="F8" s="2255"/>
      <c r="G8" s="2255"/>
      <c r="H8" s="2255"/>
      <c r="I8" s="2255"/>
      <c r="J8" s="1605"/>
    </row>
    <row r="9" spans="1:665" ht="15" thickBot="1">
      <c r="A9" s="1605"/>
      <c r="B9" s="1605"/>
      <c r="C9" s="1605"/>
      <c r="D9" s="1605"/>
      <c r="E9" s="1605"/>
      <c r="F9" s="1605"/>
      <c r="G9" s="1605"/>
      <c r="H9" s="1605"/>
      <c r="I9" s="1605"/>
      <c r="J9" s="621"/>
      <c r="O9" s="2256"/>
      <c r="P9" s="2257"/>
      <c r="Q9" s="2258"/>
    </row>
    <row r="10" spans="1:665" ht="27.75" customHeight="1" thickTop="1">
      <c r="A10" s="1725" t="s">
        <v>974</v>
      </c>
      <c r="B10" s="2277" t="s">
        <v>973</v>
      </c>
      <c r="C10" s="2277"/>
      <c r="D10" s="2277"/>
      <c r="E10" s="2277" t="s">
        <v>972</v>
      </c>
      <c r="F10" s="2277"/>
      <c r="G10" s="2277"/>
      <c r="H10" s="2277"/>
      <c r="I10" s="2277" t="s">
        <v>844</v>
      </c>
      <c r="J10" s="2278"/>
    </row>
    <row r="11" spans="1:665" s="1723" customFormat="1" ht="26.25" customHeight="1">
      <c r="A11" s="2259">
        <v>1</v>
      </c>
      <c r="B11" s="2262" t="s">
        <v>971</v>
      </c>
      <c r="C11" s="2262"/>
      <c r="D11" s="2262"/>
      <c r="E11" s="2265" t="s">
        <v>970</v>
      </c>
      <c r="F11" s="2266"/>
      <c r="G11" s="2266"/>
      <c r="H11" s="2267"/>
      <c r="I11" s="2268" t="s">
        <v>969</v>
      </c>
      <c r="J11" s="2269"/>
      <c r="K11" s="1724"/>
      <c r="L11" s="1722"/>
      <c r="M11" s="1722"/>
      <c r="N11" s="1722"/>
      <c r="O11" s="1722"/>
      <c r="P11" s="1722"/>
      <c r="Q11" s="1722"/>
      <c r="R11" s="1722"/>
      <c r="S11" s="1722"/>
      <c r="T11" s="1722"/>
      <c r="U11" s="1722"/>
      <c r="V11" s="1722"/>
      <c r="W11" s="1722"/>
      <c r="X11" s="1722"/>
      <c r="Y11" s="1722"/>
      <c r="Z11" s="1722"/>
      <c r="AA11" s="1722"/>
      <c r="AB11" s="1722"/>
      <c r="AC11" s="1722"/>
      <c r="AD11" s="1722"/>
      <c r="AE11" s="1722"/>
      <c r="AF11" s="1722"/>
      <c r="AG11" s="1722"/>
      <c r="AH11" s="1722"/>
      <c r="AI11" s="1722"/>
      <c r="AJ11" s="1722"/>
      <c r="AK11" s="1722"/>
      <c r="AL11" s="1722"/>
      <c r="AM11" s="1722"/>
      <c r="AN11" s="1722"/>
      <c r="AO11" s="1722"/>
      <c r="AP11" s="1722"/>
      <c r="AQ11" s="1722"/>
      <c r="AR11" s="1722"/>
      <c r="AS11" s="1722"/>
      <c r="AT11" s="1722"/>
      <c r="AU11" s="1722"/>
      <c r="AV11" s="1722"/>
      <c r="AW11" s="1722"/>
      <c r="AX11" s="1722"/>
      <c r="AY11" s="1722"/>
      <c r="AZ11" s="1722"/>
      <c r="BA11" s="1722"/>
      <c r="BB11" s="1722"/>
      <c r="BC11" s="1722"/>
      <c r="BD11" s="1722"/>
      <c r="BE11" s="1722"/>
      <c r="BF11" s="1722"/>
      <c r="BG11" s="1722"/>
      <c r="BH11" s="1722"/>
      <c r="BI11" s="1722"/>
      <c r="BJ11" s="1722"/>
      <c r="BK11" s="1722"/>
      <c r="BL11" s="1722"/>
      <c r="BM11" s="1722"/>
      <c r="BN11" s="1722"/>
      <c r="BO11" s="1722"/>
      <c r="BP11" s="1722"/>
      <c r="BQ11" s="1722"/>
      <c r="BR11" s="1722"/>
      <c r="BS11" s="1722"/>
      <c r="BT11" s="1722"/>
      <c r="BU11" s="1722"/>
      <c r="BV11" s="1722"/>
      <c r="BW11" s="1722"/>
      <c r="BX11" s="1722"/>
      <c r="BY11" s="1722"/>
      <c r="BZ11" s="1722"/>
      <c r="CA11" s="1722"/>
      <c r="CB11" s="1722"/>
      <c r="CC11" s="1722"/>
      <c r="CD11" s="1722"/>
      <c r="CE11" s="1722"/>
      <c r="CF11" s="1722"/>
      <c r="CG11" s="1722"/>
      <c r="CH11" s="1722"/>
      <c r="CI11" s="1722"/>
      <c r="CJ11" s="1722"/>
      <c r="CK11" s="1722"/>
      <c r="CL11" s="1722"/>
      <c r="CM11" s="1722"/>
      <c r="CN11" s="1722"/>
      <c r="CO11" s="1722"/>
      <c r="CP11" s="1722"/>
      <c r="CQ11" s="1722"/>
      <c r="CR11" s="1722"/>
      <c r="CS11" s="1722"/>
      <c r="CT11" s="1722"/>
      <c r="CU11" s="1722"/>
      <c r="CV11" s="1722"/>
      <c r="CW11" s="1722"/>
      <c r="CX11" s="1722"/>
      <c r="CY11" s="1722"/>
      <c r="CZ11" s="1722"/>
      <c r="DA11" s="1722"/>
      <c r="DB11" s="1722"/>
      <c r="DC11" s="1722"/>
      <c r="DD11" s="1722"/>
      <c r="DE11" s="1722"/>
      <c r="DF11" s="1722"/>
      <c r="DG11" s="1722"/>
      <c r="DH11" s="1722"/>
      <c r="DI11" s="1722"/>
      <c r="DJ11" s="1722"/>
      <c r="DK11" s="1722"/>
      <c r="DL11" s="1722"/>
      <c r="DM11" s="1722"/>
      <c r="DN11" s="1722"/>
      <c r="DO11" s="1722"/>
      <c r="DP11" s="1722"/>
      <c r="DQ11" s="1722"/>
      <c r="DR11" s="1722"/>
      <c r="DS11" s="1722"/>
      <c r="DT11" s="1722"/>
      <c r="DU11" s="1722"/>
      <c r="DV11" s="1722"/>
      <c r="DW11" s="1722"/>
      <c r="DX11" s="1722"/>
      <c r="DY11" s="1722"/>
      <c r="DZ11" s="1722"/>
      <c r="EA11" s="1722"/>
      <c r="EB11" s="1722"/>
      <c r="EC11" s="1722"/>
      <c r="ED11" s="1722"/>
      <c r="EE11" s="1722"/>
      <c r="EF11" s="1722"/>
      <c r="EG11" s="1722"/>
      <c r="EH11" s="1722"/>
      <c r="EI11" s="1722"/>
      <c r="EJ11" s="1722"/>
      <c r="EK11" s="1722"/>
      <c r="EL11" s="1722"/>
      <c r="EM11" s="1722"/>
      <c r="EN11" s="1722"/>
      <c r="EO11" s="1722"/>
      <c r="EP11" s="1722"/>
      <c r="EQ11" s="1722"/>
      <c r="ER11" s="1722"/>
      <c r="ES11" s="1722"/>
      <c r="ET11" s="1722"/>
      <c r="EU11" s="1722"/>
      <c r="EV11" s="1722"/>
      <c r="EW11" s="1722"/>
      <c r="EX11" s="1722"/>
      <c r="EY11" s="1722"/>
      <c r="EZ11" s="1722"/>
      <c r="FA11" s="1722"/>
      <c r="FB11" s="1722"/>
      <c r="FC11" s="1722"/>
      <c r="FD11" s="1722"/>
      <c r="FE11" s="1722"/>
      <c r="FF11" s="1722"/>
      <c r="FG11" s="1722"/>
      <c r="FH11" s="1722"/>
      <c r="FI11" s="1722"/>
      <c r="FJ11" s="1722"/>
      <c r="FK11" s="1722"/>
      <c r="FL11" s="1722"/>
      <c r="FM11" s="1722"/>
      <c r="FN11" s="1722"/>
      <c r="FO11" s="1722"/>
      <c r="FP11" s="1722"/>
      <c r="FQ11" s="1722"/>
      <c r="FR11" s="1722"/>
      <c r="FS11" s="1722"/>
      <c r="FT11" s="1722"/>
      <c r="FU11" s="1722"/>
      <c r="FV11" s="1722"/>
      <c r="FW11" s="1722"/>
      <c r="FX11" s="1722"/>
      <c r="FY11" s="1722"/>
      <c r="FZ11" s="1722"/>
      <c r="GA11" s="1722"/>
      <c r="GB11" s="1722"/>
      <c r="GC11" s="1722"/>
      <c r="GD11" s="1722"/>
      <c r="GE11" s="1722"/>
      <c r="GF11" s="1722"/>
      <c r="GG11" s="1722"/>
      <c r="GH11" s="1722"/>
      <c r="GI11" s="1722"/>
      <c r="GJ11" s="1722"/>
      <c r="GK11" s="1722"/>
      <c r="GL11" s="1722"/>
      <c r="GM11" s="1722"/>
      <c r="GN11" s="1722"/>
      <c r="GO11" s="1722"/>
      <c r="GP11" s="1722"/>
      <c r="GQ11" s="1722"/>
      <c r="GR11" s="1722"/>
      <c r="GS11" s="1722"/>
      <c r="GT11" s="1722"/>
      <c r="GU11" s="1722"/>
      <c r="GV11" s="1722"/>
      <c r="GW11" s="1722"/>
      <c r="GX11" s="1722"/>
      <c r="GY11" s="1722"/>
      <c r="GZ11" s="1722"/>
      <c r="HA11" s="1722"/>
      <c r="HB11" s="1722"/>
      <c r="HC11" s="1722"/>
      <c r="HD11" s="1722"/>
      <c r="HE11" s="1722"/>
      <c r="HF11" s="1722"/>
      <c r="HG11" s="1722"/>
      <c r="HH11" s="1722"/>
      <c r="HI11" s="1722"/>
      <c r="HJ11" s="1722"/>
      <c r="HK11" s="1722"/>
      <c r="HL11" s="1722"/>
      <c r="HM11" s="1722"/>
      <c r="HN11" s="1722"/>
      <c r="HO11" s="1722"/>
      <c r="HP11" s="1722"/>
      <c r="HQ11" s="1722"/>
      <c r="HR11" s="1722"/>
      <c r="HS11" s="1722"/>
      <c r="HT11" s="1722"/>
      <c r="HU11" s="1722"/>
      <c r="HV11" s="1722"/>
      <c r="HW11" s="1722"/>
      <c r="HX11" s="1722"/>
      <c r="HY11" s="1722"/>
      <c r="HZ11" s="1722"/>
      <c r="IA11" s="1722"/>
      <c r="IB11" s="1722"/>
      <c r="IC11" s="1722"/>
      <c r="ID11" s="1722"/>
      <c r="IE11" s="1722"/>
      <c r="IF11" s="1722"/>
      <c r="IG11" s="1722"/>
      <c r="IH11" s="1722"/>
      <c r="II11" s="1722"/>
      <c r="IJ11" s="1722"/>
      <c r="IK11" s="1722"/>
      <c r="IL11" s="1722"/>
      <c r="IM11" s="1722"/>
      <c r="IN11" s="1722"/>
      <c r="IO11" s="1722"/>
      <c r="IP11" s="1722"/>
      <c r="IQ11" s="1722"/>
      <c r="IR11" s="1722"/>
      <c r="IS11" s="1722"/>
      <c r="IT11" s="1722"/>
      <c r="IU11" s="1722"/>
      <c r="IV11" s="1722"/>
      <c r="IW11" s="1722"/>
      <c r="IX11" s="1722"/>
      <c r="IY11" s="1722"/>
      <c r="IZ11" s="1722"/>
      <c r="JA11" s="1722"/>
      <c r="JB11" s="1722"/>
      <c r="JC11" s="1722"/>
      <c r="JD11" s="1722"/>
      <c r="JE11" s="1722"/>
      <c r="JF11" s="1722"/>
      <c r="JG11" s="1722"/>
      <c r="JH11" s="1722"/>
      <c r="JI11" s="1722"/>
      <c r="JJ11" s="1722"/>
      <c r="JK11" s="1722"/>
      <c r="JL11" s="1722"/>
      <c r="JM11" s="1722"/>
      <c r="JN11" s="1722"/>
      <c r="JO11" s="1722"/>
      <c r="JP11" s="1722"/>
      <c r="JQ11" s="1722"/>
      <c r="JR11" s="1722"/>
      <c r="JS11" s="1722"/>
      <c r="JT11" s="1722"/>
      <c r="JU11" s="1722"/>
      <c r="JV11" s="1722"/>
      <c r="JW11" s="1722"/>
      <c r="JX11" s="1722"/>
      <c r="JY11" s="1722"/>
      <c r="JZ11" s="1722"/>
      <c r="KA11" s="1722"/>
      <c r="KB11" s="1722"/>
      <c r="KC11" s="1722"/>
      <c r="KD11" s="1722"/>
      <c r="KE11" s="1722"/>
      <c r="KF11" s="1722"/>
      <c r="KG11" s="1722"/>
      <c r="KH11" s="1722"/>
      <c r="KI11" s="1722"/>
      <c r="KJ11" s="1722"/>
      <c r="KK11" s="1722"/>
      <c r="KL11" s="1722"/>
      <c r="KM11" s="1722"/>
      <c r="KN11" s="1722"/>
      <c r="KO11" s="1722"/>
      <c r="KP11" s="1722"/>
      <c r="KQ11" s="1722"/>
      <c r="KR11" s="1722"/>
      <c r="KS11" s="1722"/>
      <c r="KT11" s="1722"/>
      <c r="KU11" s="1722"/>
      <c r="KV11" s="1722"/>
      <c r="KW11" s="1722"/>
      <c r="KX11" s="1722"/>
      <c r="KY11" s="1722"/>
      <c r="KZ11" s="1722"/>
      <c r="LA11" s="1722"/>
      <c r="LB11" s="1722"/>
      <c r="LC11" s="1722"/>
      <c r="LD11" s="1722"/>
      <c r="LE11" s="1722"/>
      <c r="LF11" s="1722"/>
      <c r="LG11" s="1722"/>
      <c r="LH11" s="1722"/>
      <c r="LI11" s="1722"/>
      <c r="LJ11" s="1722"/>
      <c r="LK11" s="1722"/>
      <c r="LL11" s="1722"/>
      <c r="LM11" s="1722"/>
      <c r="LN11" s="1722"/>
      <c r="LO11" s="1722"/>
      <c r="LP11" s="1722"/>
      <c r="LQ11" s="1722"/>
      <c r="LR11" s="1722"/>
      <c r="LS11" s="1722"/>
      <c r="LT11" s="1722"/>
      <c r="LU11" s="1722"/>
      <c r="LV11" s="1722"/>
      <c r="LW11" s="1722"/>
      <c r="LX11" s="1722"/>
      <c r="LY11" s="1722"/>
      <c r="LZ11" s="1722"/>
      <c r="MA11" s="1722"/>
      <c r="MB11" s="1722"/>
      <c r="MC11" s="1722"/>
      <c r="MD11" s="1722"/>
      <c r="ME11" s="1722"/>
      <c r="MF11" s="1722"/>
      <c r="MG11" s="1722"/>
      <c r="MH11" s="1722"/>
      <c r="MI11" s="1722"/>
      <c r="MJ11" s="1722"/>
      <c r="MK11" s="1722"/>
      <c r="ML11" s="1722"/>
      <c r="MM11" s="1722"/>
      <c r="MN11" s="1722"/>
      <c r="MO11" s="1722"/>
      <c r="MP11" s="1722"/>
      <c r="MQ11" s="1722"/>
      <c r="MR11" s="1722"/>
      <c r="MS11" s="1722"/>
      <c r="MT11" s="1722"/>
      <c r="MU11" s="1722"/>
      <c r="MV11" s="1722"/>
      <c r="MW11" s="1722"/>
      <c r="MX11" s="1722"/>
      <c r="MY11" s="1722"/>
      <c r="MZ11" s="1722"/>
      <c r="NA11" s="1722"/>
      <c r="NB11" s="1722"/>
      <c r="NC11" s="1722"/>
      <c r="ND11" s="1722"/>
      <c r="NE11" s="1722"/>
      <c r="NF11" s="1722"/>
      <c r="NG11" s="1722"/>
      <c r="NH11" s="1722"/>
      <c r="NI11" s="1722"/>
      <c r="NJ11" s="1722"/>
      <c r="NK11" s="1722"/>
      <c r="NL11" s="1722"/>
      <c r="NM11" s="1722"/>
      <c r="NN11" s="1722"/>
      <c r="NO11" s="1722"/>
      <c r="NP11" s="1722"/>
      <c r="NQ11" s="1722"/>
      <c r="NR11" s="1722"/>
      <c r="NS11" s="1722"/>
      <c r="NT11" s="1722"/>
      <c r="NU11" s="1722"/>
      <c r="NV11" s="1722"/>
      <c r="NW11" s="1722"/>
      <c r="NX11" s="1722"/>
      <c r="NY11" s="1722"/>
      <c r="NZ11" s="1722"/>
      <c r="OA11" s="1722"/>
      <c r="OB11" s="1722"/>
      <c r="OC11" s="1722"/>
      <c r="OD11" s="1722"/>
      <c r="OE11" s="1722"/>
      <c r="OF11" s="1722"/>
      <c r="OG11" s="1722"/>
      <c r="OH11" s="1722"/>
      <c r="OI11" s="1722"/>
      <c r="OJ11" s="1722"/>
      <c r="OK11" s="1722"/>
      <c r="OL11" s="1722"/>
      <c r="OM11" s="1722"/>
      <c r="ON11" s="1722"/>
      <c r="OO11" s="1722"/>
      <c r="OP11" s="1722"/>
      <c r="OQ11" s="1722"/>
      <c r="OR11" s="1722"/>
      <c r="OS11" s="1722"/>
      <c r="OT11" s="1722"/>
      <c r="OU11" s="1722"/>
      <c r="OV11" s="1722"/>
      <c r="OW11" s="1722"/>
      <c r="OX11" s="1722"/>
      <c r="OY11" s="1722"/>
      <c r="OZ11" s="1722"/>
      <c r="PA11" s="1722"/>
      <c r="PB11" s="1722"/>
      <c r="PC11" s="1722"/>
      <c r="PD11" s="1722"/>
      <c r="PE11" s="1722"/>
      <c r="PF11" s="1722"/>
      <c r="PG11" s="1722"/>
      <c r="PH11" s="1722"/>
      <c r="PI11" s="1722"/>
      <c r="PJ11" s="1722"/>
      <c r="PK11" s="1722"/>
      <c r="PL11" s="1722"/>
      <c r="PM11" s="1722"/>
      <c r="PN11" s="1722"/>
      <c r="PO11" s="1722"/>
      <c r="PP11" s="1722"/>
      <c r="PQ11" s="1722"/>
      <c r="PR11" s="1722"/>
      <c r="PS11" s="1722"/>
      <c r="PT11" s="1722"/>
      <c r="PU11" s="1722"/>
      <c r="PV11" s="1722"/>
      <c r="PW11" s="1722"/>
      <c r="PX11" s="1722"/>
      <c r="PY11" s="1722"/>
      <c r="PZ11" s="1722"/>
      <c r="QA11" s="1722"/>
      <c r="QB11" s="1722"/>
      <c r="QC11" s="1722"/>
      <c r="QD11" s="1722"/>
      <c r="QE11" s="1722"/>
      <c r="QF11" s="1722"/>
      <c r="QG11" s="1722"/>
      <c r="QH11" s="1722"/>
      <c r="QI11" s="1722"/>
      <c r="QJ11" s="1722"/>
      <c r="QK11" s="1722"/>
      <c r="QL11" s="1722"/>
      <c r="QM11" s="1722"/>
      <c r="QN11" s="1722"/>
      <c r="QO11" s="1722"/>
      <c r="QP11" s="1722"/>
      <c r="QQ11" s="1722"/>
      <c r="QR11" s="1722"/>
      <c r="QS11" s="1722"/>
      <c r="QT11" s="1722"/>
      <c r="QU11" s="1722"/>
      <c r="QV11" s="1722"/>
      <c r="QW11" s="1722"/>
      <c r="QX11" s="1722"/>
      <c r="QY11" s="1722"/>
      <c r="QZ11" s="1722"/>
      <c r="RA11" s="1722"/>
      <c r="RB11" s="1722"/>
      <c r="RC11" s="1722"/>
      <c r="RD11" s="1722"/>
      <c r="RE11" s="1722"/>
      <c r="RF11" s="1722"/>
      <c r="RG11" s="1722"/>
      <c r="RH11" s="1722"/>
      <c r="RI11" s="1722"/>
      <c r="RJ11" s="1722"/>
      <c r="RK11" s="1722"/>
      <c r="RL11" s="1722"/>
      <c r="RM11" s="1722"/>
      <c r="RN11" s="1722"/>
      <c r="RO11" s="1722"/>
      <c r="RP11" s="1722"/>
      <c r="RQ11" s="1722"/>
      <c r="RR11" s="1722"/>
      <c r="RS11" s="1722"/>
      <c r="RT11" s="1722"/>
      <c r="RU11" s="1722"/>
      <c r="RV11" s="1722"/>
      <c r="RW11" s="1722"/>
      <c r="RX11" s="1722"/>
      <c r="RY11" s="1722"/>
      <c r="RZ11" s="1722"/>
      <c r="SA11" s="1722"/>
      <c r="SB11" s="1722"/>
      <c r="SC11" s="1722"/>
      <c r="SD11" s="1722"/>
      <c r="SE11" s="1722"/>
      <c r="SF11" s="1722"/>
      <c r="SG11" s="1722"/>
      <c r="SH11" s="1722"/>
      <c r="SI11" s="1722"/>
      <c r="SJ11" s="1722"/>
      <c r="SK11" s="1722"/>
      <c r="SL11" s="1722"/>
      <c r="SM11" s="1722"/>
      <c r="SN11" s="1722"/>
      <c r="SO11" s="1722"/>
      <c r="SP11" s="1722"/>
      <c r="SQ11" s="1722"/>
      <c r="SR11" s="1722"/>
      <c r="SS11" s="1722"/>
      <c r="ST11" s="1722"/>
      <c r="SU11" s="1722"/>
      <c r="SV11" s="1722"/>
      <c r="SW11" s="1722"/>
      <c r="SX11" s="1722"/>
      <c r="SY11" s="1722"/>
      <c r="SZ11" s="1722"/>
      <c r="TA11" s="1722"/>
      <c r="TB11" s="1722"/>
      <c r="TC11" s="1722"/>
      <c r="TD11" s="1722"/>
      <c r="TE11" s="1722"/>
      <c r="TF11" s="1722"/>
      <c r="TG11" s="1722"/>
      <c r="TH11" s="1722"/>
      <c r="TI11" s="1722"/>
      <c r="TJ11" s="1722"/>
      <c r="TK11" s="1722"/>
      <c r="TL11" s="1722"/>
      <c r="TM11" s="1722"/>
      <c r="TN11" s="1722"/>
      <c r="TO11" s="1722"/>
      <c r="TP11" s="1722"/>
      <c r="TQ11" s="1722"/>
      <c r="TR11" s="1722"/>
      <c r="TS11" s="1722"/>
      <c r="TT11" s="1722"/>
      <c r="TU11" s="1722"/>
      <c r="TV11" s="1722"/>
      <c r="TW11" s="1722"/>
      <c r="TX11" s="1722"/>
      <c r="TY11" s="1722"/>
      <c r="TZ11" s="1722"/>
      <c r="UA11" s="1722"/>
      <c r="UB11" s="1722"/>
      <c r="UC11" s="1722"/>
      <c r="UD11" s="1722"/>
      <c r="UE11" s="1722"/>
      <c r="UF11" s="1722"/>
      <c r="UG11" s="1722"/>
      <c r="UH11" s="1722"/>
      <c r="UI11" s="1722"/>
      <c r="UJ11" s="1722"/>
      <c r="UK11" s="1722"/>
      <c r="UL11" s="1722"/>
      <c r="UM11" s="1722"/>
      <c r="UN11" s="1722"/>
      <c r="UO11" s="1722"/>
      <c r="UP11" s="1722"/>
      <c r="UQ11" s="1722"/>
      <c r="UR11" s="1722"/>
      <c r="US11" s="1722"/>
      <c r="UT11" s="1722"/>
      <c r="UU11" s="1722"/>
      <c r="UV11" s="1722"/>
      <c r="UW11" s="1722"/>
      <c r="UX11" s="1722"/>
      <c r="UY11" s="1722"/>
      <c r="UZ11" s="1722"/>
      <c r="VA11" s="1722"/>
      <c r="VB11" s="1722"/>
      <c r="VC11" s="1722"/>
      <c r="VD11" s="1722"/>
      <c r="VE11" s="1722"/>
      <c r="VF11" s="1722"/>
      <c r="VG11" s="1722"/>
      <c r="VH11" s="1722"/>
      <c r="VI11" s="1722"/>
      <c r="VJ11" s="1722"/>
      <c r="VK11" s="1722"/>
      <c r="VL11" s="1722"/>
      <c r="VM11" s="1722"/>
      <c r="VN11" s="1722"/>
      <c r="VO11" s="1722"/>
      <c r="VP11" s="1722"/>
      <c r="VQ11" s="1722"/>
      <c r="VR11" s="1722"/>
      <c r="VS11" s="1722"/>
      <c r="VT11" s="1722"/>
      <c r="VU11" s="1722"/>
      <c r="VV11" s="1722"/>
      <c r="VW11" s="1722"/>
      <c r="VX11" s="1722"/>
      <c r="VY11" s="1722"/>
      <c r="VZ11" s="1722"/>
      <c r="WA11" s="1722"/>
      <c r="WB11" s="1722"/>
      <c r="WC11" s="1722"/>
      <c r="WD11" s="1722"/>
      <c r="WE11" s="1722"/>
      <c r="WF11" s="1722"/>
      <c r="WG11" s="1722"/>
      <c r="WH11" s="1722"/>
      <c r="WI11" s="1722"/>
      <c r="WJ11" s="1722"/>
      <c r="WK11" s="1722"/>
      <c r="WL11" s="1722"/>
      <c r="WM11" s="1722"/>
      <c r="WN11" s="1722"/>
      <c r="WO11" s="1722"/>
      <c r="WP11" s="1722"/>
      <c r="WQ11" s="1722"/>
      <c r="WR11" s="1722"/>
      <c r="WS11" s="1722"/>
      <c r="WT11" s="1722"/>
      <c r="WU11" s="1722"/>
      <c r="WV11" s="1722"/>
      <c r="WW11" s="1722"/>
      <c r="WX11" s="1722"/>
      <c r="WY11" s="1722"/>
      <c r="WZ11" s="1722"/>
      <c r="XA11" s="1722"/>
      <c r="XB11" s="1722"/>
      <c r="XC11" s="1722"/>
      <c r="XD11" s="1722"/>
      <c r="XE11" s="1722"/>
      <c r="XF11" s="1722"/>
      <c r="XG11" s="1722"/>
      <c r="XH11" s="1722"/>
      <c r="XI11" s="1722"/>
      <c r="XJ11" s="1722"/>
      <c r="XK11" s="1722"/>
      <c r="XL11" s="1722"/>
      <c r="XM11" s="1722"/>
      <c r="XN11" s="1722"/>
      <c r="XO11" s="1722"/>
      <c r="XP11" s="1722"/>
      <c r="XQ11" s="1722"/>
      <c r="XR11" s="1722"/>
      <c r="XS11" s="1722"/>
      <c r="XT11" s="1722"/>
      <c r="XU11" s="1722"/>
      <c r="XV11" s="1722"/>
      <c r="XW11" s="1722"/>
      <c r="XX11" s="1722"/>
      <c r="XY11" s="1722"/>
      <c r="XZ11" s="1722"/>
      <c r="YA11" s="1722"/>
      <c r="YB11" s="1722"/>
      <c r="YC11" s="1722"/>
      <c r="YD11" s="1722"/>
      <c r="YE11" s="1722"/>
      <c r="YF11" s="1722"/>
      <c r="YG11" s="1722"/>
      <c r="YH11" s="1722"/>
      <c r="YI11" s="1722"/>
      <c r="YJ11" s="1722"/>
      <c r="YK11" s="1722"/>
      <c r="YL11" s="1722"/>
      <c r="YM11" s="1722"/>
      <c r="YN11" s="1722"/>
      <c r="YO11" s="1722"/>
    </row>
    <row r="12" spans="1:665" s="1722" customFormat="1" ht="27" customHeight="1">
      <c r="A12" s="2260"/>
      <c r="B12" s="2263"/>
      <c r="C12" s="2263"/>
      <c r="D12" s="2263"/>
      <c r="E12" s="2265" t="s">
        <v>968</v>
      </c>
      <c r="F12" s="2266"/>
      <c r="G12" s="2266"/>
      <c r="H12" s="2267"/>
      <c r="I12" s="2279" t="s">
        <v>967</v>
      </c>
      <c r="J12" s="2280"/>
    </row>
    <row r="13" spans="1:665" s="1722" customFormat="1" ht="26.25" customHeight="1">
      <c r="A13" s="2260"/>
      <c r="B13" s="2263"/>
      <c r="C13" s="2263"/>
      <c r="D13" s="2263"/>
      <c r="E13" s="2265" t="s">
        <v>507</v>
      </c>
      <c r="F13" s="2266"/>
      <c r="G13" s="2266"/>
      <c r="H13" s="2267"/>
      <c r="I13" s="2268" t="s">
        <v>966</v>
      </c>
      <c r="J13" s="2269"/>
    </row>
    <row r="14" spans="1:665" ht="27.75" customHeight="1">
      <c r="A14" s="2261"/>
      <c r="B14" s="2264"/>
      <c r="C14" s="2264"/>
      <c r="D14" s="2264"/>
      <c r="E14" s="2270" t="s">
        <v>965</v>
      </c>
      <c r="F14" s="2271"/>
      <c r="G14" s="2272" t="s">
        <v>964</v>
      </c>
      <c r="H14" s="2272"/>
      <c r="I14" s="2268" t="s">
        <v>963</v>
      </c>
      <c r="J14" s="2269"/>
      <c r="L14" s="1721"/>
    </row>
    <row r="15" spans="1:665" ht="28.5" customHeight="1">
      <c r="A15" s="1720">
        <v>2</v>
      </c>
      <c r="B15" s="2273" t="s">
        <v>961</v>
      </c>
      <c r="C15" s="2273"/>
      <c r="D15" s="2273"/>
      <c r="E15" s="2274" t="s">
        <v>950</v>
      </c>
      <c r="F15" s="2274"/>
      <c r="G15" s="2273"/>
      <c r="H15" s="2273"/>
      <c r="I15" s="2268" t="s">
        <v>962</v>
      </c>
      <c r="J15" s="2269"/>
    </row>
    <row r="16" spans="1:665" ht="30" customHeight="1">
      <c r="A16" s="1719">
        <v>3</v>
      </c>
      <c r="B16" s="2273" t="s">
        <v>961</v>
      </c>
      <c r="C16" s="2273"/>
      <c r="D16" s="2273"/>
      <c r="E16" s="2268" t="s">
        <v>960</v>
      </c>
      <c r="F16" s="2275"/>
      <c r="G16" s="2275"/>
      <c r="H16" s="2276"/>
      <c r="I16" s="2268" t="s">
        <v>946</v>
      </c>
      <c r="J16" s="2269"/>
    </row>
    <row r="17" spans="1:14" ht="30" customHeight="1">
      <c r="A17" s="1719">
        <v>4</v>
      </c>
      <c r="B17" s="2276" t="s">
        <v>959</v>
      </c>
      <c r="C17" s="2273"/>
      <c r="D17" s="2273"/>
      <c r="E17" s="2268" t="s">
        <v>958</v>
      </c>
      <c r="F17" s="2275"/>
      <c r="G17" s="2275"/>
      <c r="H17" s="2276"/>
      <c r="I17" s="2268" t="s">
        <v>957</v>
      </c>
      <c r="J17" s="2269"/>
    </row>
    <row r="18" spans="1:14" ht="39" customHeight="1">
      <c r="A18" s="1719">
        <v>6</v>
      </c>
      <c r="B18" s="2273" t="s">
        <v>956</v>
      </c>
      <c r="C18" s="2273"/>
      <c r="D18" s="2273"/>
      <c r="E18" s="2268" t="s">
        <v>942</v>
      </c>
      <c r="F18" s="2275"/>
      <c r="G18" s="2275"/>
      <c r="H18" s="2276"/>
      <c r="I18" s="2268" t="s">
        <v>955</v>
      </c>
      <c r="J18" s="2269"/>
      <c r="N18" s="1718"/>
    </row>
    <row r="19" spans="1:14" ht="39" customHeight="1">
      <c r="A19" s="1719">
        <v>7</v>
      </c>
      <c r="B19" s="2268" t="s">
        <v>954</v>
      </c>
      <c r="C19" s="2275"/>
      <c r="D19" s="2276"/>
      <c r="E19" s="2268" t="s">
        <v>953</v>
      </c>
      <c r="F19" s="2275"/>
      <c r="G19" s="2275"/>
      <c r="H19" s="2276"/>
      <c r="I19" s="2268" t="s">
        <v>952</v>
      </c>
      <c r="J19" s="2269"/>
      <c r="N19" s="1718"/>
    </row>
    <row r="20" spans="1:14" ht="39" customHeight="1">
      <c r="A20" s="1719">
        <v>8</v>
      </c>
      <c r="B20" s="2268" t="s">
        <v>951</v>
      </c>
      <c r="C20" s="2275"/>
      <c r="D20" s="2276"/>
      <c r="E20" s="2274" t="s">
        <v>950</v>
      </c>
      <c r="F20" s="2274"/>
      <c r="G20" s="2273"/>
      <c r="H20" s="2273"/>
      <c r="I20" s="2268" t="s">
        <v>949</v>
      </c>
      <c r="J20" s="2269"/>
      <c r="N20" s="1718"/>
    </row>
    <row r="21" spans="1:14" ht="39" customHeight="1">
      <c r="A21" s="1719">
        <v>9</v>
      </c>
      <c r="B21" s="2273" t="s">
        <v>948</v>
      </c>
      <c r="C21" s="2273"/>
      <c r="D21" s="2273"/>
      <c r="E21" s="2268" t="s">
        <v>947</v>
      </c>
      <c r="F21" s="2275"/>
      <c r="G21" s="2275"/>
      <c r="H21" s="2276"/>
      <c r="I21" s="2268" t="s">
        <v>946</v>
      </c>
      <c r="J21" s="2269"/>
      <c r="N21" s="1718"/>
    </row>
    <row r="22" spans="1:14" ht="39" customHeight="1">
      <c r="A22" s="1719">
        <v>10</v>
      </c>
      <c r="B22" s="2268" t="s">
        <v>945</v>
      </c>
      <c r="C22" s="2275"/>
      <c r="D22" s="2276"/>
      <c r="E22" s="2268" t="s">
        <v>939</v>
      </c>
      <c r="F22" s="2275"/>
      <c r="G22" s="2275"/>
      <c r="H22" s="2276"/>
      <c r="I22" s="2268" t="s">
        <v>944</v>
      </c>
      <c r="J22" s="2269"/>
      <c r="N22" s="1718"/>
    </row>
    <row r="23" spans="1:14" ht="41.25" customHeight="1">
      <c r="A23" s="1717">
        <v>11</v>
      </c>
      <c r="B23" s="2273" t="s">
        <v>943</v>
      </c>
      <c r="C23" s="2273"/>
      <c r="D23" s="2273"/>
      <c r="E23" s="2268" t="s">
        <v>942</v>
      </c>
      <c r="F23" s="2275"/>
      <c r="G23" s="2275"/>
      <c r="H23" s="2276"/>
      <c r="I23" s="2268" t="s">
        <v>941</v>
      </c>
      <c r="J23" s="2269"/>
    </row>
    <row r="24" spans="1:14" ht="30.75" customHeight="1" thickBot="1">
      <c r="A24" s="1717">
        <v>12</v>
      </c>
      <c r="B24" s="2273" t="s">
        <v>940</v>
      </c>
      <c r="C24" s="2273"/>
      <c r="D24" s="2273"/>
      <c r="E24" s="2268" t="s">
        <v>939</v>
      </c>
      <c r="F24" s="2275"/>
      <c r="G24" s="2275"/>
      <c r="H24" s="2276"/>
      <c r="I24" s="2268" t="s">
        <v>938</v>
      </c>
      <c r="J24" s="2269"/>
    </row>
    <row r="25" spans="1:14" ht="13.5" thickTop="1">
      <c r="A25" s="2283"/>
      <c r="B25" s="2283"/>
      <c r="C25" s="2283"/>
      <c r="D25" s="2283"/>
      <c r="E25" s="2283"/>
      <c r="F25" s="2283"/>
      <c r="G25" s="2283"/>
      <c r="H25" s="2283"/>
      <c r="I25" s="2283"/>
      <c r="J25" s="2283"/>
    </row>
    <row r="26" spans="1:14" ht="14.25">
      <c r="A26" s="621"/>
      <c r="B26" s="2205"/>
      <c r="C26" s="2205"/>
      <c r="D26" s="2205"/>
      <c r="E26" s="2205"/>
      <c r="F26" s="2205"/>
      <c r="G26" s="2205"/>
      <c r="H26" s="2205"/>
      <c r="I26" s="2205"/>
      <c r="J26" s="2205"/>
    </row>
    <row r="27" spans="1:14">
      <c r="A27" s="2199" t="s">
        <v>813</v>
      </c>
      <c r="B27" s="2199"/>
      <c r="C27" s="2199"/>
      <c r="D27" s="2199"/>
      <c r="E27" s="2199" t="s">
        <v>685</v>
      </c>
      <c r="F27" s="2199"/>
      <c r="G27" s="2199"/>
      <c r="H27" s="2199"/>
      <c r="I27" s="2199" t="s">
        <v>686</v>
      </c>
      <c r="J27" s="2199"/>
    </row>
    <row r="28" spans="1:14" ht="15.75" customHeight="1">
      <c r="A28" s="621"/>
      <c r="B28" s="2281" t="s">
        <v>937</v>
      </c>
      <c r="C28" s="2281"/>
      <c r="D28" s="2281"/>
      <c r="E28" s="621"/>
      <c r="F28" s="1599" t="s">
        <v>699</v>
      </c>
      <c r="G28" s="621"/>
      <c r="H28" s="621"/>
      <c r="I28" s="2282" t="s">
        <v>936</v>
      </c>
      <c r="J28" s="2282"/>
    </row>
  </sheetData>
  <mergeCells count="58">
    <mergeCell ref="B24:D24"/>
    <mergeCell ref="E24:H24"/>
    <mergeCell ref="I24:J24"/>
    <mergeCell ref="E18:H18"/>
    <mergeCell ref="I18:J18"/>
    <mergeCell ref="E22:H22"/>
    <mergeCell ref="I22:J22"/>
    <mergeCell ref="B22:D22"/>
    <mergeCell ref="B21:D21"/>
    <mergeCell ref="B19:D19"/>
    <mergeCell ref="B20:D20"/>
    <mergeCell ref="E19:H19"/>
    <mergeCell ref="E20:H20"/>
    <mergeCell ref="B28:D28"/>
    <mergeCell ref="I28:J28"/>
    <mergeCell ref="A25:J25"/>
    <mergeCell ref="B26:D26"/>
    <mergeCell ref="E26:H26"/>
    <mergeCell ref="I26:J26"/>
    <mergeCell ref="A27:D27"/>
    <mergeCell ref="E27:H27"/>
    <mergeCell ref="I27:J27"/>
    <mergeCell ref="B10:D10"/>
    <mergeCell ref="E10:H10"/>
    <mergeCell ref="I10:J10"/>
    <mergeCell ref="B23:D23"/>
    <mergeCell ref="E23:H23"/>
    <mergeCell ref="I23:J23"/>
    <mergeCell ref="E12:H12"/>
    <mergeCell ref="I12:J12"/>
    <mergeCell ref="B17:D17"/>
    <mergeCell ref="E17:H17"/>
    <mergeCell ref="E21:H21"/>
    <mergeCell ref="I19:J19"/>
    <mergeCell ref="I20:J20"/>
    <mergeCell ref="I17:J17"/>
    <mergeCell ref="B15:D15"/>
    <mergeCell ref="E15:H15"/>
    <mergeCell ref="I15:J15"/>
    <mergeCell ref="I21:J21"/>
    <mergeCell ref="B18:D18"/>
    <mergeCell ref="B16:D16"/>
    <mergeCell ref="E16:H16"/>
    <mergeCell ref="I16:J16"/>
    <mergeCell ref="A11:A14"/>
    <mergeCell ref="B11:D14"/>
    <mergeCell ref="E11:H11"/>
    <mergeCell ref="I11:J11"/>
    <mergeCell ref="E13:H13"/>
    <mergeCell ref="I13:J13"/>
    <mergeCell ref="E14:F14"/>
    <mergeCell ref="G14:H14"/>
    <mergeCell ref="I14:J14"/>
    <mergeCell ref="A2:J3"/>
    <mergeCell ref="A4:J5"/>
    <mergeCell ref="A6:J7"/>
    <mergeCell ref="B8:I8"/>
    <mergeCell ref="O9:Q9"/>
  </mergeCells>
  <pageMargins left="2.2000000000000002" right="0" top="0.75" bottom="0.75" header="0.3" footer="0.3"/>
  <pageSetup scale="77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26</vt:i4>
      </vt:variant>
    </vt:vector>
  </HeadingPairs>
  <TitlesOfParts>
    <vt:vector size="43" baseType="lpstr">
      <vt:lpstr>Form One</vt:lpstr>
      <vt:lpstr>Summary (2)</vt:lpstr>
      <vt:lpstr> BOQ Rev</vt:lpstr>
      <vt:lpstr>D M S</vt:lpstr>
      <vt:lpstr>plan &amp; Unit price &amp; Direct cost</vt:lpstr>
      <vt:lpstr>Direct cost summary </vt:lpstr>
      <vt:lpstr>Weekly Machinery Ex</vt:lpstr>
      <vt:lpstr>Weekly Progress Report</vt:lpstr>
      <vt:lpstr>Summary</vt:lpstr>
      <vt:lpstr>Summary (new)2</vt:lpstr>
      <vt:lpstr>summery(new)2</vt:lpstr>
      <vt:lpstr>Weekly Ms</vt:lpstr>
      <vt:lpstr>Lab. Evalu.</vt:lpstr>
      <vt:lpstr>Cons.Mat.Evalu.</vt:lpstr>
      <vt:lpstr> Weekly Surveying  Rep.</vt:lpstr>
      <vt:lpstr>Weekly Store Balance Report</vt:lpstr>
      <vt:lpstr>Weekly Labratory Report</vt:lpstr>
      <vt:lpstr>' BOQ Rev'!Print_Area</vt:lpstr>
      <vt:lpstr>' Weekly Surveying  Rep.'!Print_Area</vt:lpstr>
      <vt:lpstr>Cons.Mat.Evalu.!Print_Area</vt:lpstr>
      <vt:lpstr>'D M S'!Print_Area</vt:lpstr>
      <vt:lpstr>'Form One'!Print_Area</vt:lpstr>
      <vt:lpstr>'Lab. Evalu.'!Print_Area</vt:lpstr>
      <vt:lpstr>Summary!Print_Area</vt:lpstr>
      <vt:lpstr>'Summary (new)2'!Print_Area</vt:lpstr>
      <vt:lpstr>'summery(new)2'!Print_Area</vt:lpstr>
      <vt:lpstr>'Weekly Labratory Report'!Print_Area</vt:lpstr>
      <vt:lpstr>'Weekly Machinery Ex'!Print_Area</vt:lpstr>
      <vt:lpstr>'Weekly Ms'!Print_Area</vt:lpstr>
      <vt:lpstr>'Weekly Progress Report'!Print_Area</vt:lpstr>
      <vt:lpstr>'Weekly Store Balance Report'!Print_Area</vt:lpstr>
      <vt:lpstr>Print_Area_12</vt:lpstr>
      <vt:lpstr>Summary!Print_Area_15</vt:lpstr>
      <vt:lpstr>Print_Area_17</vt:lpstr>
      <vt:lpstr>Print_Area_4</vt:lpstr>
      <vt:lpstr>Print_Area_5</vt:lpstr>
      <vt:lpstr>' BOQ Rev'!Print_Titles</vt:lpstr>
      <vt:lpstr>' Weekly Surveying  Rep.'!Print_Titles</vt:lpstr>
      <vt:lpstr>'Weekly Machinery Ex'!Print_Titles</vt:lpstr>
      <vt:lpstr>'Weekly Progress Report'!Print_Titles</vt:lpstr>
      <vt:lpstr>'Weekly Store Balance Report'!Print_Titles</vt:lpstr>
      <vt:lpstr>Print_Titles_12</vt:lpstr>
      <vt:lpstr>Print_Titles_4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</dc:creator>
  <cp:lastModifiedBy>Nati</cp:lastModifiedBy>
  <cp:revision>0</cp:revision>
  <cp:lastPrinted>2015-05-10T16:30:39Z</cp:lastPrinted>
  <dcterms:created xsi:type="dcterms:W3CDTF">2012-09-23T22:38:06Z</dcterms:created>
  <dcterms:modified xsi:type="dcterms:W3CDTF">2015-10-18T17:33:34Z</dcterms:modified>
</cp:coreProperties>
</file>